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D:\Users\lorely.ochoa\Documents\3 - Prep - Seguimiento medidas telecom\Actualización RE y RT\5. Consulta Pública\21 12 07 STP\Modelos CP\"/>
    </mc:Choice>
  </mc:AlternateContent>
  <xr:revisionPtr revIDLastSave="0" documentId="8_{D89BC7C4-3E8A-4ECB-947C-0B3F907DB772}" xr6:coauthVersionLast="45" xr6:coauthVersionMax="45" xr10:uidLastSave="{00000000-0000-0000-0000-000000000000}"/>
  <bookViews>
    <workbookView xWindow="-120" yWindow="-120" windowWidth="29040" windowHeight="15840" tabRatio="809" firstSheet="1" activeTab="1" xr2:uid="{00000000-000D-0000-FFFF-FFFF00000000}"/>
  </bookViews>
  <sheets>
    <sheet name="Resumen" sheetId="21" state="hidden" r:id="rId1"/>
    <sheet name="Descripción" sheetId="34" r:id="rId2"/>
    <sheet name="Resultados &gt;&gt;" sheetId="38" r:id="rId3"/>
    <sheet name="Prueba Servicios Moviles" sheetId="50" r:id="rId4"/>
    <sheet name="Resultados intermedios &gt;&gt;" sheetId="39" r:id="rId5"/>
    <sheet name="Ingresos minoristas" sheetId="40" r:id="rId6"/>
    <sheet name="Costos" sheetId="41" r:id="rId7"/>
    <sheet name="Cálculos intermedios &gt;&gt;" sheetId="52" r:id="rId8"/>
    <sheet name="Pagos mayoristas" sheetId="42" r:id="rId9"/>
    <sheet name="Costos aguas abajo" sheetId="43" r:id="rId10"/>
    <sheet name="Requerimiento de información &gt;&gt;" sheetId="45" r:id="rId11"/>
    <sheet name="Informacion del AEP" sheetId="47" r:id="rId12"/>
    <sheet name="Precios mayoristas" sheetId="48" r:id="rId13"/>
    <sheet name="Ofertas insignia" sheetId="51" r:id="rId14"/>
    <sheet name="Supuestos" sheetId="46" r:id="rId15"/>
    <sheet name="Otras hojas&gt;&gt;" sheetId="26" state="hidden" r:id="rId16"/>
  </sheets>
  <externalReferences>
    <externalReference r:id="rId17"/>
    <externalReference r:id="rId18"/>
    <externalReference r:id="rId19"/>
    <externalReference r:id="rId20"/>
    <externalReference r:id="rId21"/>
    <externalReference r:id="rId22"/>
    <externalReference r:id="rId23"/>
  </externalReferences>
  <definedNames>
    <definedName name="_1377_0">#REF!</definedName>
    <definedName name="_2754_0ecm">#REF!</definedName>
    <definedName name="_4131_0ecw">#REF!</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verage_Bill_List">OFFSET('[1]Average bills'!$AI$31,0,0,16-COUNTIF('[1]Average bills'!$AI$31:$AI$48,""),1)</definedName>
    <definedName name="BillEffect">OFFSET('[1]Incidence effects'!$AS$10,0,0,45-COUNTBLANK('[1]Incidence effects'!$AS$10:$AS$54),1)</definedName>
    <definedName name="BillEffect_Schedule">OFFSET('[1]Incidence effects'!$AT$10,0,0,45-COUNTBLANK('[1]Incidence effects'!$AT$10:$AT$54),1)</definedName>
    <definedName name="BLPH1" hidden="1">'[2]4.6 ten year bonds'!$A$4</definedName>
    <definedName name="BLPH2" hidden="1">'[2]4.6 ten year bonds'!$D$4</definedName>
    <definedName name="BLPH3" hidden="1">'[2]4.6 ten year bonds'!$G$4</definedName>
    <definedName name="BLPH4" hidden="1">'[2]4.6 ten year bonds'!$J$4</definedName>
    <definedName name="BLPH5" hidden="1">'[2]4.6 ten year bonds'!$M$4</definedName>
    <definedName name="Countries">[3]Breakdown!$B$4:$B$15</definedName>
    <definedName name="CustomerName">OFFSET('[1]Incidence effects'!$AR$10,0,0,(ROWS('[1]Incidence effects'!$AI$10:$AI$1048576)-COUNTIF('[1]Incidence effects'!$AI$10:$AI$1048576,"")),1)</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OFFSET([1]Differentials!$U$14,0,0,(6-COUNTIF([1]Differentials!$U$14:$U$19,"")),1)</definedName>
    <definedName name="Distribution" hidden="1">#REF!</definedName>
    <definedName name="ExtraProfiles" hidden="1">#REF!</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orecast">[3]drop_down!$C$16:$C$17</definedName>
    <definedName name="Frontier_BAJABBAFCHAB">#REF!</definedName>
    <definedName name="Frontier_BAJABFAJDDBE">'[4]Help cells'!#REF!</definedName>
    <definedName name="Frontier_BAJABFAJDFAI">'[4]Help cells'!#REF!</definedName>
    <definedName name="Frontier_BAJABFAJDJDH">'[4]Help cells'!#REF!</definedName>
    <definedName name="Frontier_BAJABGABBCAF">#REF!</definedName>
    <definedName name="Frontier_BAJABGADAHBH">#REF!</definedName>
    <definedName name="Frontier_BAJABGADBCAE">[4]Historical_SONIA!#REF!</definedName>
    <definedName name="Frontier_BAJABGAGADAH">#REF!</definedName>
    <definedName name="Frontier_BAJABGAGADAI">#REF!</definedName>
    <definedName name="Frontier_BAJABIAAJCCC">#REF!</definedName>
    <definedName name="Frontier_BAJABIAECBDJ">#REF!</definedName>
    <definedName name="Frontier_BAJABIAECEDJ">#REF!</definedName>
    <definedName name="Frontier_BAJABIAGDDDA">#REF!</definedName>
    <definedName name="Frontier_BAJDBAADCAJC">#REF!</definedName>
    <definedName name="Frontier_BAJDBAAFDBBI">#REF!</definedName>
    <definedName name="Frontier_BAJDBAAGBBBD">#REF!</definedName>
    <definedName name="Frontier_BAJDBAAGBECD">#REF!</definedName>
    <definedName name="Frontier_BAJDBAAGBEDI">#REF!</definedName>
    <definedName name="Frontier_BAJDBFADCICF">#REF!</definedName>
    <definedName name="Frontier_BAJFAGAJDDAI">#REF!</definedName>
    <definedName name="Frontier_BAJFAGAJDDCJ">#REF!</definedName>
    <definedName name="Frontier_BAJFAGAJDDJC">#REF!</definedName>
    <definedName name="Frontier_BAJFAGJFECAA">#REF!</definedName>
    <definedName name="Frontier_BAJFAGJFEDED">#REF!</definedName>
    <definedName name="Frontier_BAJFAGJFEDJD">#REF!</definedName>
    <definedName name="Frontier_BAJFAGJFEICF">#REF!</definedName>
    <definedName name="Frontier_BAJFAGJGJAAH">#REF!</definedName>
    <definedName name="Frontier_BAJFAGJGJCDB">#REF!</definedName>
    <definedName name="Frontier_BAJFAGJGJDBH">#REF!</definedName>
    <definedName name="Frontier_BAJFAGJGJFAF">#REF!</definedName>
    <definedName name="Frontier_BAJFAGJGJGJJ">#REF!</definedName>
    <definedName name="Frontier_BAJFAGJGJIBB">#REF!</definedName>
    <definedName name="Frontier_BAJFAGJGJIBC">#REF!</definedName>
    <definedName name="Frontier_BAJFAGJGJIBD">#REF!</definedName>
    <definedName name="Frontier_BAJFAGJGJIJI">#REF!</definedName>
    <definedName name="Frontier_BAJFBHABEBJD">Resumen!$B$13:$I$21</definedName>
    <definedName name="Frontier_BAJFBHABEJEA">Resumen!$B$13:$H$21</definedName>
    <definedName name="Frontier_BAJFBHAEDACC">Resumen!$B$3:$C$8</definedName>
    <definedName name="Frontier_BAJIAFAGBDJC">#REF!</definedName>
    <definedName name="Frontier_BAJIAFAGEDCF">#REF!</definedName>
    <definedName name="Frontier_BAJIBBAAEDDG">#REF!</definedName>
    <definedName name="Frontier_BAJIBBAAEHEF">#REF!</definedName>
    <definedName name="Frontier_BAJIBJADECEB">#REF!</definedName>
    <definedName name="Frontier_BJAABCABCIJF">#REF!</definedName>
    <definedName name="Frontier_BJAABCADAJAG">#REF!</definedName>
    <definedName name="Frontier_BJAABCADDEED">#REF!</definedName>
    <definedName name="Frontier_BJAABCADEAJC">#REF!</definedName>
    <definedName name="Frontier_BJAABCADJHEF">#REF!</definedName>
    <definedName name="Frontier_BJAABCAEBADA">#REF!</definedName>
    <definedName name="Frontier_BJAABCAEBBJD">#REF!</definedName>
    <definedName name="Frontier_BJAABCAEJIBG">#REF!</definedName>
    <definedName name="Frontier_BJAABCAEJIDE">#REF!</definedName>
    <definedName name="Frontier_BJAABDAAAGBE">#REF!</definedName>
    <definedName name="Frontier_BJAABDAAAGCH">#REF!</definedName>
    <definedName name="Frontier_BJAABDAAAHEH">#REF!</definedName>
    <definedName name="Frontier_BJAABDAABADF">#REF!</definedName>
    <definedName name="Frontier_BJAABDAACJBB">#REF!</definedName>
    <definedName name="Frontier_BJAABDAADDJG">#REF!</definedName>
    <definedName name="Frontier_BJAABDAADIJF">#REF!</definedName>
    <definedName name="Frontier_BJAABEABAJAH">#REF!</definedName>
    <definedName name="Frontier_BJAABEABDFEB">#REF!</definedName>
    <definedName name="Frontier_BJAABEABDGDA">#REF!</definedName>
    <definedName name="Frontier_BJAABEACDFJJ">#REF!</definedName>
    <definedName name="Frontier_BJAABFAJJCEB">#REF!</definedName>
    <definedName name="Frontier_BJAABFAJJEAE">#REF!</definedName>
    <definedName name="Frontier_BJAABFAJJHCF">#REF!</definedName>
    <definedName name="Frontier_BJAABGADECEC">#REF!</definedName>
    <definedName name="Frontier_BJAABGAEEJBG">#REF!</definedName>
    <definedName name="Frontier_BJAABGAFCGJB">#REF!</definedName>
    <definedName name="Frontier_BJAABGAFCIBH">#REF!</definedName>
    <definedName name="Frontier_BJAABGAFCIDD">#REF!</definedName>
    <definedName name="Frontier_BJAABGAFDICA">#REF!</definedName>
    <definedName name="Frontier_BJAACJAAEGJE">#REF!</definedName>
    <definedName name="Frontier_BJAACJABJIJA">#REF!</definedName>
    <definedName name="Frontier_BJAACJADCCJE">#REF!</definedName>
    <definedName name="Frontier_BJAACJADEDCJ">#REF!</definedName>
    <definedName name="Frontier_BJAACJAEAGDB">#REF!</definedName>
    <definedName name="Frontier_BJAACJAEAGDH">#REF!</definedName>
    <definedName name="Frontier_BJAACJAEAIDB">#REF!</definedName>
    <definedName name="Frontier_BJAACJAEJGEA">#REF!</definedName>
    <definedName name="Frontier_BJAACJAHEDJF">#REF!</definedName>
    <definedName name="Frontier_BJABJBAEACDA">#REF!</definedName>
    <definedName name="Frontier_BJABJBAEACDD">#REF!</definedName>
    <definedName name="Frontier_BJABJBAEAGBE">#REF!</definedName>
    <definedName name="Frontier_BJABJBAEBDDF">#REF!</definedName>
    <definedName name="Frontier_BJABJBAEBEEB">#REF!</definedName>
    <definedName name="Frontier_BJABJBAEBEEF">#REF!</definedName>
    <definedName name="Frontier_BJABJBAECJEA">#REF!</definedName>
    <definedName name="Frontier_BJABJBAFJCCJ">#REF!</definedName>
    <definedName name="Frontier_BJABJCAACEAC">#REF!</definedName>
    <definedName name="Frontier_BJABJCAACGJC">#REF!</definedName>
    <definedName name="Frontier_BJABJCAADJAF">#REF!</definedName>
    <definedName name="Frontier_BJABJCAEDHAA">#REF!</definedName>
    <definedName name="Frontier_BJABJCAGCDAD">#REF!</definedName>
    <definedName name="Frontier_BJABJCAGCDDJ">#REF!</definedName>
    <definedName name="Frontier_BJABJCAGDDEJ">#REF!</definedName>
    <definedName name="Frontier_BJABJCAGDGAI">#REF!</definedName>
    <definedName name="Frontier_BJABJCAGJCAB">#REF!</definedName>
    <definedName name="Frontier_BJABJDAADDCI">#REF!</definedName>
    <definedName name="Frontier_BJABJDAADFCA">#REF!</definedName>
    <definedName name="Frontier_BJABJDAADIBH">#REF!</definedName>
    <definedName name="Frontier_BJABJDABCDAH">#REF!</definedName>
    <definedName name="Frontier_BJABJDABDGJF">#REF!</definedName>
    <definedName name="Frontier_BJABJDABEBED">#REF!</definedName>
    <definedName name="Frontier_BJABJDABEDAA">#REF!</definedName>
    <definedName name="Frontier_BJABJDABJEDJ">#REF!</definedName>
    <definedName name="Frontier_BJABJDACJBBE">#REF!</definedName>
    <definedName name="Frontier_BJABJDAJJJBI">#REF!</definedName>
    <definedName name="Frontier_BJABJHAJCABH">#REF!</definedName>
    <definedName name="Frontier_BJABJHAJCBAA">#REF!</definedName>
    <definedName name="Frontier_BJABJHAJECAI">#REF!</definedName>
    <definedName name="Frontier_BJABJHAJEEBA">#REF!</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Industries">'[3]Profit calc'!$B$4:$B$18</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AC">[3]drop_down!$C$11:$C$12</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[5]Population!#REF!</definedName>
    <definedName name="Population" hidden="1">#REF!</definedName>
    <definedName name="Profiles" hidden="1">#REF!</definedName>
    <definedName name="Projections" hidden="1">#REF!</definedName>
    <definedName name="Results" hidden="1">[6]UK99!$A$1:$A$1</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ariff_ID">OFFSET('[1]Tariff Structure'!$B$18,0,0,(345-COUNTBLANK('[1]Tariff Structure'!$B$18:$B$218)),1)</definedName>
    <definedName name="Tariff_Types">OFFSET('[1]Tariff Structure'!$H$7,0,0,19-COUNTIF('[1]Tariff Structure'!$G$7:$G$10,""),1)</definedName>
    <definedName name="TariffYears">[1]Lookup!$B$13:$B$17</definedName>
    <definedName name="TariffYearSet">[1]Dashboard!$D$12</definedName>
    <definedName name="TariffYearSetMinus1">[1]Dashboard!$D$11</definedName>
    <definedName name="TariffYearSetMinus2">[1]Dashboard!$D$10</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xDSL_propio__bitstream">'[7]SCyD - LRAIC+'!$K$13</definedName>
    <definedName name="xDSL_propio__líneas">'[7]SCyD - LRAIC+'!$K$12</definedName>
    <definedName name="Year">'[4]Parameters from NC'!$C$5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47" l="1"/>
  <c r="G11" i="47"/>
  <c r="H11" i="47"/>
  <c r="E33" i="48" l="1"/>
  <c r="E34" i="48"/>
  <c r="E35" i="48"/>
  <c r="E36" i="48"/>
  <c r="E37" i="48"/>
  <c r="E38" i="48"/>
  <c r="E39" i="48"/>
  <c r="E40" i="48"/>
  <c r="E41" i="48"/>
  <c r="B101" i="46" l="1"/>
  <c r="B100" i="46"/>
  <c r="B99" i="46"/>
  <c r="B98" i="46"/>
  <c r="B97" i="46"/>
  <c r="B96" i="46"/>
  <c r="B95" i="46"/>
  <c r="B94" i="46"/>
  <c r="B93" i="46"/>
  <c r="H30" i="47"/>
  <c r="H31" i="47"/>
  <c r="H32" i="47"/>
  <c r="H33" i="47"/>
  <c r="H34" i="47"/>
  <c r="H35" i="47"/>
  <c r="H36" i="47"/>
  <c r="H37" i="47"/>
  <c r="H38" i="47"/>
  <c r="H39" i="47"/>
  <c r="H40" i="47"/>
  <c r="H41" i="47"/>
  <c r="H42" i="47"/>
  <c r="H43" i="47"/>
  <c r="H44" i="47"/>
  <c r="H45" i="47"/>
  <c r="H46" i="47"/>
  <c r="H47" i="47"/>
  <c r="P15" i="51"/>
  <c r="P16" i="51"/>
  <c r="P14" i="51"/>
  <c r="O22" i="51"/>
  <c r="O23" i="51"/>
  <c r="O24" i="51"/>
  <c r="O25" i="51"/>
  <c r="O26" i="51"/>
  <c r="O27" i="51"/>
  <c r="O28" i="51"/>
  <c r="O29" i="51"/>
  <c r="O30" i="51"/>
  <c r="O31" i="51"/>
  <c r="O32" i="51"/>
  <c r="O21" i="51"/>
  <c r="P22" i="51"/>
  <c r="P23" i="51"/>
  <c r="P24" i="51"/>
  <c r="P25" i="51"/>
  <c r="P26" i="51"/>
  <c r="P27" i="51"/>
  <c r="P28" i="51"/>
  <c r="P29" i="51"/>
  <c r="P30" i="51"/>
  <c r="P31" i="51"/>
  <c r="P32" i="51"/>
  <c r="P21" i="51"/>
  <c r="I20" i="51" l="1"/>
  <c r="I13" i="51"/>
  <c r="N33" i="51"/>
  <c r="N34" i="51" s="1"/>
  <c r="N17" i="51"/>
  <c r="N18" i="51" s="1"/>
  <c r="D33" i="51"/>
  <c r="D34" i="51" s="1"/>
  <c r="E33" i="51"/>
  <c r="E34" i="51" s="1"/>
  <c r="F33" i="51"/>
  <c r="F34" i="51" s="1"/>
  <c r="G33" i="51"/>
  <c r="G34" i="51" s="1"/>
  <c r="H33" i="51"/>
  <c r="H34" i="51" s="1"/>
  <c r="C33" i="51"/>
  <c r="C34" i="51" s="1"/>
  <c r="C17" i="51"/>
  <c r="C18" i="51" s="1"/>
  <c r="D17" i="51"/>
  <c r="D18" i="51" s="1"/>
  <c r="E17" i="51"/>
  <c r="E18" i="51" s="1"/>
  <c r="F17" i="51"/>
  <c r="F18" i="51" s="1"/>
  <c r="G17" i="51"/>
  <c r="G18" i="51" s="1"/>
  <c r="H17" i="51"/>
  <c r="H18" i="51" s="1"/>
  <c r="I24" i="51"/>
  <c r="I25" i="51"/>
  <c r="I26" i="51"/>
  <c r="I27" i="51"/>
  <c r="I28" i="51"/>
  <c r="I29" i="51"/>
  <c r="I30" i="51"/>
  <c r="I31" i="51"/>
  <c r="I32" i="51"/>
  <c r="I23" i="51"/>
  <c r="I22" i="51"/>
  <c r="I21" i="51"/>
  <c r="I16" i="51"/>
  <c r="I15" i="51"/>
  <c r="I14" i="51"/>
  <c r="I10" i="51"/>
  <c r="I11" i="51"/>
  <c r="I9" i="51"/>
  <c r="D8" i="51"/>
  <c r="E8" i="51"/>
  <c r="F8" i="51"/>
  <c r="G8" i="51"/>
  <c r="H8" i="51"/>
  <c r="C8" i="51"/>
  <c r="D4" i="51"/>
  <c r="C4" i="51"/>
  <c r="C7" i="51" s="1"/>
  <c r="D7" i="51" s="1"/>
  <c r="E7" i="51" s="1"/>
  <c r="F7" i="51" s="1"/>
  <c r="G7" i="51" s="1"/>
  <c r="H7" i="51" s="1"/>
  <c r="J22" i="51" l="1"/>
  <c r="J31" i="51"/>
  <c r="J23" i="51"/>
  <c r="J32" i="51"/>
  <c r="O14" i="51"/>
  <c r="J14" i="51"/>
  <c r="K15" i="51"/>
  <c r="K16" i="51"/>
  <c r="K14" i="51"/>
  <c r="J30" i="51"/>
  <c r="J29" i="51"/>
  <c r="J28" i="51"/>
  <c r="I8" i="51"/>
  <c r="J15" i="51"/>
  <c r="O15" i="51"/>
  <c r="J16" i="51"/>
  <c r="O16" i="51"/>
  <c r="N8" i="51"/>
  <c r="K24" i="51"/>
  <c r="K32" i="51"/>
  <c r="J21" i="51"/>
  <c r="K25" i="51"/>
  <c r="K22" i="51"/>
  <c r="K31" i="51"/>
  <c r="K26" i="51"/>
  <c r="K28" i="51"/>
  <c r="K29" i="51"/>
  <c r="K27" i="51"/>
  <c r="K30" i="51"/>
  <c r="K23" i="51"/>
  <c r="K21" i="51"/>
  <c r="J27" i="51"/>
  <c r="J26" i="51"/>
  <c r="J25" i="51"/>
  <c r="J24" i="51"/>
  <c r="I33" i="51"/>
  <c r="I34" i="51" s="1"/>
  <c r="M7" i="51"/>
  <c r="I17" i="51"/>
  <c r="I18" i="51" l="1"/>
  <c r="P80" i="47" l="1"/>
  <c r="P81" i="47"/>
  <c r="P82" i="47"/>
  <c r="P83" i="47"/>
  <c r="P84" i="47"/>
  <c r="P85" i="47"/>
  <c r="P86" i="47"/>
  <c r="P87" i="47"/>
  <c r="P88" i="47"/>
  <c r="P89" i="47"/>
  <c r="P90" i="47"/>
  <c r="P91" i="47"/>
  <c r="P92" i="47"/>
  <c r="P93" i="47"/>
  <c r="P94" i="47"/>
  <c r="P95" i="47"/>
  <c r="P96" i="47"/>
  <c r="P97" i="47"/>
  <c r="P98" i="47"/>
  <c r="P99" i="47"/>
  <c r="P100" i="47"/>
  <c r="P101" i="47"/>
  <c r="D189" i="42" l="1"/>
  <c r="F189" i="42"/>
  <c r="H189" i="42"/>
  <c r="D190" i="42"/>
  <c r="F190" i="42"/>
  <c r="H190" i="42"/>
  <c r="D191" i="42"/>
  <c r="F191" i="42"/>
  <c r="H191" i="42"/>
  <c r="D192" i="42"/>
  <c r="F192" i="42"/>
  <c r="H192" i="42"/>
  <c r="D193" i="42"/>
  <c r="F193" i="42"/>
  <c r="H193" i="42"/>
  <c r="D168" i="42"/>
  <c r="F168" i="42"/>
  <c r="H168" i="42"/>
  <c r="D169" i="42"/>
  <c r="F169" i="42"/>
  <c r="H169" i="42"/>
  <c r="D170" i="42"/>
  <c r="F170" i="42"/>
  <c r="H170" i="42"/>
  <c r="D171" i="42"/>
  <c r="F171" i="42"/>
  <c r="H171" i="42"/>
  <c r="D172" i="42"/>
  <c r="F172" i="42"/>
  <c r="H172" i="42"/>
  <c r="D147" i="42"/>
  <c r="F147" i="42"/>
  <c r="H147" i="42"/>
  <c r="D148" i="42"/>
  <c r="F148" i="42"/>
  <c r="H148" i="42"/>
  <c r="D149" i="42"/>
  <c r="F149" i="42"/>
  <c r="H149" i="42"/>
  <c r="D150" i="42"/>
  <c r="F150" i="42"/>
  <c r="H150" i="42"/>
  <c r="D151" i="42"/>
  <c r="F151" i="42"/>
  <c r="H151" i="42"/>
  <c r="D126" i="42"/>
  <c r="F126" i="42"/>
  <c r="H126" i="42"/>
  <c r="D127" i="42"/>
  <c r="F127" i="42"/>
  <c r="H127" i="42"/>
  <c r="D128" i="42"/>
  <c r="F128" i="42"/>
  <c r="H128" i="42"/>
  <c r="D129" i="42"/>
  <c r="F129" i="42"/>
  <c r="H129" i="42"/>
  <c r="D130" i="42"/>
  <c r="F130" i="42"/>
  <c r="H130" i="42"/>
  <c r="D105" i="42"/>
  <c r="F105" i="42"/>
  <c r="H105" i="42"/>
  <c r="D106" i="42"/>
  <c r="F106" i="42"/>
  <c r="H106" i="42"/>
  <c r="D107" i="42"/>
  <c r="F107" i="42"/>
  <c r="H107" i="42"/>
  <c r="D108" i="42"/>
  <c r="F108" i="42"/>
  <c r="H108" i="42"/>
  <c r="D109" i="42"/>
  <c r="F109" i="42"/>
  <c r="H109" i="42"/>
  <c r="D84" i="42"/>
  <c r="F84" i="42"/>
  <c r="H84" i="42"/>
  <c r="D85" i="42"/>
  <c r="F85" i="42"/>
  <c r="H85" i="42"/>
  <c r="D86" i="42"/>
  <c r="F86" i="42"/>
  <c r="H86" i="42"/>
  <c r="D87" i="42"/>
  <c r="F87" i="42"/>
  <c r="H87" i="42"/>
  <c r="D88" i="42"/>
  <c r="F88" i="42"/>
  <c r="H88" i="42"/>
  <c r="D63" i="42"/>
  <c r="F63" i="42"/>
  <c r="H63" i="42"/>
  <c r="D64" i="42"/>
  <c r="F64" i="42"/>
  <c r="H64" i="42"/>
  <c r="D65" i="42"/>
  <c r="F65" i="42"/>
  <c r="H65" i="42"/>
  <c r="D66" i="42"/>
  <c r="F66" i="42"/>
  <c r="H66" i="42"/>
  <c r="D67" i="42"/>
  <c r="F67" i="42"/>
  <c r="H67" i="42"/>
  <c r="F42" i="42"/>
  <c r="H42" i="42"/>
  <c r="F43" i="42"/>
  <c r="H43" i="42"/>
  <c r="F44" i="42"/>
  <c r="H44" i="42"/>
  <c r="F45" i="42"/>
  <c r="H45" i="42"/>
  <c r="F46" i="42"/>
  <c r="H46" i="42"/>
  <c r="D42" i="42"/>
  <c r="D43" i="42"/>
  <c r="D44" i="42"/>
  <c r="D45" i="42"/>
  <c r="D46" i="42"/>
  <c r="H21" i="42"/>
  <c r="H22" i="42"/>
  <c r="H23" i="42"/>
  <c r="H24" i="42"/>
  <c r="H25" i="42"/>
  <c r="F21" i="42"/>
  <c r="F22" i="42"/>
  <c r="F23" i="42"/>
  <c r="F24" i="42"/>
  <c r="F25" i="42"/>
  <c r="D21" i="42"/>
  <c r="D22" i="42"/>
  <c r="D23" i="42"/>
  <c r="D24" i="42"/>
  <c r="D25" i="42"/>
  <c r="C45" i="48" l="1"/>
  <c r="F102" i="47"/>
  <c r="D12" i="50"/>
  <c r="E12" i="50"/>
  <c r="F12" i="50"/>
  <c r="G12" i="50"/>
  <c r="H12" i="50"/>
  <c r="I12" i="50"/>
  <c r="J12" i="50"/>
  <c r="K12" i="50"/>
  <c r="C12" i="50"/>
  <c r="D12" i="40"/>
  <c r="L12" i="40"/>
  <c r="K12" i="40"/>
  <c r="J12" i="40"/>
  <c r="I12" i="40"/>
  <c r="H12" i="40"/>
  <c r="G12" i="40"/>
  <c r="F12" i="40"/>
  <c r="E12" i="40"/>
  <c r="L24" i="41"/>
  <c r="K24" i="41"/>
  <c r="J24" i="41"/>
  <c r="I24" i="41"/>
  <c r="H24" i="41"/>
  <c r="G24" i="41"/>
  <c r="F24" i="41"/>
  <c r="E24" i="41"/>
  <c r="D24" i="41"/>
  <c r="E10" i="41"/>
  <c r="F10" i="41"/>
  <c r="G10" i="41"/>
  <c r="H10" i="41"/>
  <c r="I10" i="41"/>
  <c r="J10" i="41"/>
  <c r="K10" i="41"/>
  <c r="L10" i="41"/>
  <c r="D10" i="41"/>
  <c r="C179" i="42"/>
  <c r="C158" i="42"/>
  <c r="C137" i="42"/>
  <c r="C116" i="42"/>
  <c r="C95" i="42"/>
  <c r="C74" i="42"/>
  <c r="C53" i="42"/>
  <c r="C32" i="42"/>
  <c r="C11" i="42"/>
  <c r="C226" i="43"/>
  <c r="C199" i="43"/>
  <c r="C172" i="43"/>
  <c r="C145" i="43"/>
  <c r="C118" i="43"/>
  <c r="C91" i="43"/>
  <c r="C64" i="43"/>
  <c r="C37" i="43"/>
  <c r="C10" i="43"/>
  <c r="N78" i="47"/>
  <c r="M78" i="47"/>
  <c r="L78" i="47"/>
  <c r="K78" i="47"/>
  <c r="J78" i="47"/>
  <c r="I78" i="47"/>
  <c r="H78" i="47"/>
  <c r="G78" i="47"/>
  <c r="F78" i="47"/>
  <c r="N53" i="47"/>
  <c r="M53" i="47"/>
  <c r="L53" i="47"/>
  <c r="K53" i="47"/>
  <c r="J53" i="47"/>
  <c r="I53" i="47"/>
  <c r="H53" i="47"/>
  <c r="G53" i="47"/>
  <c r="F53" i="47"/>
  <c r="I11" i="47"/>
  <c r="J11" i="47"/>
  <c r="K11" i="47"/>
  <c r="L11" i="47"/>
  <c r="M11" i="47"/>
  <c r="N11" i="47"/>
  <c r="C13" i="46"/>
  <c r="B18" i="50" l="1"/>
  <c r="P79" i="47"/>
  <c r="E4" i="50"/>
  <c r="C4" i="50"/>
  <c r="C80" i="47"/>
  <c r="C66" i="43" s="1"/>
  <c r="C81" i="47"/>
  <c r="C229" i="43" s="1"/>
  <c r="C82" i="47"/>
  <c r="C122" i="43" s="1"/>
  <c r="C83" i="47"/>
  <c r="C84" i="47"/>
  <c r="C178" i="43" s="1"/>
  <c r="C85" i="47"/>
  <c r="C125" i="43" s="1"/>
  <c r="C86" i="47"/>
  <c r="C234" i="43" s="1"/>
  <c r="C87" i="47"/>
  <c r="C154" i="43" s="1"/>
  <c r="C88" i="47"/>
  <c r="C209" i="43" s="1"/>
  <c r="C89" i="47"/>
  <c r="C129" i="43" s="1"/>
  <c r="C90" i="47"/>
  <c r="C184" i="43" s="1"/>
  <c r="C91" i="47"/>
  <c r="C92" i="47"/>
  <c r="C186" i="43" s="1"/>
  <c r="C93" i="47"/>
  <c r="C133" i="43" s="1"/>
  <c r="C94" i="47"/>
  <c r="C161" i="43" s="1"/>
  <c r="C95" i="47"/>
  <c r="C162" i="43" s="1"/>
  <c r="C96" i="47"/>
  <c r="C244" i="43" s="1"/>
  <c r="C97" i="47"/>
  <c r="C137" i="43" s="1"/>
  <c r="C98" i="47"/>
  <c r="C246" i="43" s="1"/>
  <c r="C99" i="47"/>
  <c r="C100" i="47"/>
  <c r="C194" i="43" s="1"/>
  <c r="C101" i="47"/>
  <c r="C168" i="43" s="1"/>
  <c r="C79" i="47"/>
  <c r="C119" i="43" s="1"/>
  <c r="D119" i="43" s="1"/>
  <c r="C113" i="47"/>
  <c r="C19" i="40"/>
  <c r="F19" i="40" s="1"/>
  <c r="C20" i="40"/>
  <c r="E20" i="40" s="1"/>
  <c r="C18" i="40"/>
  <c r="J18" i="40" s="1"/>
  <c r="C14" i="40"/>
  <c r="F14" i="40" s="1"/>
  <c r="C15" i="40"/>
  <c r="E15" i="40" s="1"/>
  <c r="C16" i="40"/>
  <c r="D16" i="40" s="1"/>
  <c r="C17" i="40"/>
  <c r="H17" i="40" s="1"/>
  <c r="C13" i="40"/>
  <c r="E13" i="40" s="1"/>
  <c r="C12" i="42"/>
  <c r="E22" i="41"/>
  <c r="C25" i="41" s="1"/>
  <c r="E6" i="41"/>
  <c r="D6" i="41"/>
  <c r="F6" i="40"/>
  <c r="D6" i="40"/>
  <c r="C198" i="42"/>
  <c r="C196" i="42"/>
  <c r="C197" i="42"/>
  <c r="C181" i="42"/>
  <c r="C182" i="42"/>
  <c r="C183" i="42"/>
  <c r="C184" i="42"/>
  <c r="C185" i="42"/>
  <c r="C186" i="42"/>
  <c r="C187" i="42"/>
  <c r="C188" i="42"/>
  <c r="C189" i="42"/>
  <c r="C190" i="42"/>
  <c r="C191" i="42"/>
  <c r="C192" i="42"/>
  <c r="C193" i="42"/>
  <c r="C194" i="42"/>
  <c r="C195" i="42"/>
  <c r="C180" i="42"/>
  <c r="C159" i="42"/>
  <c r="C177" i="42"/>
  <c r="C160" i="42"/>
  <c r="C161" i="42"/>
  <c r="C162" i="42"/>
  <c r="C163" i="42"/>
  <c r="C164" i="42"/>
  <c r="C165" i="42"/>
  <c r="C166" i="42"/>
  <c r="C167" i="42"/>
  <c r="C168" i="42"/>
  <c r="C169" i="42"/>
  <c r="C170" i="42"/>
  <c r="C171" i="42"/>
  <c r="C172" i="42"/>
  <c r="C173" i="42"/>
  <c r="C174" i="42"/>
  <c r="C175" i="42"/>
  <c r="C176" i="42"/>
  <c r="C138" i="42"/>
  <c r="C139" i="42"/>
  <c r="C140" i="42"/>
  <c r="C141" i="42"/>
  <c r="C142" i="42"/>
  <c r="C143" i="42"/>
  <c r="C144" i="42"/>
  <c r="C145" i="42"/>
  <c r="C146" i="42"/>
  <c r="C147" i="42"/>
  <c r="C148" i="42"/>
  <c r="C149" i="42"/>
  <c r="C150" i="42"/>
  <c r="C151" i="42"/>
  <c r="C152" i="42"/>
  <c r="C153" i="42"/>
  <c r="C154" i="42"/>
  <c r="C155" i="42"/>
  <c r="C156" i="42"/>
  <c r="C117" i="42"/>
  <c r="C135" i="42"/>
  <c r="C118" i="42"/>
  <c r="C119" i="42"/>
  <c r="C120" i="42"/>
  <c r="C121" i="42"/>
  <c r="C122" i="42"/>
  <c r="C123" i="42"/>
  <c r="C124" i="42"/>
  <c r="C125" i="42"/>
  <c r="C126" i="42"/>
  <c r="C127" i="42"/>
  <c r="C128" i="42"/>
  <c r="C129" i="42"/>
  <c r="C130" i="42"/>
  <c r="C131" i="42"/>
  <c r="C132" i="42"/>
  <c r="C133" i="42"/>
  <c r="C134" i="42"/>
  <c r="C96" i="42"/>
  <c r="C114" i="42"/>
  <c r="C97" i="42"/>
  <c r="C98" i="42"/>
  <c r="C99" i="42"/>
  <c r="C100" i="42"/>
  <c r="C101" i="42"/>
  <c r="C102" i="42"/>
  <c r="C103" i="42"/>
  <c r="C104" i="42"/>
  <c r="C105" i="42"/>
  <c r="C106" i="42"/>
  <c r="C107" i="42"/>
  <c r="C108" i="42"/>
  <c r="C109" i="42"/>
  <c r="C110" i="42"/>
  <c r="C111" i="42"/>
  <c r="C112" i="42"/>
  <c r="C113" i="42"/>
  <c r="C75" i="42"/>
  <c r="C92" i="42"/>
  <c r="C93" i="42"/>
  <c r="C76" i="42"/>
  <c r="C77" i="42"/>
  <c r="C78" i="42"/>
  <c r="C79" i="42"/>
  <c r="C80" i="42"/>
  <c r="C81" i="42"/>
  <c r="C82" i="42"/>
  <c r="C83" i="42"/>
  <c r="C84" i="42"/>
  <c r="C85" i="42"/>
  <c r="C86" i="42"/>
  <c r="C87" i="42"/>
  <c r="C88" i="42"/>
  <c r="C89" i="42"/>
  <c r="C90" i="42"/>
  <c r="C91" i="42"/>
  <c r="C54" i="42"/>
  <c r="C66" i="42"/>
  <c r="C67" i="42"/>
  <c r="C68" i="42"/>
  <c r="C69" i="42"/>
  <c r="C70" i="42"/>
  <c r="C71" i="42"/>
  <c r="C72" i="42"/>
  <c r="C55" i="42"/>
  <c r="C56" i="42"/>
  <c r="C57" i="42"/>
  <c r="C58" i="42"/>
  <c r="C59" i="42"/>
  <c r="C60" i="42"/>
  <c r="C61" i="42"/>
  <c r="C62" i="42"/>
  <c r="C63" i="42"/>
  <c r="C64" i="42"/>
  <c r="C65" i="42"/>
  <c r="C33" i="42"/>
  <c r="L53" i="42"/>
  <c r="L32" i="42"/>
  <c r="L11" i="42"/>
  <c r="C34" i="42"/>
  <c r="C35" i="42"/>
  <c r="C36" i="42"/>
  <c r="C37" i="42"/>
  <c r="C38" i="42"/>
  <c r="C39" i="42"/>
  <c r="C40" i="42"/>
  <c r="C41" i="42"/>
  <c r="C42" i="42"/>
  <c r="C43" i="42"/>
  <c r="C44" i="42"/>
  <c r="C45" i="42"/>
  <c r="C46" i="42"/>
  <c r="C47" i="42"/>
  <c r="C48" i="42"/>
  <c r="C49" i="42"/>
  <c r="C50" i="42"/>
  <c r="C51" i="42"/>
  <c r="D31" i="42"/>
  <c r="C30" i="42"/>
  <c r="C13" i="42"/>
  <c r="C14" i="42"/>
  <c r="C15" i="42"/>
  <c r="C16" i="42"/>
  <c r="C17" i="42"/>
  <c r="C18" i="42"/>
  <c r="C19" i="42"/>
  <c r="C20" i="42"/>
  <c r="C21" i="42"/>
  <c r="C22" i="42"/>
  <c r="C23" i="42"/>
  <c r="C24" i="42"/>
  <c r="C25" i="42"/>
  <c r="C26" i="42"/>
  <c r="C27" i="42"/>
  <c r="C28" i="42"/>
  <c r="C29" i="42"/>
  <c r="C33" i="48"/>
  <c r="F6" i="42"/>
  <c r="D6" i="42"/>
  <c r="C228" i="43"/>
  <c r="C231" i="43"/>
  <c r="C239" i="43"/>
  <c r="C243" i="43"/>
  <c r="C247" i="43"/>
  <c r="C200" i="43"/>
  <c r="D200" i="43" s="1"/>
  <c r="C204" i="43"/>
  <c r="C212" i="43"/>
  <c r="C220" i="43"/>
  <c r="C177" i="43"/>
  <c r="C185" i="43"/>
  <c r="C189" i="43"/>
  <c r="C190" i="43"/>
  <c r="C193" i="43"/>
  <c r="C166" i="43"/>
  <c r="C167" i="43"/>
  <c r="C150" i="43"/>
  <c r="C151" i="43"/>
  <c r="C155" i="43"/>
  <c r="C158" i="43"/>
  <c r="C123" i="43"/>
  <c r="C131" i="43"/>
  <c r="C134" i="43"/>
  <c r="C139" i="43"/>
  <c r="C112" i="43"/>
  <c r="C93" i="43"/>
  <c r="C96" i="43"/>
  <c r="C104" i="43"/>
  <c r="C12" i="43"/>
  <c r="C15" i="43"/>
  <c r="C23" i="43"/>
  <c r="C26" i="43"/>
  <c r="C31" i="43"/>
  <c r="C42" i="43"/>
  <c r="C47" i="43"/>
  <c r="C50" i="43"/>
  <c r="C51" i="43"/>
  <c r="C55" i="43"/>
  <c r="C58" i="43"/>
  <c r="C69" i="43"/>
  <c r="C77" i="43"/>
  <c r="C82" i="43"/>
  <c r="C85" i="43"/>
  <c r="C54" i="47"/>
  <c r="F6" i="43"/>
  <c r="D6" i="43"/>
  <c r="E51" i="48"/>
  <c r="E48" i="48"/>
  <c r="E49" i="48"/>
  <c r="E50" i="48"/>
  <c r="E47" i="48"/>
  <c r="C51" i="48"/>
  <c r="C52" i="48"/>
  <c r="C50" i="48"/>
  <c r="C48" i="48"/>
  <c r="C49" i="48"/>
  <c r="C40" i="48"/>
  <c r="C41" i="48"/>
  <c r="C42" i="48"/>
  <c r="C43" i="48"/>
  <c r="C44" i="48"/>
  <c r="C46" i="48"/>
  <c r="C47" i="48"/>
  <c r="C34" i="48"/>
  <c r="C35" i="48"/>
  <c r="C36" i="48"/>
  <c r="C37" i="48"/>
  <c r="C38" i="48"/>
  <c r="C39" i="48"/>
  <c r="E6" i="48"/>
  <c r="D6" i="48"/>
  <c r="F6" i="47"/>
  <c r="D6" i="47"/>
  <c r="C110" i="47" l="1"/>
  <c r="C76" i="47"/>
  <c r="C51" i="47"/>
  <c r="C26" i="47"/>
  <c r="C10" i="47"/>
  <c r="C201" i="43"/>
  <c r="F20" i="40"/>
  <c r="I18" i="40"/>
  <c r="C109" i="43"/>
  <c r="C147" i="43"/>
  <c r="J16" i="40"/>
  <c r="F159" i="42"/>
  <c r="F54" i="42"/>
  <c r="F33" i="42"/>
  <c r="F117" i="42"/>
  <c r="F180" i="42"/>
  <c r="F96" i="42"/>
  <c r="F75" i="42"/>
  <c r="F138" i="42"/>
  <c r="F12" i="42"/>
  <c r="C74" i="43"/>
  <c r="D74" i="43" s="1"/>
  <c r="C39" i="43"/>
  <c r="D39" i="43" s="1"/>
  <c r="C107" i="43"/>
  <c r="C128" i="43"/>
  <c r="D128" i="43" s="1"/>
  <c r="F128" i="43" s="1"/>
  <c r="I128" i="43" s="1"/>
  <c r="C174" i="43"/>
  <c r="D174" i="43" s="1"/>
  <c r="G174" i="43" s="1"/>
  <c r="D15" i="40"/>
  <c r="L14" i="40"/>
  <c r="C28" i="43"/>
  <c r="C120" i="43"/>
  <c r="C146" i="43"/>
  <c r="D146" i="43" s="1"/>
  <c r="F146" i="43" s="1"/>
  <c r="I146" i="43" s="1"/>
  <c r="C215" i="43"/>
  <c r="C236" i="43"/>
  <c r="D236" i="43" s="1"/>
  <c r="F236" i="43" s="1"/>
  <c r="I236" i="43" s="1"/>
  <c r="I16" i="40"/>
  <c r="H18" i="40"/>
  <c r="H16" i="40"/>
  <c r="K14" i="40"/>
  <c r="G18" i="40"/>
  <c r="L15" i="40"/>
  <c r="J14" i="40"/>
  <c r="F18" i="40"/>
  <c r="K15" i="40"/>
  <c r="I14" i="40"/>
  <c r="E18" i="40"/>
  <c r="J15" i="40"/>
  <c r="E14" i="40"/>
  <c r="I17" i="40"/>
  <c r="I15" i="40"/>
  <c r="D14" i="40"/>
  <c r="F13" i="40"/>
  <c r="K16" i="40"/>
  <c r="H15" i="40"/>
  <c r="D180" i="42"/>
  <c r="H138" i="42"/>
  <c r="D12" i="42"/>
  <c r="H54" i="42"/>
  <c r="D159" i="42"/>
  <c r="H117" i="42"/>
  <c r="D138" i="42"/>
  <c r="H12" i="42"/>
  <c r="H96" i="42"/>
  <c r="D117" i="42"/>
  <c r="H75" i="42"/>
  <c r="H33" i="42"/>
  <c r="D33" i="42"/>
  <c r="D75" i="42"/>
  <c r="H180" i="42"/>
  <c r="D96" i="42"/>
  <c r="D54" i="42"/>
  <c r="H159" i="42"/>
  <c r="C173" i="43"/>
  <c r="D173" i="43" s="1"/>
  <c r="G173" i="43" s="1"/>
  <c r="C227" i="43"/>
  <c r="D227" i="43" s="1"/>
  <c r="G227" i="43" s="1"/>
  <c r="D228" i="43"/>
  <c r="G228" i="43" s="1"/>
  <c r="D66" i="43"/>
  <c r="G66" i="43" s="1"/>
  <c r="C72" i="43"/>
  <c r="C45" i="43"/>
  <c r="D45" i="43" s="1"/>
  <c r="G45" i="43" s="1"/>
  <c r="C18" i="43"/>
  <c r="C99" i="43"/>
  <c r="D99" i="43" s="1"/>
  <c r="G99" i="43" s="1"/>
  <c r="C153" i="43"/>
  <c r="D153" i="43" s="1"/>
  <c r="D93" i="43"/>
  <c r="G93" i="43" s="1"/>
  <c r="C188" i="43"/>
  <c r="C242" i="43"/>
  <c r="C38" i="43"/>
  <c r="D38" i="43" s="1"/>
  <c r="C11" i="43"/>
  <c r="D120" i="43"/>
  <c r="F120" i="43" s="1"/>
  <c r="I120" i="43" s="1"/>
  <c r="D147" i="43"/>
  <c r="G147" i="43" s="1"/>
  <c r="C207" i="43"/>
  <c r="D207" i="43" s="1"/>
  <c r="F207" i="43" s="1"/>
  <c r="I207" i="43" s="1"/>
  <c r="C53" i="43"/>
  <c r="C65" i="43"/>
  <c r="D65" i="43" s="1"/>
  <c r="G65" i="43" s="1"/>
  <c r="C92" i="43"/>
  <c r="D92" i="43" s="1"/>
  <c r="G92" i="43" s="1"/>
  <c r="C180" i="43"/>
  <c r="D180" i="43" s="1"/>
  <c r="G180" i="43" s="1"/>
  <c r="C126" i="43"/>
  <c r="C80" i="43"/>
  <c r="D80" i="43" s="1"/>
  <c r="G80" i="43" s="1"/>
  <c r="D201" i="43"/>
  <c r="G201" i="43" s="1"/>
  <c r="C217" i="43"/>
  <c r="C20" i="43"/>
  <c r="C136" i="43"/>
  <c r="C163" i="43"/>
  <c r="C182" i="43"/>
  <c r="D182" i="43" s="1"/>
  <c r="F182" i="43" s="1"/>
  <c r="I182" i="43" s="1"/>
  <c r="C101" i="43"/>
  <c r="C33" i="43"/>
  <c r="D33" i="43" s="1"/>
  <c r="C17" i="43"/>
  <c r="D17" i="43" s="1"/>
  <c r="C25" i="43"/>
  <c r="D229" i="43"/>
  <c r="F229" i="43" s="1"/>
  <c r="I229" i="43" s="1"/>
  <c r="C59" i="43"/>
  <c r="D59" i="43" s="1"/>
  <c r="G59" i="43" s="1"/>
  <c r="C43" i="43"/>
  <c r="D43" i="43" s="1"/>
  <c r="G43" i="43" s="1"/>
  <c r="C159" i="43"/>
  <c r="C181" i="43"/>
  <c r="D181" i="43" s="1"/>
  <c r="G181" i="43" s="1"/>
  <c r="C140" i="43"/>
  <c r="D140" i="43" s="1"/>
  <c r="C124" i="43"/>
  <c r="D124" i="43" s="1"/>
  <c r="C235" i="43"/>
  <c r="D235" i="43" s="1"/>
  <c r="C132" i="43"/>
  <c r="D132" i="43" s="1"/>
  <c r="F132" i="43" s="1"/>
  <c r="I132" i="43" s="1"/>
  <c r="C183" i="43"/>
  <c r="C219" i="43"/>
  <c r="C57" i="43"/>
  <c r="D57" i="43" s="1"/>
  <c r="G57" i="43" s="1"/>
  <c r="C230" i="43"/>
  <c r="D230" i="43" s="1"/>
  <c r="F230" i="43" s="1"/>
  <c r="I230" i="43" s="1"/>
  <c r="C14" i="43"/>
  <c r="D14" i="43" s="1"/>
  <c r="C149" i="43"/>
  <c r="D149" i="43" s="1"/>
  <c r="G149" i="43" s="1"/>
  <c r="C30" i="43"/>
  <c r="C76" i="43"/>
  <c r="C103" i="43"/>
  <c r="C41" i="43"/>
  <c r="D159" i="43"/>
  <c r="G159" i="43" s="1"/>
  <c r="C238" i="43"/>
  <c r="D238" i="43" s="1"/>
  <c r="F238" i="43" s="1"/>
  <c r="I238" i="43" s="1"/>
  <c r="C111" i="43"/>
  <c r="D111" i="43" s="1"/>
  <c r="C192" i="43"/>
  <c r="D192" i="43" s="1"/>
  <c r="D69" i="43"/>
  <c r="G69" i="43" s="1"/>
  <c r="D96" i="43"/>
  <c r="G96" i="43" s="1"/>
  <c r="C138" i="43"/>
  <c r="C176" i="43"/>
  <c r="C211" i="43"/>
  <c r="D211" i="43" s="1"/>
  <c r="G211" i="43" s="1"/>
  <c r="C203" i="43"/>
  <c r="D203" i="43" s="1"/>
  <c r="C83" i="43"/>
  <c r="D83" i="43" s="1"/>
  <c r="C68" i="43"/>
  <c r="D68" i="43" s="1"/>
  <c r="F68" i="43" s="1"/>
  <c r="I68" i="43" s="1"/>
  <c r="C22" i="43"/>
  <c r="C95" i="43"/>
  <c r="D95" i="43" s="1"/>
  <c r="G95" i="43" s="1"/>
  <c r="C157" i="43"/>
  <c r="C210" i="43"/>
  <c r="C130" i="43"/>
  <c r="D130" i="43" s="1"/>
  <c r="G130" i="43" s="1"/>
  <c r="C84" i="43"/>
  <c r="D84" i="43" s="1"/>
  <c r="F84" i="43" s="1"/>
  <c r="I84" i="43" s="1"/>
  <c r="C49" i="43"/>
  <c r="D49" i="43" s="1"/>
  <c r="G49" i="43" s="1"/>
  <c r="C165" i="43"/>
  <c r="D165" i="43" s="1"/>
  <c r="G165" i="43" s="1"/>
  <c r="C75" i="43"/>
  <c r="D75" i="43" s="1"/>
  <c r="G75" i="43" s="1"/>
  <c r="C48" i="43"/>
  <c r="D48" i="43" s="1"/>
  <c r="G48" i="43" s="1"/>
  <c r="C13" i="43"/>
  <c r="C102" i="43"/>
  <c r="D123" i="43"/>
  <c r="G123" i="43" s="1"/>
  <c r="C148" i="43"/>
  <c r="D148" i="43" s="1"/>
  <c r="F148" i="43" s="1"/>
  <c r="I148" i="43" s="1"/>
  <c r="C237" i="43"/>
  <c r="D237" i="43" s="1"/>
  <c r="D101" i="43"/>
  <c r="G101" i="43" s="1"/>
  <c r="C110" i="43"/>
  <c r="D122" i="43"/>
  <c r="F122" i="43" s="1"/>
  <c r="I122" i="43" s="1"/>
  <c r="C191" i="43"/>
  <c r="D191" i="43" s="1"/>
  <c r="G191" i="43" s="1"/>
  <c r="D162" i="43"/>
  <c r="G162" i="43" s="1"/>
  <c r="D154" i="43"/>
  <c r="G154" i="43" s="1"/>
  <c r="D72" i="43"/>
  <c r="G72" i="43" s="1"/>
  <c r="C56" i="43"/>
  <c r="D56" i="43" s="1"/>
  <c r="G56" i="43" s="1"/>
  <c r="C21" i="43"/>
  <c r="D21" i="43" s="1"/>
  <c r="G21" i="43" s="1"/>
  <c r="C121" i="43"/>
  <c r="D121" i="43" s="1"/>
  <c r="G121" i="43" s="1"/>
  <c r="C156" i="43"/>
  <c r="D167" i="43"/>
  <c r="G167" i="43" s="1"/>
  <c r="D190" i="43"/>
  <c r="G190" i="43" s="1"/>
  <c r="C218" i="43"/>
  <c r="D218" i="43" s="1"/>
  <c r="D204" i="43"/>
  <c r="G204" i="43" s="1"/>
  <c r="C245" i="43"/>
  <c r="D245" i="43" s="1"/>
  <c r="G245" i="43" s="1"/>
  <c r="D177" i="43"/>
  <c r="F177" i="43" s="1"/>
  <c r="I177" i="43" s="1"/>
  <c r="D168" i="43"/>
  <c r="G168" i="43" s="1"/>
  <c r="D133" i="43"/>
  <c r="F133" i="43" s="1"/>
  <c r="I133" i="43" s="1"/>
  <c r="D125" i="43"/>
  <c r="F125" i="43" s="1"/>
  <c r="I125" i="43" s="1"/>
  <c r="D53" i="43"/>
  <c r="G53" i="43" s="1"/>
  <c r="C29" i="43"/>
  <c r="D29" i="43" s="1"/>
  <c r="G29" i="43" s="1"/>
  <c r="D109" i="43"/>
  <c r="G109" i="43" s="1"/>
  <c r="D176" i="43"/>
  <c r="F176" i="43" s="1"/>
  <c r="I176" i="43" s="1"/>
  <c r="D215" i="43"/>
  <c r="G215" i="43" s="1"/>
  <c r="C202" i="43"/>
  <c r="D202" i="43" s="1"/>
  <c r="G202" i="43" s="1"/>
  <c r="D243" i="43"/>
  <c r="G243" i="43" s="1"/>
  <c r="D231" i="43"/>
  <c r="G231" i="43" s="1"/>
  <c r="D194" i="43"/>
  <c r="F194" i="43" s="1"/>
  <c r="I194" i="43" s="1"/>
  <c r="D186" i="43"/>
  <c r="G186" i="43" s="1"/>
  <c r="D178" i="43"/>
  <c r="F178" i="43" s="1"/>
  <c r="I178" i="43" s="1"/>
  <c r="D82" i="43"/>
  <c r="G82" i="43" s="1"/>
  <c r="D42" i="43"/>
  <c r="F42" i="43" s="1"/>
  <c r="I42" i="43" s="1"/>
  <c r="C67" i="43"/>
  <c r="D67" i="43" s="1"/>
  <c r="G67" i="43" s="1"/>
  <c r="D51" i="43"/>
  <c r="G51" i="43" s="1"/>
  <c r="D41" i="43"/>
  <c r="G41" i="43" s="1"/>
  <c r="D107" i="43"/>
  <c r="G107" i="43" s="1"/>
  <c r="C94" i="43"/>
  <c r="D94" i="43" s="1"/>
  <c r="F94" i="43" s="1"/>
  <c r="I94" i="43" s="1"/>
  <c r="D138" i="43"/>
  <c r="F138" i="43" s="1"/>
  <c r="I138" i="43" s="1"/>
  <c r="D151" i="43"/>
  <c r="G151" i="43" s="1"/>
  <c r="C164" i="43"/>
  <c r="D164" i="43" s="1"/>
  <c r="G164" i="43" s="1"/>
  <c r="C175" i="43"/>
  <c r="D175" i="43" s="1"/>
  <c r="G175" i="43" s="1"/>
  <c r="C40" i="43"/>
  <c r="D40" i="43" s="1"/>
  <c r="G40" i="43" s="1"/>
  <c r="D161" i="43"/>
  <c r="G161" i="43" s="1"/>
  <c r="D150" i="43"/>
  <c r="G150" i="43" s="1"/>
  <c r="D15" i="41"/>
  <c r="K13" i="40"/>
  <c r="D19" i="40"/>
  <c r="F17" i="40"/>
  <c r="G16" i="40"/>
  <c r="J13" i="40"/>
  <c r="J20" i="40"/>
  <c r="K19" i="40"/>
  <c r="L18" i="40"/>
  <c r="D18" i="40"/>
  <c r="E17" i="40"/>
  <c r="F16" i="40"/>
  <c r="G15" i="40"/>
  <c r="H14" i="40"/>
  <c r="L20" i="40"/>
  <c r="D20" i="40"/>
  <c r="G17" i="40"/>
  <c r="L19" i="40"/>
  <c r="I13" i="40"/>
  <c r="I20" i="40"/>
  <c r="J19" i="40"/>
  <c r="K18" i="40"/>
  <c r="L17" i="40"/>
  <c r="D17" i="40"/>
  <c r="E16" i="40"/>
  <c r="F15" i="40"/>
  <c r="G14" i="40"/>
  <c r="G19" i="40"/>
  <c r="L13" i="40"/>
  <c r="E19" i="40"/>
  <c r="K20" i="40"/>
  <c r="H13" i="40"/>
  <c r="H20" i="40"/>
  <c r="I19" i="40"/>
  <c r="K17" i="40"/>
  <c r="L16" i="40"/>
  <c r="G13" i="40"/>
  <c r="G20" i="40"/>
  <c r="H19" i="40"/>
  <c r="J17" i="40"/>
  <c r="D13" i="40"/>
  <c r="D184" i="43"/>
  <c r="G184" i="43" s="1"/>
  <c r="D217" i="43"/>
  <c r="G217" i="43" s="1"/>
  <c r="D209" i="43"/>
  <c r="G209" i="43" s="1"/>
  <c r="C81" i="43"/>
  <c r="D81" i="43" s="1"/>
  <c r="G81" i="43" s="1"/>
  <c r="C73" i="43"/>
  <c r="D73" i="43" s="1"/>
  <c r="C60" i="43"/>
  <c r="D60" i="43" s="1"/>
  <c r="G60" i="43" s="1"/>
  <c r="C52" i="43"/>
  <c r="D52" i="43" s="1"/>
  <c r="G52" i="43" s="1"/>
  <c r="C44" i="43"/>
  <c r="D44" i="43" s="1"/>
  <c r="G44" i="43" s="1"/>
  <c r="C32" i="43"/>
  <c r="D32" i="43" s="1"/>
  <c r="G32" i="43" s="1"/>
  <c r="C24" i="43"/>
  <c r="D24" i="43" s="1"/>
  <c r="F24" i="43" s="1"/>
  <c r="I24" i="43" s="1"/>
  <c r="C16" i="43"/>
  <c r="D16" i="43" s="1"/>
  <c r="F16" i="43" s="1"/>
  <c r="I16" i="43" s="1"/>
  <c r="C108" i="43"/>
  <c r="D108" i="43" s="1"/>
  <c r="F108" i="43" s="1"/>
  <c r="I108" i="43" s="1"/>
  <c r="C100" i="43"/>
  <c r="D100" i="43" s="1"/>
  <c r="G100" i="43" s="1"/>
  <c r="D112" i="43"/>
  <c r="G112" i="43" s="1"/>
  <c r="D139" i="43"/>
  <c r="G139" i="43" s="1"/>
  <c r="D131" i="43"/>
  <c r="G131" i="43" s="1"/>
  <c r="C160" i="43"/>
  <c r="D160" i="43" s="1"/>
  <c r="G160" i="43" s="1"/>
  <c r="C152" i="43"/>
  <c r="D152" i="43" s="1"/>
  <c r="G152" i="43" s="1"/>
  <c r="D166" i="43"/>
  <c r="G166" i="43" s="1"/>
  <c r="D183" i="43"/>
  <c r="F183" i="43" s="1"/>
  <c r="I183" i="43" s="1"/>
  <c r="C216" i="43"/>
  <c r="D216" i="43" s="1"/>
  <c r="G216" i="43" s="1"/>
  <c r="C208" i="43"/>
  <c r="D208" i="43" s="1"/>
  <c r="F208" i="43" s="1"/>
  <c r="I208" i="43" s="1"/>
  <c r="C222" i="43"/>
  <c r="D222" i="43" s="1"/>
  <c r="G222" i="43" s="1"/>
  <c r="D244" i="43"/>
  <c r="G244" i="43" s="1"/>
  <c r="D110" i="43"/>
  <c r="F110" i="43" s="1"/>
  <c r="I110" i="43" s="1"/>
  <c r="D158" i="43"/>
  <c r="F158" i="43" s="1"/>
  <c r="I158" i="43" s="1"/>
  <c r="C214" i="43"/>
  <c r="D214" i="43" s="1"/>
  <c r="G214" i="43" s="1"/>
  <c r="C206" i="43"/>
  <c r="D206" i="43" s="1"/>
  <c r="G206" i="43" s="1"/>
  <c r="D242" i="43"/>
  <c r="F242" i="43" s="1"/>
  <c r="I242" i="43" s="1"/>
  <c r="C86" i="43"/>
  <c r="D86" i="43" s="1"/>
  <c r="G86" i="43" s="1"/>
  <c r="C78" i="43"/>
  <c r="D78" i="43" s="1"/>
  <c r="G78" i="43" s="1"/>
  <c r="C70" i="43"/>
  <c r="D70" i="43" s="1"/>
  <c r="F70" i="43" s="1"/>
  <c r="I70" i="43" s="1"/>
  <c r="C105" i="43"/>
  <c r="D105" i="43" s="1"/>
  <c r="G105" i="43" s="1"/>
  <c r="C97" i="43"/>
  <c r="D97" i="43" s="1"/>
  <c r="C114" i="43"/>
  <c r="D114" i="43" s="1"/>
  <c r="G114" i="43" s="1"/>
  <c r="D136" i="43"/>
  <c r="F136" i="43" s="1"/>
  <c r="I136" i="43" s="1"/>
  <c r="D157" i="43"/>
  <c r="F157" i="43" s="1"/>
  <c r="I157" i="43" s="1"/>
  <c r="D188" i="43"/>
  <c r="G188" i="43" s="1"/>
  <c r="C221" i="43"/>
  <c r="D221" i="43" s="1"/>
  <c r="G221" i="43" s="1"/>
  <c r="C213" i="43"/>
  <c r="D213" i="43" s="1"/>
  <c r="G213" i="43" s="1"/>
  <c r="C205" i="43"/>
  <c r="D205" i="43" s="1"/>
  <c r="G205" i="43" s="1"/>
  <c r="C249" i="43"/>
  <c r="D249" i="43" s="1"/>
  <c r="G249" i="43" s="1"/>
  <c r="C241" i="43"/>
  <c r="D241" i="43" s="1"/>
  <c r="F241" i="43" s="1"/>
  <c r="I241" i="43" s="1"/>
  <c r="C233" i="43"/>
  <c r="D233" i="43" s="1"/>
  <c r="F233" i="43" s="1"/>
  <c r="I233" i="43" s="1"/>
  <c r="D58" i="43"/>
  <c r="F58" i="43" s="1"/>
  <c r="I58" i="43" s="1"/>
  <c r="D234" i="43"/>
  <c r="G234" i="43" s="1"/>
  <c r="D85" i="43"/>
  <c r="G85" i="43" s="1"/>
  <c r="D77" i="43"/>
  <c r="F77" i="43" s="1"/>
  <c r="I77" i="43" s="1"/>
  <c r="D104" i="43"/>
  <c r="F104" i="43" s="1"/>
  <c r="I104" i="43" s="1"/>
  <c r="C113" i="43"/>
  <c r="D113" i="43" s="1"/>
  <c r="G113" i="43" s="1"/>
  <c r="C135" i="43"/>
  <c r="D135" i="43" s="1"/>
  <c r="G135" i="43" s="1"/>
  <c r="C127" i="43"/>
  <c r="D127" i="43" s="1"/>
  <c r="G127" i="43" s="1"/>
  <c r="D156" i="43"/>
  <c r="G156" i="43" s="1"/>
  <c r="C195" i="43"/>
  <c r="D195" i="43" s="1"/>
  <c r="G195" i="43" s="1"/>
  <c r="C187" i="43"/>
  <c r="D187" i="43" s="1"/>
  <c r="G187" i="43" s="1"/>
  <c r="C179" i="43"/>
  <c r="D179" i="43" s="1"/>
  <c r="G179" i="43" s="1"/>
  <c r="D220" i="43"/>
  <c r="G220" i="43" s="1"/>
  <c r="D212" i="43"/>
  <c r="F212" i="43" s="1"/>
  <c r="I212" i="43" s="1"/>
  <c r="C248" i="43"/>
  <c r="D248" i="43" s="1"/>
  <c r="G248" i="43" s="1"/>
  <c r="C240" i="43"/>
  <c r="D240" i="43" s="1"/>
  <c r="G240" i="43" s="1"/>
  <c r="C232" i="43"/>
  <c r="D232" i="43" s="1"/>
  <c r="G232" i="43" s="1"/>
  <c r="D50" i="43"/>
  <c r="F50" i="43" s="1"/>
  <c r="I50" i="43" s="1"/>
  <c r="C106" i="43"/>
  <c r="D106" i="43" s="1"/>
  <c r="G106" i="43" s="1"/>
  <c r="C98" i="43"/>
  <c r="D98" i="43" s="1"/>
  <c r="G98" i="43" s="1"/>
  <c r="D189" i="43"/>
  <c r="G189" i="43" s="1"/>
  <c r="D55" i="43"/>
  <c r="F55" i="43" s="1"/>
  <c r="I55" i="43" s="1"/>
  <c r="D47" i="43"/>
  <c r="G47" i="43" s="1"/>
  <c r="C27" i="43"/>
  <c r="D27" i="43" s="1"/>
  <c r="C19" i="43"/>
  <c r="D19" i="43" s="1"/>
  <c r="D103" i="43"/>
  <c r="G103" i="43" s="1"/>
  <c r="D134" i="43"/>
  <c r="G134" i="43" s="1"/>
  <c r="D126" i="43"/>
  <c r="F126" i="43" s="1"/>
  <c r="I126" i="43" s="1"/>
  <c r="D163" i="43"/>
  <c r="G163" i="43" s="1"/>
  <c r="D155" i="43"/>
  <c r="G155" i="43" s="1"/>
  <c r="D219" i="43"/>
  <c r="G219" i="43" s="1"/>
  <c r="D247" i="43"/>
  <c r="G247" i="43" s="1"/>
  <c r="D239" i="43"/>
  <c r="G239" i="43" s="1"/>
  <c r="C87" i="43"/>
  <c r="D87" i="43" s="1"/>
  <c r="G87" i="43" s="1"/>
  <c r="C79" i="43"/>
  <c r="D79" i="43" s="1"/>
  <c r="F79" i="43" s="1"/>
  <c r="I79" i="43" s="1"/>
  <c r="C71" i="43"/>
  <c r="D71" i="43" s="1"/>
  <c r="G71" i="43" s="1"/>
  <c r="D137" i="43"/>
  <c r="G137" i="43" s="1"/>
  <c r="D129" i="43"/>
  <c r="G129" i="43" s="1"/>
  <c r="D76" i="43"/>
  <c r="F76" i="43" s="1"/>
  <c r="I76" i="43" s="1"/>
  <c r="C54" i="43"/>
  <c r="D54" i="43" s="1"/>
  <c r="G54" i="43" s="1"/>
  <c r="C46" i="43"/>
  <c r="D46" i="43" s="1"/>
  <c r="G46" i="43" s="1"/>
  <c r="D102" i="43"/>
  <c r="F102" i="43" s="1"/>
  <c r="I102" i="43" s="1"/>
  <c r="C141" i="43"/>
  <c r="D141" i="43" s="1"/>
  <c r="G141" i="43" s="1"/>
  <c r="D193" i="43"/>
  <c r="F193" i="43" s="1"/>
  <c r="I193" i="43" s="1"/>
  <c r="D185" i="43"/>
  <c r="F185" i="43" s="1"/>
  <c r="I185" i="43" s="1"/>
  <c r="D210" i="43"/>
  <c r="G210" i="43" s="1"/>
  <c r="D246" i="43"/>
  <c r="G246" i="43" s="1"/>
  <c r="F15" i="41"/>
  <c r="E15" i="41"/>
  <c r="D18" i="43"/>
  <c r="F18" i="43" s="1"/>
  <c r="I18" i="43" s="1"/>
  <c r="D28" i="43"/>
  <c r="G28" i="43" s="1"/>
  <c r="D15" i="43"/>
  <c r="F15" i="43" s="1"/>
  <c r="I15" i="43" s="1"/>
  <c r="D13" i="43"/>
  <c r="G13" i="43" s="1"/>
  <c r="D11" i="43"/>
  <c r="F11" i="43" s="1"/>
  <c r="I11" i="43" s="1"/>
  <c r="D30" i="43"/>
  <c r="D31" i="43"/>
  <c r="D25" i="43"/>
  <c r="D23" i="43"/>
  <c r="D22" i="43"/>
  <c r="D12" i="43"/>
  <c r="F107" i="43"/>
  <c r="I107" i="43" s="1"/>
  <c r="D20" i="43"/>
  <c r="D26" i="43"/>
  <c r="G200" i="43"/>
  <c r="F200" i="43"/>
  <c r="I200" i="43" s="1"/>
  <c r="G119" i="43"/>
  <c r="F119" i="43"/>
  <c r="I119" i="43" s="1"/>
  <c r="G38" i="43"/>
  <c r="F38" i="43"/>
  <c r="I38" i="43" s="1"/>
  <c r="G146" i="43" l="1"/>
  <c r="F96" i="43"/>
  <c r="I96" i="43" s="1"/>
  <c r="F69" i="43"/>
  <c r="I69" i="43" s="1"/>
  <c r="G229" i="43"/>
  <c r="F92" i="43"/>
  <c r="I92" i="43" s="1"/>
  <c r="F66" i="43"/>
  <c r="I66" i="43" s="1"/>
  <c r="G194" i="43"/>
  <c r="F174" i="43"/>
  <c r="I174" i="43" s="1"/>
  <c r="F59" i="43"/>
  <c r="I59" i="43" s="1"/>
  <c r="F228" i="43"/>
  <c r="I228" i="43" s="1"/>
  <c r="G122" i="43"/>
  <c r="F65" i="43"/>
  <c r="I65" i="43" s="1"/>
  <c r="F227" i="43"/>
  <c r="I227" i="43" s="1"/>
  <c r="F93" i="43"/>
  <c r="I93" i="43" s="1"/>
  <c r="F39" i="43"/>
  <c r="I39" i="43" s="1"/>
  <c r="G39" i="43"/>
  <c r="G74" i="43"/>
  <c r="F74" i="43"/>
  <c r="I74" i="43" s="1"/>
  <c r="F72" i="43"/>
  <c r="I72" i="43" s="1"/>
  <c r="F184" i="43"/>
  <c r="I184" i="43" s="1"/>
  <c r="G235" i="43"/>
  <c r="F235" i="43"/>
  <c r="I235" i="43" s="1"/>
  <c r="G76" i="43"/>
  <c r="F130" i="43"/>
  <c r="I130" i="43" s="1"/>
  <c r="G242" i="43"/>
  <c r="F231" i="43"/>
  <c r="I231" i="43" s="1"/>
  <c r="G153" i="43"/>
  <c r="F153" i="43"/>
  <c r="I153" i="43" s="1"/>
  <c r="F173" i="43"/>
  <c r="I173" i="43" s="1"/>
  <c r="F201" i="43"/>
  <c r="I201" i="43" s="1"/>
  <c r="F147" i="43"/>
  <c r="I147" i="43" s="1"/>
  <c r="F190" i="43"/>
  <c r="I190" i="43" s="1"/>
  <c r="F149" i="43"/>
  <c r="I149" i="43" s="1"/>
  <c r="F101" i="43"/>
  <c r="I101" i="43" s="1"/>
  <c r="G182" i="43"/>
  <c r="G120" i="43"/>
  <c r="G237" i="43"/>
  <c r="F237" i="43"/>
  <c r="I237" i="43" s="1"/>
  <c r="F154" i="43"/>
  <c r="I154" i="43" s="1"/>
  <c r="G68" i="43"/>
  <c r="F247" i="43"/>
  <c r="I247" i="43" s="1"/>
  <c r="G133" i="43"/>
  <c r="G218" i="43"/>
  <c r="F218" i="43"/>
  <c r="I218" i="43" s="1"/>
  <c r="F121" i="43"/>
  <c r="I121" i="43" s="1"/>
  <c r="F162" i="43"/>
  <c r="I162" i="43" s="1"/>
  <c r="G148" i="43"/>
  <c r="G207" i="43"/>
  <c r="G177" i="43"/>
  <c r="F52" i="43"/>
  <c r="I52" i="43" s="1"/>
  <c r="G176" i="43"/>
  <c r="F166" i="43"/>
  <c r="I166" i="43" s="1"/>
  <c r="F205" i="43"/>
  <c r="I205" i="43" s="1"/>
  <c r="F103" i="43"/>
  <c r="I103" i="43" s="1"/>
  <c r="F106" i="43"/>
  <c r="I106" i="43" s="1"/>
  <c r="F140" i="43"/>
  <c r="I140" i="43" s="1"/>
  <c r="G140" i="43"/>
  <c r="F56" i="43"/>
  <c r="I56" i="43" s="1"/>
  <c r="G208" i="43"/>
  <c r="G178" i="43"/>
  <c r="F165" i="43"/>
  <c r="I165" i="43" s="1"/>
  <c r="F109" i="43"/>
  <c r="I109" i="43" s="1"/>
  <c r="F123" i="43"/>
  <c r="I123" i="43" s="1"/>
  <c r="F159" i="43"/>
  <c r="I159" i="43" s="1"/>
  <c r="F43" i="43"/>
  <c r="I43" i="43" s="1"/>
  <c r="F186" i="43"/>
  <c r="I186" i="43" s="1"/>
  <c r="F249" i="43"/>
  <c r="I249" i="43" s="1"/>
  <c r="G94" i="43"/>
  <c r="F187" i="43"/>
  <c r="I187" i="43" s="1"/>
  <c r="G212" i="43"/>
  <c r="G125" i="43"/>
  <c r="F215" i="43"/>
  <c r="I215" i="43" s="1"/>
  <c r="F151" i="43"/>
  <c r="I151" i="43" s="1"/>
  <c r="F86" i="43"/>
  <c r="I86" i="43" s="1"/>
  <c r="F139" i="43"/>
  <c r="I139" i="43" s="1"/>
  <c r="F239" i="43"/>
  <c r="I239" i="43" s="1"/>
  <c r="G42" i="43"/>
  <c r="F82" i="43"/>
  <c r="I82" i="43" s="1"/>
  <c r="F195" i="43"/>
  <c r="I195" i="43" s="1"/>
  <c r="F81" i="43"/>
  <c r="I81" i="43" s="1"/>
  <c r="G124" i="43"/>
  <c r="F124" i="43"/>
  <c r="I124" i="43" s="1"/>
  <c r="G50" i="43"/>
  <c r="F40" i="43"/>
  <c r="I40" i="43" s="1"/>
  <c r="F41" i="43"/>
  <c r="I41" i="43" s="1"/>
  <c r="G241" i="43"/>
  <c r="F95" i="43"/>
  <c r="I95" i="43" s="1"/>
  <c r="G183" i="43"/>
  <c r="G77" i="43"/>
  <c r="F222" i="43"/>
  <c r="I222" i="43" s="1"/>
  <c r="G203" i="43"/>
  <c r="F203" i="43"/>
  <c r="I203" i="43" s="1"/>
  <c r="G111" i="43"/>
  <c r="F111" i="43"/>
  <c r="I111" i="43" s="1"/>
  <c r="G83" i="43"/>
  <c r="F83" i="43"/>
  <c r="I83" i="43" s="1"/>
  <c r="G192" i="43"/>
  <c r="F192" i="43"/>
  <c r="I192" i="43" s="1"/>
  <c r="G79" i="43"/>
  <c r="F160" i="43"/>
  <c r="I160" i="43" s="1"/>
  <c r="G236" i="43"/>
  <c r="G70" i="43"/>
  <c r="F175" i="43"/>
  <c r="I175" i="43" s="1"/>
  <c r="F243" i="43"/>
  <c r="I243" i="43" s="1"/>
  <c r="F80" i="43"/>
  <c r="I80" i="43" s="1"/>
  <c r="F209" i="43"/>
  <c r="I209" i="43" s="1"/>
  <c r="G132" i="43"/>
  <c r="G157" i="43"/>
  <c r="G126" i="43"/>
  <c r="F67" i="43"/>
  <c r="I67" i="43" s="1"/>
  <c r="F220" i="43"/>
  <c r="I220" i="43" s="1"/>
  <c r="F53" i="43"/>
  <c r="I53" i="43" s="1"/>
  <c r="G104" i="43"/>
  <c r="F48" i="43"/>
  <c r="I48" i="43" s="1"/>
  <c r="F21" i="40"/>
  <c r="G233" i="43"/>
  <c r="F217" i="43"/>
  <c r="I217" i="43" s="1"/>
  <c r="G185" i="43"/>
  <c r="F150" i="43"/>
  <c r="I150" i="43" s="1"/>
  <c r="F167" i="43"/>
  <c r="I167" i="43" s="1"/>
  <c r="F161" i="43"/>
  <c r="I161" i="43" s="1"/>
  <c r="F168" i="43"/>
  <c r="I168" i="43" s="1"/>
  <c r="G138" i="43"/>
  <c r="F131" i="43"/>
  <c r="I131" i="43" s="1"/>
  <c r="F134" i="43"/>
  <c r="I134" i="43" s="1"/>
  <c r="G136" i="43"/>
  <c r="F99" i="43"/>
  <c r="I99" i="43" s="1"/>
  <c r="F114" i="43"/>
  <c r="I114" i="43" s="1"/>
  <c r="F51" i="43"/>
  <c r="I51" i="43" s="1"/>
  <c r="F46" i="43"/>
  <c r="I46" i="43" s="1"/>
  <c r="F188" i="43"/>
  <c r="I188" i="43" s="1"/>
  <c r="G230" i="43"/>
  <c r="G128" i="43"/>
  <c r="F152" i="43"/>
  <c r="I152" i="43" s="1"/>
  <c r="F163" i="43"/>
  <c r="I163" i="43" s="1"/>
  <c r="G58" i="43"/>
  <c r="F204" i="43"/>
  <c r="I204" i="43" s="1"/>
  <c r="G238" i="43"/>
  <c r="F98" i="43"/>
  <c r="I98" i="43" s="1"/>
  <c r="F248" i="43"/>
  <c r="I248" i="43" s="1"/>
  <c r="F44" i="43"/>
  <c r="I44" i="43" s="1"/>
  <c r="F71" i="43"/>
  <c r="I71" i="43" s="1"/>
  <c r="F78" i="43"/>
  <c r="I78" i="43" s="1"/>
  <c r="F87" i="43"/>
  <c r="I87" i="43" s="1"/>
  <c r="F245" i="43"/>
  <c r="I245" i="43" s="1"/>
  <c r="F45" i="43"/>
  <c r="I45" i="43" s="1"/>
  <c r="F202" i="43"/>
  <c r="I202" i="43" s="1"/>
  <c r="G84" i="43"/>
  <c r="F75" i="43"/>
  <c r="I75" i="43" s="1"/>
  <c r="G110" i="43"/>
  <c r="F244" i="43"/>
  <c r="I244" i="43" s="1"/>
  <c r="F210" i="43"/>
  <c r="I210" i="43" s="1"/>
  <c r="F113" i="43"/>
  <c r="I113" i="43" s="1"/>
  <c r="F179" i="43"/>
  <c r="I179" i="43" s="1"/>
  <c r="F57" i="43"/>
  <c r="I57" i="43" s="1"/>
  <c r="F189" i="43"/>
  <c r="I189" i="43" s="1"/>
  <c r="D91" i="43"/>
  <c r="F54" i="43"/>
  <c r="I54" i="43" s="1"/>
  <c r="F246" i="43"/>
  <c r="I246" i="43" s="1"/>
  <c r="D21" i="40"/>
  <c r="E21" i="40"/>
  <c r="J21" i="40"/>
  <c r="G21" i="40"/>
  <c r="L21" i="40"/>
  <c r="I21" i="40"/>
  <c r="K21" i="40"/>
  <c r="H21" i="40"/>
  <c r="D64" i="43"/>
  <c r="F129" i="43"/>
  <c r="I129" i="43" s="1"/>
  <c r="G102" i="43"/>
  <c r="D226" i="43"/>
  <c r="F141" i="43"/>
  <c r="I141" i="43" s="1"/>
  <c r="F73" i="43"/>
  <c r="I73" i="43" s="1"/>
  <c r="G55" i="43"/>
  <c r="G158" i="43"/>
  <c r="G73" i="43"/>
  <c r="F156" i="43"/>
  <c r="I156" i="43" s="1"/>
  <c r="F206" i="43"/>
  <c r="I206" i="43" s="1"/>
  <c r="F85" i="43"/>
  <c r="I85" i="43" s="1"/>
  <c r="F97" i="43"/>
  <c r="I97" i="43" s="1"/>
  <c r="D37" i="43"/>
  <c r="F213" i="43"/>
  <c r="I213" i="43" s="1"/>
  <c r="F137" i="43"/>
  <c r="I137" i="43" s="1"/>
  <c r="F164" i="43"/>
  <c r="I164" i="43" s="1"/>
  <c r="F135" i="43"/>
  <c r="I135" i="43" s="1"/>
  <c r="G193" i="43"/>
  <c r="G97" i="43"/>
  <c r="G108" i="43"/>
  <c r="F232" i="43"/>
  <c r="I232" i="43" s="1"/>
  <c r="F191" i="43"/>
  <c r="I191" i="43" s="1"/>
  <c r="F49" i="43"/>
  <c r="I49" i="43" s="1"/>
  <c r="F211" i="43"/>
  <c r="I211" i="43" s="1"/>
  <c r="F105" i="43"/>
  <c r="I105" i="43" s="1"/>
  <c r="D118" i="43"/>
  <c r="F221" i="43"/>
  <c r="I221" i="43" s="1"/>
  <c r="D145" i="43"/>
  <c r="F155" i="43"/>
  <c r="I155" i="43" s="1"/>
  <c r="F234" i="43"/>
  <c r="I234" i="43" s="1"/>
  <c r="F47" i="43"/>
  <c r="I47" i="43" s="1"/>
  <c r="F180" i="43"/>
  <c r="I180" i="43" s="1"/>
  <c r="F240" i="43"/>
  <c r="I240" i="43" s="1"/>
  <c r="F100" i="43"/>
  <c r="I100" i="43" s="1"/>
  <c r="F60" i="43"/>
  <c r="I60" i="43" s="1"/>
  <c r="F219" i="43"/>
  <c r="I219" i="43" s="1"/>
  <c r="F112" i="43"/>
  <c r="I112" i="43" s="1"/>
  <c r="F181" i="43"/>
  <c r="I181" i="43" s="1"/>
  <c r="D172" i="43"/>
  <c r="F214" i="43"/>
  <c r="I214" i="43" s="1"/>
  <c r="F216" i="43"/>
  <c r="I216" i="43" s="1"/>
  <c r="D199" i="43"/>
  <c r="F127" i="43"/>
  <c r="I127" i="43" s="1"/>
  <c r="G24" i="43"/>
  <c r="G18" i="43"/>
  <c r="F32" i="43"/>
  <c r="I32" i="43" s="1"/>
  <c r="G11" i="43"/>
  <c r="G16" i="43"/>
  <c r="F28" i="43"/>
  <c r="I28" i="43" s="1"/>
  <c r="G15" i="43"/>
  <c r="F13" i="43"/>
  <c r="I13" i="43" s="1"/>
  <c r="F29" i="43"/>
  <c r="I29" i="43" s="1"/>
  <c r="F21" i="43"/>
  <c r="I21" i="43" s="1"/>
  <c r="F22" i="43"/>
  <c r="I22" i="43" s="1"/>
  <c r="G22" i="43"/>
  <c r="F14" i="43"/>
  <c r="I14" i="43" s="1"/>
  <c r="G14" i="43"/>
  <c r="G26" i="43"/>
  <c r="F26" i="43"/>
  <c r="I26" i="43" s="1"/>
  <c r="G12" i="43"/>
  <c r="F12" i="43"/>
  <c r="I12" i="43" s="1"/>
  <c r="F23" i="43"/>
  <c r="I23" i="43" s="1"/>
  <c r="G23" i="43"/>
  <c r="G25" i="43"/>
  <c r="F25" i="43"/>
  <c r="I25" i="43" s="1"/>
  <c r="G17" i="43"/>
  <c r="F17" i="43"/>
  <c r="I17" i="43" s="1"/>
  <c r="F30" i="43"/>
  <c r="I30" i="43" s="1"/>
  <c r="G30" i="43"/>
  <c r="G20" i="43"/>
  <c r="F20" i="43"/>
  <c r="I20" i="43" s="1"/>
  <c r="F31" i="43"/>
  <c r="I31" i="43" s="1"/>
  <c r="G31" i="43"/>
  <c r="G19" i="43"/>
  <c r="F19" i="43"/>
  <c r="I19" i="43" s="1"/>
  <c r="G27" i="43"/>
  <c r="F27" i="43"/>
  <c r="I27" i="43" s="1"/>
  <c r="D10" i="43"/>
  <c r="G33" i="43"/>
  <c r="F33" i="43"/>
  <c r="I33" i="43" s="1"/>
  <c r="D15" i="50" l="1"/>
  <c r="G199" i="43"/>
  <c r="G37" i="43"/>
  <c r="G118" i="43"/>
  <c r="G64" i="43"/>
  <c r="G145" i="43"/>
  <c r="G172" i="43"/>
  <c r="E15" i="50"/>
  <c r="G226" i="43"/>
  <c r="C15" i="50"/>
  <c r="F91" i="43"/>
  <c r="I91" i="43" s="1"/>
  <c r="G91" i="43"/>
  <c r="F64" i="43"/>
  <c r="I64" i="43" s="1"/>
  <c r="F118" i="43"/>
  <c r="I118" i="43" s="1"/>
  <c r="G15" i="50"/>
  <c r="H15" i="50"/>
  <c r="J15" i="50"/>
  <c r="K15" i="50"/>
  <c r="F15" i="50"/>
  <c r="I15" i="50"/>
  <c r="F226" i="43"/>
  <c r="I226" i="43" s="1"/>
  <c r="F37" i="43"/>
  <c r="I37" i="43" s="1"/>
  <c r="F199" i="43"/>
  <c r="I199" i="43" s="1"/>
  <c r="F172" i="43"/>
  <c r="I172" i="43" s="1"/>
  <c r="F145" i="43"/>
  <c r="I145" i="43" s="1"/>
  <c r="F10" i="43"/>
  <c r="I10" i="43" s="1"/>
  <c r="G10" i="43"/>
  <c r="C130" i="47"/>
  <c r="C131" i="47"/>
  <c r="C124" i="47"/>
  <c r="C125" i="47"/>
  <c r="C126" i="47"/>
  <c r="C127" i="47"/>
  <c r="C128" i="47"/>
  <c r="C129" i="47"/>
  <c r="C114" i="47"/>
  <c r="C115" i="47"/>
  <c r="C116" i="47"/>
  <c r="C117" i="47"/>
  <c r="C118" i="47"/>
  <c r="C119" i="47"/>
  <c r="C120" i="47"/>
  <c r="C121" i="47"/>
  <c r="C122" i="47"/>
  <c r="C123" i="47"/>
  <c r="G102" i="47"/>
  <c r="D62" i="43" s="1"/>
  <c r="H102" i="47"/>
  <c r="D89" i="43" s="1"/>
  <c r="I102" i="47"/>
  <c r="D116" i="43" s="1"/>
  <c r="J102" i="47"/>
  <c r="D143" i="43" s="1"/>
  <c r="K102" i="47"/>
  <c r="D170" i="43" s="1"/>
  <c r="L102" i="47"/>
  <c r="D197" i="43" s="1"/>
  <c r="M102" i="47"/>
  <c r="D224" i="43" s="1"/>
  <c r="N102" i="47"/>
  <c r="D251" i="43" s="1"/>
  <c r="D35" i="43"/>
  <c r="C56" i="47"/>
  <c r="C57" i="47"/>
  <c r="C58" i="47"/>
  <c r="C59" i="47"/>
  <c r="C60" i="47"/>
  <c r="C61" i="47"/>
  <c r="C62" i="47"/>
  <c r="C63" i="47"/>
  <c r="C64" i="47"/>
  <c r="C65" i="47"/>
  <c r="C66" i="47"/>
  <c r="C67" i="47"/>
  <c r="C68" i="47"/>
  <c r="C69" i="47"/>
  <c r="C70" i="47"/>
  <c r="C71" i="47"/>
  <c r="C72" i="47"/>
  <c r="C55" i="47"/>
  <c r="C22" i="46"/>
  <c r="F29" i="47"/>
  <c r="G29" i="47"/>
  <c r="F28" i="47"/>
  <c r="J12" i="47"/>
  <c r="H23" i="40" s="1"/>
  <c r="K12" i="47"/>
  <c r="I23" i="40" s="1"/>
  <c r="L12" i="47"/>
  <c r="J23" i="40" s="1"/>
  <c r="M12" i="47"/>
  <c r="K23" i="40" s="1"/>
  <c r="N12" i="47"/>
  <c r="L23" i="40" s="1"/>
  <c r="I12" i="47"/>
  <c r="G23" i="40" s="1"/>
  <c r="H12" i="47"/>
  <c r="F23" i="40" s="1"/>
  <c r="G12" i="47"/>
  <c r="F12" i="47" l="1"/>
  <c r="D23" i="40" s="1"/>
  <c r="E23" i="40"/>
  <c r="F163" i="42"/>
  <c r="F89" i="42"/>
  <c r="F38" i="42"/>
  <c r="F134" i="42"/>
  <c r="F17" i="42"/>
  <c r="F121" i="42"/>
  <c r="F166" i="42"/>
  <c r="F60" i="42"/>
  <c r="F167" i="42"/>
  <c r="F79" i="42"/>
  <c r="F186" i="42"/>
  <c r="F80" i="42"/>
  <c r="F99" i="42"/>
  <c r="F98" i="42"/>
  <c r="F30" i="42"/>
  <c r="H167" i="42"/>
  <c r="D133" i="42"/>
  <c r="H55" i="42"/>
  <c r="H13" i="42"/>
  <c r="H98" i="42"/>
  <c r="D49" i="42"/>
  <c r="D160" i="42"/>
  <c r="D120" i="42"/>
  <c r="H82" i="42"/>
  <c r="D16" i="42"/>
  <c r="D195" i="42"/>
  <c r="H77" i="42"/>
  <c r="H39" i="42"/>
  <c r="H139" i="42"/>
  <c r="H17" i="42"/>
  <c r="D174" i="42"/>
  <c r="D62" i="42"/>
  <c r="D26" i="42"/>
  <c r="D185" i="42"/>
  <c r="D140" i="42"/>
  <c r="H101" i="42"/>
  <c r="H70" i="42"/>
  <c r="D154" i="42"/>
  <c r="H185" i="42"/>
  <c r="H153" i="42"/>
  <c r="H112" i="42"/>
  <c r="H37" i="42"/>
  <c r="D29" i="42"/>
  <c r="H140" i="42"/>
  <c r="F118" i="42"/>
  <c r="F113" i="42"/>
  <c r="F29" i="42"/>
  <c r="D93" i="42"/>
  <c r="D80" i="42"/>
  <c r="D17" i="42"/>
  <c r="H56" i="42"/>
  <c r="D146" i="42"/>
  <c r="F177" i="42"/>
  <c r="F57" i="42"/>
  <c r="F182" i="42"/>
  <c r="F101" i="42"/>
  <c r="F82" i="42"/>
  <c r="F135" i="42"/>
  <c r="F18" i="42"/>
  <c r="F140" i="42"/>
  <c r="F34" i="42"/>
  <c r="F173" i="42"/>
  <c r="F93" i="42"/>
  <c r="F160" i="42"/>
  <c r="F187" i="42"/>
  <c r="F112" i="42"/>
  <c r="F188" i="42"/>
  <c r="D173" i="42"/>
  <c r="H135" i="42"/>
  <c r="D61" i="42"/>
  <c r="H29" i="42"/>
  <c r="H114" i="42"/>
  <c r="D27" i="42"/>
  <c r="H162" i="42"/>
  <c r="H122" i="42"/>
  <c r="H90" i="42"/>
  <c r="H195" i="42"/>
  <c r="H197" i="42"/>
  <c r="D123" i="42"/>
  <c r="D83" i="42"/>
  <c r="H47" i="42"/>
  <c r="D145" i="42"/>
  <c r="H20" i="42"/>
  <c r="H176" i="42"/>
  <c r="D101" i="42"/>
  <c r="D70" i="42"/>
  <c r="H187" i="42"/>
  <c r="H182" i="42"/>
  <c r="H142" i="42"/>
  <c r="D76" i="42"/>
  <c r="D34" i="42"/>
  <c r="H156" i="42"/>
  <c r="D119" i="42"/>
  <c r="D79" i="42"/>
  <c r="H41" i="42"/>
  <c r="D186" i="42"/>
  <c r="H132" i="42"/>
  <c r="F120" i="42"/>
  <c r="F131" i="42"/>
  <c r="H131" i="42"/>
  <c r="D155" i="42"/>
  <c r="D110" i="42"/>
  <c r="F145" i="42"/>
  <c r="F71" i="42"/>
  <c r="F196" i="42"/>
  <c r="F76" i="42"/>
  <c r="F49" i="42"/>
  <c r="F102" i="42"/>
  <c r="F26" i="42"/>
  <c r="F154" i="42"/>
  <c r="F19" i="42"/>
  <c r="F141" i="42"/>
  <c r="F61" i="42"/>
  <c r="F174" i="42"/>
  <c r="F62" i="42"/>
  <c r="F161" i="42"/>
  <c r="F81" i="42"/>
  <c r="F70" i="42"/>
  <c r="H175" i="42"/>
  <c r="D100" i="42"/>
  <c r="D69" i="42"/>
  <c r="D15" i="42"/>
  <c r="D81" i="42"/>
  <c r="H76" i="42"/>
  <c r="D176" i="42"/>
  <c r="D56" i="42"/>
  <c r="H163" i="42"/>
  <c r="D163" i="42"/>
  <c r="H125" i="42"/>
  <c r="D91" i="42"/>
  <c r="H51" i="42"/>
  <c r="H155" i="42"/>
  <c r="D14" i="42"/>
  <c r="D142" i="42"/>
  <c r="H103" i="42"/>
  <c r="H72" i="42"/>
  <c r="D161" i="42"/>
  <c r="D188" i="42"/>
  <c r="D156" i="42"/>
  <c r="H78" i="42"/>
  <c r="D50" i="42"/>
  <c r="D122" i="42"/>
  <c r="H161" i="42"/>
  <c r="H121" i="42"/>
  <c r="H81" i="42"/>
  <c r="H49" i="42"/>
  <c r="H188" i="42"/>
  <c r="D97" i="42"/>
  <c r="F119" i="42"/>
  <c r="F39" i="42"/>
  <c r="F164" i="42"/>
  <c r="F90" i="42"/>
  <c r="F183" i="42"/>
  <c r="F77" i="42"/>
  <c r="F144" i="42"/>
  <c r="F122" i="42"/>
  <c r="F27" i="42"/>
  <c r="F155" i="42"/>
  <c r="F35" i="42"/>
  <c r="F142" i="42"/>
  <c r="F68" i="42"/>
  <c r="F175" i="42"/>
  <c r="F55" i="42"/>
  <c r="D181" i="42"/>
  <c r="D141" i="42"/>
  <c r="H102" i="42"/>
  <c r="H71" i="42"/>
  <c r="H91" i="42"/>
  <c r="D90" i="42"/>
  <c r="H97" i="42"/>
  <c r="H58" i="42"/>
  <c r="D89" i="42"/>
  <c r="H165" i="42"/>
  <c r="D131" i="42"/>
  <c r="H93" i="42"/>
  <c r="D39" i="42"/>
  <c r="D121" i="42"/>
  <c r="D182" i="42"/>
  <c r="H144" i="42"/>
  <c r="H111" i="42"/>
  <c r="H83" i="42"/>
  <c r="D196" i="42"/>
  <c r="H118" i="42"/>
  <c r="D92" i="42"/>
  <c r="H18" i="42"/>
  <c r="H124" i="42"/>
  <c r="D167" i="42"/>
  <c r="D135" i="42"/>
  <c r="H89" i="42"/>
  <c r="D35" i="42"/>
  <c r="D194" i="42"/>
  <c r="H99" i="42"/>
  <c r="F41" i="42"/>
  <c r="H48" i="42"/>
  <c r="D114" i="42"/>
  <c r="D18" i="42"/>
  <c r="H145" i="42"/>
  <c r="F133" i="42"/>
  <c r="F50" i="42"/>
  <c r="F58" i="42"/>
  <c r="F197" i="42"/>
  <c r="F91" i="42"/>
  <c r="F56" i="42"/>
  <c r="F162" i="42"/>
  <c r="F123" i="42"/>
  <c r="F20" i="42"/>
  <c r="F156" i="42"/>
  <c r="F36" i="42"/>
  <c r="F143" i="42"/>
  <c r="F69" i="42"/>
  <c r="H183" i="42"/>
  <c r="H143" i="42"/>
  <c r="H110" i="42"/>
  <c r="H34" i="42"/>
  <c r="D177" i="42"/>
  <c r="H59" i="42"/>
  <c r="H60" i="42"/>
  <c r="D144" i="42"/>
  <c r="D103" i="42"/>
  <c r="D72" i="42"/>
  <c r="D57" i="42"/>
  <c r="H173" i="42"/>
  <c r="H133" i="42"/>
  <c r="D59" i="42"/>
  <c r="D47" i="42"/>
  <c r="H184" i="42"/>
  <c r="H152" i="42"/>
  <c r="D78" i="42"/>
  <c r="D40" i="42"/>
  <c r="H36" i="42"/>
  <c r="H198" i="42"/>
  <c r="D124" i="42"/>
  <c r="H26" i="42"/>
  <c r="D58" i="42"/>
  <c r="D175" i="42"/>
  <c r="D55" i="42"/>
  <c r="D51" i="42"/>
  <c r="H196" i="42"/>
  <c r="D113" i="42"/>
  <c r="F198" i="42"/>
  <c r="D165" i="42"/>
  <c r="D187" i="42"/>
  <c r="D166" i="42"/>
  <c r="H174" i="42"/>
  <c r="D13" i="42"/>
  <c r="F100" i="42"/>
  <c r="F16" i="42"/>
  <c r="F146" i="42"/>
  <c r="F72" i="42"/>
  <c r="F165" i="42"/>
  <c r="F59" i="42"/>
  <c r="F15" i="42"/>
  <c r="F103" i="42"/>
  <c r="F132" i="42"/>
  <c r="F28" i="42"/>
  <c r="F124" i="42"/>
  <c r="F47" i="42"/>
  <c r="F37" i="42"/>
  <c r="D197" i="42"/>
  <c r="D77" i="42"/>
  <c r="H38" i="42"/>
  <c r="D153" i="42"/>
  <c r="D184" i="42"/>
  <c r="H146" i="42"/>
  <c r="D111" i="42"/>
  <c r="D38" i="42"/>
  <c r="H68" i="42"/>
  <c r="D139" i="42"/>
  <c r="D98" i="42"/>
  <c r="H61" i="42"/>
  <c r="H15" i="42"/>
  <c r="D104" i="42"/>
  <c r="D198" i="42"/>
  <c r="D118" i="42"/>
  <c r="H80" i="42"/>
  <c r="D48" i="42"/>
  <c r="D19" i="42"/>
  <c r="D164" i="42"/>
  <c r="D132" i="42"/>
  <c r="D60" i="42"/>
  <c r="D20" i="42"/>
  <c r="H28" i="42"/>
  <c r="H177" i="42"/>
  <c r="D102" i="42"/>
  <c r="H57" i="42"/>
  <c r="H19" i="42"/>
  <c r="D162" i="42"/>
  <c r="D82" i="42"/>
  <c r="H30" i="42"/>
  <c r="D68" i="42"/>
  <c r="F181" i="42"/>
  <c r="F114" i="42"/>
  <c r="F176" i="42"/>
  <c r="F152" i="42"/>
  <c r="F40" i="42"/>
  <c r="F139" i="42"/>
  <c r="F184" i="42"/>
  <c r="F78" i="42"/>
  <c r="F185" i="42"/>
  <c r="F104" i="42"/>
  <c r="F194" i="42"/>
  <c r="F97" i="42"/>
  <c r="F13" i="42"/>
  <c r="F125" i="42"/>
  <c r="F48" i="42"/>
  <c r="H119" i="42"/>
  <c r="H79" i="42"/>
  <c r="H50" i="42"/>
  <c r="H123" i="42"/>
  <c r="H40" i="42"/>
  <c r="H186" i="42"/>
  <c r="D152" i="42"/>
  <c r="H113" i="42"/>
  <c r="H14" i="42"/>
  <c r="H181" i="42"/>
  <c r="H141" i="42"/>
  <c r="H100" i="42"/>
  <c r="H69" i="42"/>
  <c r="D112" i="42"/>
  <c r="H160" i="42"/>
  <c r="H120" i="42"/>
  <c r="H16" i="42"/>
  <c r="D36" i="42"/>
  <c r="H166" i="42"/>
  <c r="H134" i="42"/>
  <c r="H62" i="42"/>
  <c r="D28" i="42"/>
  <c r="D30" i="42"/>
  <c r="D143" i="42"/>
  <c r="H104" i="42"/>
  <c r="D71" i="42"/>
  <c r="H27" i="42"/>
  <c r="H164" i="42"/>
  <c r="H92" i="42"/>
  <c r="F83" i="42"/>
  <c r="F110" i="42"/>
  <c r="F111" i="42"/>
  <c r="D125" i="42"/>
  <c r="H154" i="42"/>
  <c r="D41" i="42"/>
  <c r="D99" i="42"/>
  <c r="F195" i="42"/>
  <c r="F51" i="42"/>
  <c r="F153" i="42"/>
  <c r="F92" i="42"/>
  <c r="F14" i="42"/>
  <c r="D37" i="42"/>
  <c r="H194" i="42"/>
  <c r="H35" i="42"/>
  <c r="D134" i="42"/>
  <c r="D183" i="42"/>
  <c r="J179" i="42"/>
  <c r="L14" i="41" s="1"/>
  <c r="J158" i="42"/>
  <c r="K14" i="41" s="1"/>
  <c r="J137" i="42"/>
  <c r="J14" i="41" s="1"/>
  <c r="J53" i="42"/>
  <c r="F14" i="41" s="1"/>
  <c r="J116" i="42"/>
  <c r="I14" i="41" s="1"/>
  <c r="J95" i="42"/>
  <c r="H14" i="41" s="1"/>
  <c r="J32" i="42"/>
  <c r="E14" i="41" s="1"/>
  <c r="J74" i="42"/>
  <c r="G14" i="41" s="1"/>
  <c r="F22" i="47"/>
  <c r="F104" i="47"/>
  <c r="H29" i="47"/>
  <c r="C26" i="46" s="1"/>
  <c r="G28" i="47"/>
  <c r="G30" i="21"/>
  <c r="F30" i="21"/>
  <c r="E30" i="21"/>
  <c r="D30" i="21"/>
  <c r="C30" i="21"/>
  <c r="H13" i="21"/>
  <c r="G13" i="21"/>
  <c r="F13" i="21"/>
  <c r="E13" i="21"/>
  <c r="D13" i="21"/>
  <c r="C13" i="21"/>
  <c r="C45" i="21"/>
  <c r="D11" i="42" l="1"/>
  <c r="J11" i="42"/>
  <c r="L95" i="42"/>
  <c r="H15" i="41" s="1"/>
  <c r="L158" i="42"/>
  <c r="K15" i="41" s="1"/>
  <c r="L116" i="42"/>
  <c r="I15" i="41" s="1"/>
  <c r="L137" i="42"/>
  <c r="J15" i="41" s="1"/>
  <c r="L179" i="42"/>
  <c r="L15" i="41" s="1"/>
  <c r="L74" i="42"/>
  <c r="G15" i="41" s="1"/>
  <c r="F95" i="42"/>
  <c r="H12" i="41" s="1"/>
  <c r="F32" i="42"/>
  <c r="E12" i="41" s="1"/>
  <c r="F11" i="42"/>
  <c r="D12" i="41" s="1"/>
  <c r="D158" i="42"/>
  <c r="K11" i="41" s="1"/>
  <c r="H137" i="42"/>
  <c r="J13" i="41" s="1"/>
  <c r="H179" i="42"/>
  <c r="L13" i="41" s="1"/>
  <c r="D74" i="42"/>
  <c r="G11" i="41" s="1"/>
  <c r="H32" i="42"/>
  <c r="E13" i="41" s="1"/>
  <c r="F137" i="42"/>
  <c r="J12" i="41" s="1"/>
  <c r="D116" i="42"/>
  <c r="I11" i="41" s="1"/>
  <c r="F53" i="42"/>
  <c r="F12" i="41" s="1"/>
  <c r="H11" i="42"/>
  <c r="D13" i="41" s="1"/>
  <c r="D137" i="42"/>
  <c r="J11" i="41" s="1"/>
  <c r="H74" i="42"/>
  <c r="G13" i="41" s="1"/>
  <c r="H53" i="42"/>
  <c r="F13" i="41" s="1"/>
  <c r="D32" i="42"/>
  <c r="E11" i="41" s="1"/>
  <c r="H158" i="42"/>
  <c r="K13" i="41" s="1"/>
  <c r="F74" i="42"/>
  <c r="G12" i="41" s="1"/>
  <c r="J188" i="43"/>
  <c r="K188" i="43" s="1"/>
  <c r="J163" i="43"/>
  <c r="K163" i="43" s="1"/>
  <c r="J213" i="43"/>
  <c r="K213" i="43" s="1"/>
  <c r="J181" i="43"/>
  <c r="K181" i="43" s="1"/>
  <c r="J214" i="43"/>
  <c r="K214" i="43" s="1"/>
  <c r="J92" i="43"/>
  <c r="J75" i="43"/>
  <c r="K75" i="43" s="1"/>
  <c r="J127" i="43"/>
  <c r="K127" i="43" s="1"/>
  <c r="J189" i="43"/>
  <c r="K189" i="43" s="1"/>
  <c r="J135" i="43"/>
  <c r="K135" i="43" s="1"/>
  <c r="J147" i="43"/>
  <c r="K147" i="43" s="1"/>
  <c r="J101" i="43"/>
  <c r="K101" i="43" s="1"/>
  <c r="J232" i="43"/>
  <c r="K232" i="43" s="1"/>
  <c r="J129" i="43"/>
  <c r="K129" i="43" s="1"/>
  <c r="J162" i="43"/>
  <c r="K162" i="43" s="1"/>
  <c r="J222" i="43"/>
  <c r="K222" i="43" s="1"/>
  <c r="J49" i="43"/>
  <c r="K49" i="43" s="1"/>
  <c r="J195" i="43"/>
  <c r="K195" i="43" s="1"/>
  <c r="J93" i="43"/>
  <c r="K93" i="43" s="1"/>
  <c r="J155" i="43"/>
  <c r="K155" i="43" s="1"/>
  <c r="J173" i="43"/>
  <c r="K173" i="43" s="1"/>
  <c r="J187" i="43"/>
  <c r="K187" i="43" s="1"/>
  <c r="J154" i="43"/>
  <c r="K154" i="43" s="1"/>
  <c r="J180" i="43"/>
  <c r="K180" i="43" s="1"/>
  <c r="J240" i="43"/>
  <c r="K240" i="43" s="1"/>
  <c r="J206" i="43"/>
  <c r="K206" i="43" s="1"/>
  <c r="J109" i="43"/>
  <c r="K109" i="43" s="1"/>
  <c r="J41" i="43"/>
  <c r="K41" i="43" s="1"/>
  <c r="J121" i="43"/>
  <c r="K121" i="43" s="1"/>
  <c r="J67" i="43"/>
  <c r="K67" i="43" s="1"/>
  <c r="J57" i="43"/>
  <c r="K57" i="43" s="1"/>
  <c r="J205" i="43"/>
  <c r="K205" i="43" s="1"/>
  <c r="J221" i="43"/>
  <c r="K221" i="43" s="1"/>
  <c r="J83" i="43"/>
  <c r="K83" i="43" s="1"/>
  <c r="J248" i="43"/>
  <c r="K248" i="43" s="1"/>
  <c r="J179" i="43"/>
  <c r="K179" i="43" s="1"/>
  <c r="J39" i="43"/>
  <c r="K39" i="43" s="1"/>
  <c r="J244" i="43"/>
  <c r="K244" i="43" s="1"/>
  <c r="J96" i="43"/>
  <c r="K96" i="43" s="1"/>
  <c r="J242" i="43"/>
  <c r="K242" i="43" s="1"/>
  <c r="J190" i="43"/>
  <c r="K190" i="43" s="1"/>
  <c r="J139" i="43"/>
  <c r="K139" i="43" s="1"/>
  <c r="J185" i="43"/>
  <c r="K185" i="43" s="1"/>
  <c r="J87" i="43"/>
  <c r="K87" i="43" s="1"/>
  <c r="J99" i="43"/>
  <c r="K99" i="43" s="1"/>
  <c r="J48" i="43"/>
  <c r="K48" i="43" s="1"/>
  <c r="J104" i="43"/>
  <c r="K104" i="43" s="1"/>
  <c r="J193" i="43"/>
  <c r="K193" i="43" s="1"/>
  <c r="J168" i="43"/>
  <c r="K168" i="43" s="1"/>
  <c r="J156" i="43"/>
  <c r="K156" i="43" s="1"/>
  <c r="J134" i="43"/>
  <c r="K134" i="43" s="1"/>
  <c r="J110" i="43"/>
  <c r="K110" i="43" s="1"/>
  <c r="J184" i="43"/>
  <c r="K184" i="43" s="1"/>
  <c r="J107" i="43"/>
  <c r="K107" i="43" s="1"/>
  <c r="J202" i="43"/>
  <c r="K202" i="43" s="1"/>
  <c r="J210" i="43"/>
  <c r="K210" i="43" s="1"/>
  <c r="J105" i="43"/>
  <c r="K105" i="43" s="1"/>
  <c r="J217" i="43"/>
  <c r="K217" i="43" s="1"/>
  <c r="J69" i="43"/>
  <c r="K69" i="43" s="1"/>
  <c r="J207" i="43"/>
  <c r="K207" i="43" s="1"/>
  <c r="J246" i="43"/>
  <c r="K246" i="43" s="1"/>
  <c r="J82" i="43"/>
  <c r="K82" i="43" s="1"/>
  <c r="J158" i="43"/>
  <c r="K158" i="43" s="1"/>
  <c r="J80" i="43"/>
  <c r="K80" i="43" s="1"/>
  <c r="J167" i="43"/>
  <c r="K167" i="43" s="1"/>
  <c r="J102" i="43"/>
  <c r="K102" i="43" s="1"/>
  <c r="J212" i="43"/>
  <c r="K212" i="43" s="1"/>
  <c r="J191" i="43"/>
  <c r="K191" i="43" s="1"/>
  <c r="J125" i="43"/>
  <c r="K125" i="43" s="1"/>
  <c r="J122" i="43"/>
  <c r="K122" i="43" s="1"/>
  <c r="J175" i="43"/>
  <c r="K175" i="43" s="1"/>
  <c r="J120" i="43"/>
  <c r="K120" i="43" s="1"/>
  <c r="J111" i="43"/>
  <c r="K111" i="43" s="1"/>
  <c r="J47" i="43"/>
  <c r="K47" i="43" s="1"/>
  <c r="J113" i="43"/>
  <c r="K113" i="43" s="1"/>
  <c r="J132" i="43"/>
  <c r="K132" i="43" s="1"/>
  <c r="J77" i="43"/>
  <c r="K77" i="43" s="1"/>
  <c r="J56" i="43"/>
  <c r="K56" i="43" s="1"/>
  <c r="J164" i="43"/>
  <c r="K164" i="43" s="1"/>
  <c r="J29" i="43"/>
  <c r="K29" i="43" s="1"/>
  <c r="J28" i="43"/>
  <c r="K28" i="43" s="1"/>
  <c r="J161" i="43"/>
  <c r="K161" i="43" s="1"/>
  <c r="J239" i="43"/>
  <c r="K239" i="43" s="1"/>
  <c r="J237" i="43"/>
  <c r="K237" i="43" s="1"/>
  <c r="J177" i="43"/>
  <c r="K177" i="43" s="1"/>
  <c r="J249" i="43"/>
  <c r="K249" i="43" s="1"/>
  <c r="J55" i="43"/>
  <c r="K55" i="43" s="1"/>
  <c r="J68" i="43"/>
  <c r="K68" i="43" s="1"/>
  <c r="J84" i="43"/>
  <c r="K84" i="43" s="1"/>
  <c r="J46" i="43"/>
  <c r="K46" i="43" s="1"/>
  <c r="J98" i="43"/>
  <c r="K98" i="43" s="1"/>
  <c r="J146" i="43"/>
  <c r="K146" i="43" s="1"/>
  <c r="J52" i="43"/>
  <c r="K52" i="43" s="1"/>
  <c r="J95" i="43"/>
  <c r="K95" i="43" s="1"/>
  <c r="J203" i="43"/>
  <c r="K203" i="43" s="1"/>
  <c r="J159" i="43"/>
  <c r="K159" i="43" s="1"/>
  <c r="J44" i="43"/>
  <c r="K44" i="43" s="1"/>
  <c r="J238" i="43"/>
  <c r="K238" i="43" s="1"/>
  <c r="J153" i="43"/>
  <c r="K153" i="43" s="1"/>
  <c r="J65" i="43"/>
  <c r="J79" i="43"/>
  <c r="K79" i="43" s="1"/>
  <c r="J76" i="43"/>
  <c r="K76" i="43" s="1"/>
  <c r="J13" i="43"/>
  <c r="K13" i="43" s="1"/>
  <c r="J114" i="43"/>
  <c r="K114" i="43" s="1"/>
  <c r="J38" i="43"/>
  <c r="J81" i="43"/>
  <c r="K81" i="43" s="1"/>
  <c r="J86" i="43"/>
  <c r="K86" i="43" s="1"/>
  <c r="J176" i="43"/>
  <c r="J51" i="43"/>
  <c r="K51" i="43" s="1"/>
  <c r="J78" i="43"/>
  <c r="K78" i="43" s="1"/>
  <c r="J243" i="43"/>
  <c r="K243" i="43" s="1"/>
  <c r="J157" i="43"/>
  <c r="K157" i="43" s="1"/>
  <c r="J94" i="43"/>
  <c r="K94" i="43" s="1"/>
  <c r="J24" i="43"/>
  <c r="K24" i="43" s="1"/>
  <c r="J228" i="43"/>
  <c r="K228" i="43" s="1"/>
  <c r="J209" i="43"/>
  <c r="K209" i="43" s="1"/>
  <c r="J211" i="43"/>
  <c r="K211" i="43" s="1"/>
  <c r="J138" i="43"/>
  <c r="K138" i="43" s="1"/>
  <c r="J204" i="43"/>
  <c r="K204" i="43" s="1"/>
  <c r="J174" i="43"/>
  <c r="K174" i="43" s="1"/>
  <c r="J130" i="43"/>
  <c r="K130" i="43" s="1"/>
  <c r="J186" i="43"/>
  <c r="K186" i="43" s="1"/>
  <c r="J247" i="43"/>
  <c r="K247" i="43" s="1"/>
  <c r="J241" i="43"/>
  <c r="K241" i="43" s="1"/>
  <c r="J152" i="43"/>
  <c r="K152" i="43" s="1"/>
  <c r="J45" i="43"/>
  <c r="K45" i="43" s="1"/>
  <c r="J32" i="43"/>
  <c r="K32" i="43" s="1"/>
  <c r="J43" i="43"/>
  <c r="K43" i="43" s="1"/>
  <c r="J136" i="43"/>
  <c r="K136" i="43" s="1"/>
  <c r="J227" i="43"/>
  <c r="J70" i="43"/>
  <c r="K70" i="43" s="1"/>
  <c r="J128" i="43"/>
  <c r="K128" i="43" s="1"/>
  <c r="J235" i="43"/>
  <c r="K235" i="43" s="1"/>
  <c r="J72" i="43"/>
  <c r="K72" i="43" s="1"/>
  <c r="J71" i="43"/>
  <c r="K71" i="43" s="1"/>
  <c r="J126" i="43"/>
  <c r="K126" i="43" s="1"/>
  <c r="J236" i="43"/>
  <c r="K236" i="43" s="1"/>
  <c r="J183" i="43"/>
  <c r="K183" i="43" s="1"/>
  <c r="J73" i="43"/>
  <c r="K73" i="43" s="1"/>
  <c r="J234" i="43"/>
  <c r="K234" i="43" s="1"/>
  <c r="J200" i="43"/>
  <c r="J58" i="43"/>
  <c r="K58" i="43" s="1"/>
  <c r="J166" i="43"/>
  <c r="K166" i="43" s="1"/>
  <c r="J106" i="43"/>
  <c r="K106" i="43" s="1"/>
  <c r="J141" i="43"/>
  <c r="K141" i="43" s="1"/>
  <c r="J74" i="43"/>
  <c r="K74" i="43" s="1"/>
  <c r="J218" i="43"/>
  <c r="K218" i="43" s="1"/>
  <c r="J245" i="43"/>
  <c r="K245" i="43" s="1"/>
  <c r="J100" i="43"/>
  <c r="K100" i="43" s="1"/>
  <c r="J219" i="43"/>
  <c r="K219" i="43" s="1"/>
  <c r="J148" i="43"/>
  <c r="K148" i="43" s="1"/>
  <c r="J137" i="43"/>
  <c r="K137" i="43" s="1"/>
  <c r="J149" i="43"/>
  <c r="J178" i="43"/>
  <c r="K178" i="43" s="1"/>
  <c r="J201" i="43"/>
  <c r="K201" i="43" s="1"/>
  <c r="J50" i="43"/>
  <c r="K50" i="43" s="1"/>
  <c r="J59" i="43"/>
  <c r="K59" i="43" s="1"/>
  <c r="J194" i="43"/>
  <c r="K194" i="43" s="1"/>
  <c r="J182" i="43"/>
  <c r="K182" i="43" s="1"/>
  <c r="J103" i="43"/>
  <c r="K103" i="43" s="1"/>
  <c r="J229" i="43"/>
  <c r="K229" i="43" s="1"/>
  <c r="J133" i="43"/>
  <c r="K133" i="43" s="1"/>
  <c r="J60" i="43"/>
  <c r="K60" i="43" s="1"/>
  <c r="J42" i="43"/>
  <c r="K42" i="43" s="1"/>
  <c r="J165" i="43"/>
  <c r="K165" i="43" s="1"/>
  <c r="J54" i="43"/>
  <c r="K54" i="43" s="1"/>
  <c r="J21" i="43"/>
  <c r="K21" i="43" s="1"/>
  <c r="J231" i="43"/>
  <c r="K231" i="43" s="1"/>
  <c r="J233" i="43"/>
  <c r="K233" i="43" s="1"/>
  <c r="J131" i="43"/>
  <c r="K131" i="43" s="1"/>
  <c r="J85" i="43"/>
  <c r="K85" i="43" s="1"/>
  <c r="J97" i="43"/>
  <c r="K97" i="43" s="1"/>
  <c r="J124" i="43"/>
  <c r="K124" i="43" s="1"/>
  <c r="J108" i="43"/>
  <c r="K108" i="43" s="1"/>
  <c r="J150" i="43"/>
  <c r="K150" i="43" s="1"/>
  <c r="J216" i="43"/>
  <c r="K216" i="43" s="1"/>
  <c r="J123" i="43"/>
  <c r="K123" i="43" s="1"/>
  <c r="J40" i="43"/>
  <c r="K40" i="43" s="1"/>
  <c r="J230" i="43"/>
  <c r="K230" i="43" s="1"/>
  <c r="J192" i="43"/>
  <c r="K192" i="43" s="1"/>
  <c r="J18" i="43"/>
  <c r="K18" i="43" s="1"/>
  <c r="J160" i="43"/>
  <c r="K160" i="43" s="1"/>
  <c r="J66" i="43"/>
  <c r="K66" i="43" s="1"/>
  <c r="J151" i="43"/>
  <c r="K151" i="43" s="1"/>
  <c r="J208" i="43"/>
  <c r="K208" i="43" s="1"/>
  <c r="J119" i="43"/>
  <c r="J53" i="43"/>
  <c r="K53" i="43" s="1"/>
  <c r="J140" i="43"/>
  <c r="K140" i="43" s="1"/>
  <c r="J112" i="43"/>
  <c r="K112" i="43" s="1"/>
  <c r="J220" i="43"/>
  <c r="K220" i="43" s="1"/>
  <c r="J215" i="43"/>
  <c r="K215" i="43" s="1"/>
  <c r="J11" i="43"/>
  <c r="K11" i="43" s="1"/>
  <c r="K12" i="43" s="1"/>
  <c r="J22" i="43"/>
  <c r="K22" i="43" s="1"/>
  <c r="J15" i="43"/>
  <c r="K15" i="43" s="1"/>
  <c r="J25" i="43"/>
  <c r="K25" i="43" s="1"/>
  <c r="J33" i="43"/>
  <c r="K33" i="43" s="1"/>
  <c r="J31" i="43"/>
  <c r="K31" i="43" s="1"/>
  <c r="J14" i="43"/>
  <c r="K14" i="43" s="1"/>
  <c r="J20" i="43"/>
  <c r="K20" i="43" s="1"/>
  <c r="J12" i="43"/>
  <c r="J17" i="43"/>
  <c r="K17" i="43" s="1"/>
  <c r="J30" i="43"/>
  <c r="K30" i="43" s="1"/>
  <c r="J26" i="43"/>
  <c r="K26" i="43" s="1"/>
  <c r="J23" i="43"/>
  <c r="K23" i="43" s="1"/>
  <c r="J19" i="43"/>
  <c r="K19" i="43" s="1"/>
  <c r="J27" i="43"/>
  <c r="K27" i="43" s="1"/>
  <c r="J16" i="43"/>
  <c r="K16" i="43" s="1"/>
  <c r="F179" i="42"/>
  <c r="L12" i="41" s="1"/>
  <c r="D95" i="42"/>
  <c r="H11" i="41" s="1"/>
  <c r="H116" i="42"/>
  <c r="I13" i="41" s="1"/>
  <c r="F116" i="42"/>
  <c r="I12" i="41" s="1"/>
  <c r="D53" i="42"/>
  <c r="F11" i="41" s="1"/>
  <c r="F158" i="42"/>
  <c r="K12" i="41" s="1"/>
  <c r="D179" i="42"/>
  <c r="L11" i="41" s="1"/>
  <c r="H95" i="42"/>
  <c r="H13" i="41" s="1"/>
  <c r="C48" i="21"/>
  <c r="C47" i="21"/>
  <c r="C49" i="21"/>
  <c r="C50" i="21"/>
  <c r="E16" i="41" l="1"/>
  <c r="D17" i="50" s="1"/>
  <c r="D45" i="50" s="1"/>
  <c r="L16" i="41"/>
  <c r="L18" i="41" s="1"/>
  <c r="J16" i="41"/>
  <c r="I17" i="50" s="1"/>
  <c r="G16" i="41"/>
  <c r="G18" i="41" s="1"/>
  <c r="K16" i="41"/>
  <c r="F16" i="41"/>
  <c r="H16" i="41"/>
  <c r="I16" i="41"/>
  <c r="D11" i="41"/>
  <c r="P11" i="42"/>
  <c r="S11" i="42"/>
  <c r="D14" i="41"/>
  <c r="R11" i="42"/>
  <c r="Q11" i="42"/>
  <c r="J172" i="43"/>
  <c r="K176" i="43"/>
  <c r="K172" i="43" s="1"/>
  <c r="J25" i="41" s="1"/>
  <c r="K65" i="43"/>
  <c r="K64" i="43" s="1"/>
  <c r="F25" i="41" s="1"/>
  <c r="J64" i="43"/>
  <c r="K92" i="43"/>
  <c r="K91" i="43" s="1"/>
  <c r="G25" i="41" s="1"/>
  <c r="J91" i="43"/>
  <c r="K200" i="43"/>
  <c r="K199" i="43" s="1"/>
  <c r="K25" i="41" s="1"/>
  <c r="J199" i="43"/>
  <c r="K119" i="43"/>
  <c r="K118" i="43" s="1"/>
  <c r="H25" i="41" s="1"/>
  <c r="J118" i="43"/>
  <c r="K227" i="43"/>
  <c r="K226" i="43" s="1"/>
  <c r="L25" i="41" s="1"/>
  <c r="J226" i="43"/>
  <c r="J145" i="43"/>
  <c r="K149" i="43"/>
  <c r="K145" i="43" s="1"/>
  <c r="I25" i="41" s="1"/>
  <c r="K38" i="43"/>
  <c r="K37" i="43" s="1"/>
  <c r="E25" i="41" s="1"/>
  <c r="J37" i="43"/>
  <c r="J10" i="43"/>
  <c r="K10" i="43"/>
  <c r="D25" i="41" s="1"/>
  <c r="M49" i="21"/>
  <c r="M47" i="21"/>
  <c r="M50" i="21"/>
  <c r="M48" i="21"/>
  <c r="W33" i="21"/>
  <c r="D34" i="21"/>
  <c r="W34" i="21"/>
  <c r="N35" i="21"/>
  <c r="F34" i="21"/>
  <c r="F32" i="21"/>
  <c r="F35" i="21"/>
  <c r="F33" i="21"/>
  <c r="W32" i="21"/>
  <c r="P32" i="21"/>
  <c r="N34" i="21"/>
  <c r="D33" i="21"/>
  <c r="N33" i="21"/>
  <c r="D32" i="21"/>
  <c r="E34" i="21"/>
  <c r="E32" i="21"/>
  <c r="E33" i="21"/>
  <c r="E35" i="21"/>
  <c r="P34" i="21"/>
  <c r="W35" i="21"/>
  <c r="D35" i="21"/>
  <c r="C33" i="21"/>
  <c r="C35" i="21"/>
  <c r="C32" i="21"/>
  <c r="C34" i="21"/>
  <c r="P35" i="21"/>
  <c r="P33" i="21"/>
  <c r="G35" i="21"/>
  <c r="G32" i="21"/>
  <c r="G34" i="21"/>
  <c r="G33" i="21"/>
  <c r="N32" i="21"/>
  <c r="AA18" i="21"/>
  <c r="R18" i="21"/>
  <c r="H17" i="21"/>
  <c r="H18" i="21"/>
  <c r="H19" i="21"/>
  <c r="H16" i="21"/>
  <c r="G17" i="21"/>
  <c r="G19" i="21"/>
  <c r="G18" i="21"/>
  <c r="G16" i="21"/>
  <c r="Z17" i="21"/>
  <c r="Z18" i="21"/>
  <c r="Z19" i="21"/>
  <c r="Z16" i="21"/>
  <c r="F17" i="21"/>
  <c r="F18" i="21"/>
  <c r="F19" i="21"/>
  <c r="F16" i="21"/>
  <c r="Y17" i="21"/>
  <c r="Y18" i="21"/>
  <c r="Y19" i="21"/>
  <c r="Y16" i="21"/>
  <c r="X17" i="21"/>
  <c r="X18" i="21"/>
  <c r="X19" i="21"/>
  <c r="X16" i="21"/>
  <c r="E17" i="21"/>
  <c r="E18" i="21"/>
  <c r="E19" i="21"/>
  <c r="E16" i="21"/>
  <c r="W17" i="21"/>
  <c r="W18" i="21"/>
  <c r="W19" i="21"/>
  <c r="W16" i="21"/>
  <c r="D17" i="21"/>
  <c r="D18" i="21"/>
  <c r="D19" i="21"/>
  <c r="D16" i="21"/>
  <c r="V17" i="21"/>
  <c r="V18" i="21"/>
  <c r="V19" i="21"/>
  <c r="V16" i="21"/>
  <c r="C17" i="21"/>
  <c r="C18" i="21"/>
  <c r="C19" i="21"/>
  <c r="C16" i="21"/>
  <c r="W45" i="21"/>
  <c r="N45" i="21"/>
  <c r="AA30" i="21"/>
  <c r="R30" i="21"/>
  <c r="AB13" i="21"/>
  <c r="S13" i="21"/>
  <c r="F17" i="50" l="1"/>
  <c r="K17" i="50"/>
  <c r="J18" i="41"/>
  <c r="E18" i="41"/>
  <c r="F18" i="41"/>
  <c r="E17" i="50"/>
  <c r="E45" i="50" s="1"/>
  <c r="D16" i="41"/>
  <c r="K18" i="41"/>
  <c r="J17" i="50"/>
  <c r="H17" i="50"/>
  <c r="I18" i="41"/>
  <c r="G17" i="50"/>
  <c r="H18" i="41"/>
  <c r="L27" i="41"/>
  <c r="K18" i="50"/>
  <c r="D27" i="41"/>
  <c r="C18" i="50"/>
  <c r="J27" i="41"/>
  <c r="I18" i="50"/>
  <c r="I16" i="50" s="1"/>
  <c r="I14" i="50" s="1"/>
  <c r="H27" i="41"/>
  <c r="G18" i="50"/>
  <c r="E27" i="41"/>
  <c r="D18" i="50"/>
  <c r="I27" i="41"/>
  <c r="H18" i="50"/>
  <c r="K27" i="41"/>
  <c r="J18" i="50"/>
  <c r="G27" i="41"/>
  <c r="F18" i="50"/>
  <c r="F27" i="41"/>
  <c r="E18" i="50"/>
  <c r="V48" i="21"/>
  <c r="V47" i="21"/>
  <c r="V49" i="21"/>
  <c r="V50" i="21"/>
  <c r="H32" i="21"/>
  <c r="M33" i="21"/>
  <c r="M34" i="21"/>
  <c r="M32" i="21"/>
  <c r="O33" i="21"/>
  <c r="O35" i="21"/>
  <c r="O32" i="21"/>
  <c r="O34" i="21"/>
  <c r="Y32" i="21"/>
  <c r="Y35" i="21"/>
  <c r="Y34" i="21"/>
  <c r="Y33" i="21"/>
  <c r="Q32" i="21"/>
  <c r="Q33" i="21"/>
  <c r="Q34" i="21"/>
  <c r="Q35" i="21"/>
  <c r="M35" i="21"/>
  <c r="AA19" i="21"/>
  <c r="AA17" i="21"/>
  <c r="AB17" i="21" s="1"/>
  <c r="AA16" i="21"/>
  <c r="AB16" i="21" s="1"/>
  <c r="R17" i="21"/>
  <c r="R16" i="21"/>
  <c r="R19" i="21"/>
  <c r="Q18" i="21"/>
  <c r="Q19" i="21"/>
  <c r="Q16" i="21"/>
  <c r="Q17" i="21"/>
  <c r="P16" i="21"/>
  <c r="P19" i="21"/>
  <c r="P17" i="21"/>
  <c r="P18" i="21"/>
  <c r="O16" i="21"/>
  <c r="O18" i="21"/>
  <c r="O19" i="21"/>
  <c r="O17" i="21"/>
  <c r="N16" i="21"/>
  <c r="N17" i="21"/>
  <c r="N18" i="21"/>
  <c r="N19" i="21"/>
  <c r="M18" i="21"/>
  <c r="M19" i="21"/>
  <c r="M17" i="21"/>
  <c r="M16" i="21"/>
  <c r="M52" i="21"/>
  <c r="W37" i="21"/>
  <c r="P37" i="21"/>
  <c r="N37" i="21"/>
  <c r="Z21" i="21"/>
  <c r="Y21" i="21"/>
  <c r="X21" i="21"/>
  <c r="W21" i="21"/>
  <c r="V21" i="21"/>
  <c r="D64" i="21"/>
  <c r="K16" i="50" l="1"/>
  <c r="K14" i="50" s="1"/>
  <c r="F16" i="50"/>
  <c r="F14" i="50" s="1"/>
  <c r="J16" i="50"/>
  <c r="J14" i="50" s="1"/>
  <c r="H16" i="50"/>
  <c r="H14" i="50" s="1"/>
  <c r="D18" i="41"/>
  <c r="C17" i="50"/>
  <c r="C45" i="50" s="1"/>
  <c r="G16" i="50"/>
  <c r="G14" i="50" s="1"/>
  <c r="E16" i="50"/>
  <c r="E46" i="50" s="1"/>
  <c r="D16" i="50"/>
  <c r="D46" i="50" s="1"/>
  <c r="B46" i="50"/>
  <c r="V52" i="21"/>
  <c r="R35" i="21"/>
  <c r="Q37" i="21"/>
  <c r="R32" i="21"/>
  <c r="Y37" i="21"/>
  <c r="R33" i="21"/>
  <c r="O37" i="21"/>
  <c r="M37" i="21"/>
  <c r="R34" i="21"/>
  <c r="Z35" i="21"/>
  <c r="Z32" i="21"/>
  <c r="Z33" i="21"/>
  <c r="Z34" i="21"/>
  <c r="X34" i="21"/>
  <c r="X33" i="21"/>
  <c r="X32" i="21"/>
  <c r="X35" i="21"/>
  <c r="V34" i="21"/>
  <c r="V32" i="21"/>
  <c r="V33" i="21"/>
  <c r="V35" i="21"/>
  <c r="AA21" i="21"/>
  <c r="AB21" i="21" s="1"/>
  <c r="R21" i="21"/>
  <c r="Q21" i="21"/>
  <c r="P21" i="21"/>
  <c r="O21" i="21"/>
  <c r="N21" i="21"/>
  <c r="S17" i="21"/>
  <c r="S16" i="21"/>
  <c r="M21" i="21"/>
  <c r="M45" i="21"/>
  <c r="V45" i="21"/>
  <c r="M30" i="21"/>
  <c r="V30" i="21"/>
  <c r="O30" i="21"/>
  <c r="X30" i="21"/>
  <c r="N30" i="21"/>
  <c r="W30" i="21"/>
  <c r="P30" i="21"/>
  <c r="Y30" i="21"/>
  <c r="Z30" i="21"/>
  <c r="Q30" i="21"/>
  <c r="N13" i="21"/>
  <c r="W13" i="21"/>
  <c r="X13" i="21"/>
  <c r="O13" i="21"/>
  <c r="P13" i="21"/>
  <c r="Y13" i="21"/>
  <c r="AA13" i="21"/>
  <c r="R13" i="21"/>
  <c r="M13" i="21"/>
  <c r="V13" i="21"/>
  <c r="Z13" i="21"/>
  <c r="Q13" i="21"/>
  <c r="C67" i="21"/>
  <c r="D67" i="21" s="1"/>
  <c r="C16" i="50" l="1"/>
  <c r="C44" i="50" s="1"/>
  <c r="D14" i="50"/>
  <c r="D44" i="50"/>
  <c r="E14" i="50"/>
  <c r="E44" i="50"/>
  <c r="R37" i="21"/>
  <c r="Z37" i="21"/>
  <c r="AA35" i="21"/>
  <c r="X37" i="21"/>
  <c r="AA33" i="21"/>
  <c r="AA32" i="21"/>
  <c r="V37" i="21"/>
  <c r="AA34" i="21"/>
  <c r="S21" i="21"/>
  <c r="E21" i="21"/>
  <c r="G21" i="21"/>
  <c r="I17" i="21"/>
  <c r="C21" i="21"/>
  <c r="I16" i="21"/>
  <c r="H33" i="21"/>
  <c r="H34" i="21"/>
  <c r="H35" i="21"/>
  <c r="H21" i="21"/>
  <c r="C37" i="21"/>
  <c r="E37" i="21"/>
  <c r="F21" i="21"/>
  <c r="D21" i="21"/>
  <c r="F37" i="21"/>
  <c r="G37" i="21"/>
  <c r="D37" i="21"/>
  <c r="C52" i="21"/>
  <c r="C14" i="50" l="1"/>
  <c r="C13" i="50" s="1"/>
  <c r="C46" i="50"/>
  <c r="E13" i="50"/>
  <c r="E42" i="50"/>
  <c r="D13" i="50"/>
  <c r="D42" i="50"/>
  <c r="AA37" i="21"/>
  <c r="H37" i="21"/>
  <c r="I21" i="21"/>
  <c r="C42" i="50" l="1"/>
  <c r="R38" i="21"/>
  <c r="AA38" i="21"/>
  <c r="S22" i="21"/>
  <c r="AB22" i="21"/>
  <c r="I4" i="21" l="1"/>
  <c r="I8" i="21" s="1"/>
  <c r="W47" i="21"/>
  <c r="D48" i="21"/>
  <c r="C5" i="21"/>
  <c r="W49" i="21"/>
  <c r="I6" i="21"/>
  <c r="N52" i="21"/>
  <c r="F4" i="21"/>
  <c r="F8" i="21" s="1"/>
  <c r="N47" i="21"/>
  <c r="I5" i="21"/>
  <c r="W48" i="21"/>
  <c r="I7" i="21"/>
  <c r="W50" i="21"/>
  <c r="F6" i="21"/>
  <c r="N49" i="21"/>
  <c r="D50" i="21"/>
  <c r="C7" i="21"/>
  <c r="W52" i="21"/>
  <c r="D47" i="21"/>
  <c r="C4" i="21"/>
  <c r="C8" i="21" s="1"/>
  <c r="F5" i="21"/>
  <c r="N48" i="21"/>
  <c r="D52" i="21"/>
  <c r="N50" i="21"/>
  <c r="F7" i="21"/>
  <c r="D49" i="21"/>
  <c r="C6" i="21"/>
  <c r="G5" i="21" l="1"/>
  <c r="J7" i="21"/>
  <c r="G6" i="21"/>
  <c r="J5" i="21"/>
  <c r="G7" i="21"/>
  <c r="W53" i="21"/>
  <c r="G8" i="21"/>
  <c r="I9" i="21"/>
  <c r="J8" i="21"/>
  <c r="F9" i="21"/>
  <c r="N53" i="21"/>
  <c r="J6" i="21"/>
  <c r="G4" i="21"/>
  <c r="J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tc={5A17FBC7-5B66-4D96-8F5F-E4CE472BD392}</author>
    <author>tc={2352C9ED-FF79-4E9F-93FC-8555285ECEB3}</author>
    <author>tc={6041C027-4075-4C89-B69A-DDDE85D061B3}</author>
  </authors>
  <commentList>
    <comment ref="B25" authorId="0" shapeId="0" xr:uid="{5A17FBC7-5B66-4D96-8F5F-E4CE472BD392}">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de actualizar</t>
      </text>
    </comment>
    <comment ref="B41" authorId="1" shapeId="0" xr:uid="{2352C9ED-FF79-4E9F-93FC-8555285ECEB3}">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de actualizar</t>
      </text>
    </comment>
    <comment ref="B56" authorId="2" shapeId="0" xr:uid="{6041C027-4075-4C89-B69A-DDDE85D061B3}">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de actualizar</t>
      </text>
    </comment>
  </commentList>
</comments>
</file>

<file path=xl/sharedStrings.xml><?xml version="1.0" encoding="utf-8"?>
<sst xmlns="http://schemas.openxmlformats.org/spreadsheetml/2006/main" count="691" uniqueCount="265">
  <si>
    <t>QoS</t>
  </si>
  <si>
    <t>Solicitud del servicio</t>
  </si>
  <si>
    <t>Provisión del servicio</t>
  </si>
  <si>
    <t>Gestión de fallas</t>
  </si>
  <si>
    <t>ICD</t>
  </si>
  <si>
    <t>Compartición de infraestructura</t>
  </si>
  <si>
    <t>Total</t>
  </si>
  <si>
    <t>Notas</t>
  </si>
  <si>
    <t>Servicios de desagregación</t>
  </si>
  <si>
    <t>Servicios de enlaces</t>
  </si>
  <si>
    <t>En total habría 21 ICD únicos definidos</t>
  </si>
  <si>
    <t>En total habría 53 ICD únicos definidos</t>
  </si>
  <si>
    <t>En total habría 13 ICD únicos definidos</t>
  </si>
  <si>
    <t>OMV</t>
  </si>
  <si>
    <t>Total servicios</t>
  </si>
  <si>
    <t>EM</t>
  </si>
  <si>
    <t>DM</t>
  </si>
  <si>
    <t>Telcel</t>
  </si>
  <si>
    <t>EM/DM/Telcel</t>
  </si>
  <si>
    <t xml:space="preserve">Servicios de OMV completo </t>
  </si>
  <si>
    <t>Resumen de ICD propuestos</t>
  </si>
  <si>
    <t>ICD (Lista original)</t>
  </si>
  <si>
    <t>ICD (Lista intermedia)</t>
  </si>
  <si>
    <t>ICD (Lista corta)</t>
  </si>
  <si>
    <t>Reducción %</t>
  </si>
  <si>
    <t>ICD (Lista Intermedia)</t>
  </si>
  <si>
    <t>ICD (original)</t>
  </si>
  <si>
    <t>ICD (intermedia)</t>
  </si>
  <si>
    <t>ICD (corta)</t>
  </si>
  <si>
    <t>Pagos mayoristas</t>
  </si>
  <si>
    <t>Costos aguas abajo</t>
  </si>
  <si>
    <t>DESCRIPCIÓN DEL MODELO</t>
  </si>
  <si>
    <t>Hoja</t>
  </si>
  <si>
    <t>Descripción</t>
  </si>
  <si>
    <t>RESULTADOS &gt;&gt;</t>
  </si>
  <si>
    <t>RESULTADOS PARCIALES &gt;&gt;</t>
  </si>
  <si>
    <t>CÁLCULOS INTERMEDIOS &gt;&gt;</t>
  </si>
  <si>
    <t>REQUERIMIENTOS DE INFORMACIÓN &gt;&gt;</t>
  </si>
  <si>
    <t>Resultados</t>
  </si>
  <si>
    <t>Cálculos intermedios</t>
  </si>
  <si>
    <t>Requerimientos de información</t>
  </si>
  <si>
    <t>Supuestos</t>
  </si>
  <si>
    <t>Ingresos</t>
  </si>
  <si>
    <t>Costos</t>
  </si>
  <si>
    <t>Reporta el margen en porcentaje de los ingresos.</t>
  </si>
  <si>
    <t>Informacion del AEP</t>
  </si>
  <si>
    <t>Precios mayoristas</t>
  </si>
  <si>
    <t>Información reportada por el AEP</t>
  </si>
  <si>
    <t>Información sobre las tarifas mayoristas a aplicar, según la oferta de referencia prevalente.</t>
  </si>
  <si>
    <t>Contiene la categorización de los servicios incluidos y % de tráfico en transito, entre otros.</t>
  </si>
  <si>
    <r>
      <t xml:space="preserve">Se estiman los pagos mayoristas al AEP por parte del </t>
    </r>
    <r>
      <rPr>
        <b/>
        <sz val="10"/>
        <rFont val="Arial"/>
        <family val="2"/>
      </rPr>
      <t>OMV ligero/revendedor.</t>
    </r>
  </si>
  <si>
    <t>Hoja resumen de los ingresos minoristas.</t>
  </si>
  <si>
    <r>
      <t>Se detallan los costos aguas abajo a los que se enfrenta un</t>
    </r>
    <r>
      <rPr>
        <b/>
        <sz val="10"/>
        <rFont val="Arial"/>
        <family val="2"/>
      </rPr>
      <t xml:space="preserve"> OMV ligero/revendedor.</t>
    </r>
  </si>
  <si>
    <t>Ir a Resultados &gt;&gt;</t>
  </si>
  <si>
    <t>Período de referencia</t>
  </si>
  <si>
    <t>Inicio de período</t>
  </si>
  <si>
    <t>Fin de período</t>
  </si>
  <si>
    <t>Concepto</t>
  </si>
  <si>
    <t>Minoristas</t>
  </si>
  <si>
    <t>Pago recurrente</t>
  </si>
  <si>
    <t>Servicio de Telefonía Móvil - voz</t>
  </si>
  <si>
    <t>Servicio de Acceso a Internet Móvil</t>
  </si>
  <si>
    <t>Servicio de Telefonía Móvil - mensajes</t>
  </si>
  <si>
    <t>Servicios OTT de vídeo</t>
  </si>
  <si>
    <t>Servicios OTT de audio</t>
  </si>
  <si>
    <t>Venta de equipos terminales</t>
  </si>
  <si>
    <t>Otros servicios minoristas</t>
  </si>
  <si>
    <t>Segmento Prepago</t>
  </si>
  <si>
    <t>Segmento Pospago</t>
  </si>
  <si>
    <t>Usuarios totales</t>
  </si>
  <si>
    <t>Servicios de valor agregado básicos</t>
  </si>
  <si>
    <t>Segmento Postpago</t>
  </si>
  <si>
    <t>Segmento mixto</t>
  </si>
  <si>
    <t>Tráfico</t>
  </si>
  <si>
    <t>Leyenda</t>
  </si>
  <si>
    <t>Estructura del modelo</t>
  </si>
  <si>
    <t>Insumos del AEP</t>
  </si>
  <si>
    <t>Insumos del IFT</t>
  </si>
  <si>
    <t>Cálculos</t>
  </si>
  <si>
    <t>Celda de ayuda</t>
  </si>
  <si>
    <t>Totales</t>
  </si>
  <si>
    <t>Parámetros aleatorios del IFT fijos durante el período de referencia. Contiene información sin procesar.</t>
  </si>
  <si>
    <t>X-check</t>
  </si>
  <si>
    <t xml:space="preserve">Información remitida por el AEP. Contiene información sin procesar. </t>
  </si>
  <si>
    <t>Contiene opciones a escoger en el modelo.</t>
  </si>
  <si>
    <t>Contiene información de soporte.</t>
  </si>
  <si>
    <t>Cálculos del modelo.</t>
  </si>
  <si>
    <t>Cálculos de chequeo y consistencia.</t>
  </si>
  <si>
    <t>Celdas que agregan subcategorías.</t>
  </si>
  <si>
    <t>Celdas con resultados del modelo.</t>
  </si>
  <si>
    <t>Los precios, ingresos y costos están expresados sin impuestos y en moneda nacional a menos que se especifique lo contrario</t>
  </si>
  <si>
    <t>Promedio</t>
  </si>
  <si>
    <t>Unidad</t>
  </si>
  <si>
    <t>MB</t>
  </si>
  <si>
    <t>minutos</t>
  </si>
  <si>
    <t>sms</t>
  </si>
  <si>
    <t>Datos</t>
  </si>
  <si>
    <t>Originación voz internacional USA-Canadá</t>
  </si>
  <si>
    <t>Originación voz internacional Cuba</t>
  </si>
  <si>
    <t>Originación SMS on-net</t>
  </si>
  <si>
    <t>Otros servicios (incluyendo marcaciones especiales)</t>
  </si>
  <si>
    <t>SUPUESTOS</t>
  </si>
  <si>
    <t>Lista de servicios y uso del servicio de tránsito</t>
  </si>
  <si>
    <t>Período de amortización de los cargos fijos (meses)</t>
  </si>
  <si>
    <t>Usuarios OMV</t>
  </si>
  <si>
    <t>Período de amortización de los cargos fijos (trimestres)</t>
  </si>
  <si>
    <t>Período de amortización de los cargos fijos</t>
  </si>
  <si>
    <t>Período de referencia (meses)</t>
  </si>
  <si>
    <t>Tamaño relativo</t>
  </si>
  <si>
    <t>Tamaño CS hipotético</t>
  </si>
  <si>
    <t>Usuarios OMV ajustado por CS hipotético</t>
  </si>
  <si>
    <t>pesos</t>
  </si>
  <si>
    <t>usuarios</t>
  </si>
  <si>
    <t>Usuarios - Servicios de valor agregado básicos</t>
  </si>
  <si>
    <t>Acceso a Internet</t>
  </si>
  <si>
    <t>Comerciales</t>
  </si>
  <si>
    <t>Facturación</t>
  </si>
  <si>
    <t>Cobranza</t>
  </si>
  <si>
    <t>Tasas e impuestos</t>
  </si>
  <si>
    <t>Programas de fidelización</t>
  </si>
  <si>
    <t>Acceso internet internacional</t>
  </si>
  <si>
    <t>Provisiones</t>
  </si>
  <si>
    <t>Costos directos de la venta de terminales</t>
  </si>
  <si>
    <t>Servicios generales y de gestión - minoristas</t>
  </si>
  <si>
    <t xml:space="preserve">Servicios generales y de gestión - negocio </t>
  </si>
  <si>
    <t>Costo del Capital</t>
  </si>
  <si>
    <t>Componentes de red</t>
  </si>
  <si>
    <t xml:space="preserve">Costos por beneficios de OTT a usuarios </t>
  </si>
  <si>
    <t>Componentes no de red</t>
  </si>
  <si>
    <t>Costos directos de ventas</t>
  </si>
  <si>
    <t>Costos comunes</t>
  </si>
  <si>
    <t>Otros</t>
  </si>
  <si>
    <t>% costos fijos</t>
  </si>
  <si>
    <t>Tráfico en tránsito</t>
  </si>
  <si>
    <t>%</t>
  </si>
  <si>
    <t>Valor</t>
  </si>
  <si>
    <t>Terminación en destinos nacionales-fijo</t>
  </si>
  <si>
    <t>Terminación en destinos nacionales-móvil</t>
  </si>
  <si>
    <t>Terminación en destinos nacionales-mensajes</t>
  </si>
  <si>
    <t>Terminación en destinos internacionales</t>
  </si>
  <si>
    <t>Terminación en destinos internacionales-mensajes</t>
  </si>
  <si>
    <t>Roaming internacional - voz - outbound</t>
  </si>
  <si>
    <t>Roaming internacional - mensajes - outbound</t>
  </si>
  <si>
    <t>Roaming internacional - datos - outbound</t>
  </si>
  <si>
    <t>Servicios generales y de gestión - red</t>
  </si>
  <si>
    <t xml:space="preserve">Nota: Se solicita especificar el porcentaje del tráfico en tránsito para cada tipología de llamada, sobre el total del tráfico cursado </t>
  </si>
  <si>
    <t>Nota: La información de precios se actualiza de conformidad con las tarifas vigentes</t>
  </si>
  <si>
    <t>OMVs</t>
  </si>
  <si>
    <t>La información de precios deberá actualizarse de conformidad con las tarifas vigentes</t>
  </si>
  <si>
    <t>Ir a Precios mayoristas &gt;&gt;</t>
  </si>
  <si>
    <t>Actualizar los precios según la Oferta de Referencia</t>
  </si>
  <si>
    <t xml:space="preserve">Los cargos no recurrentes se corresponderían con los costos iniciales que el OMV debería pagar al operador anfitrión para poder prestar el servicio minorista. </t>
  </si>
  <si>
    <t xml:space="preserve">Se considera que el operador anfitrión gestiona la terminación del tráfico en otras redes a cambio de un pago según el destino. </t>
  </si>
  <si>
    <t>Voz - por minuto</t>
  </si>
  <si>
    <t>SMS - por mensaje</t>
  </si>
  <si>
    <t>Datos - por MB</t>
  </si>
  <si>
    <t>Administración de usuarios pospago</t>
  </si>
  <si>
    <t>Administración de usuarios prepago</t>
  </si>
  <si>
    <t>Administración de usuarios mixtos</t>
  </si>
  <si>
    <t>Activación de servicios de valor agregado básicos</t>
  </si>
  <si>
    <t>Celda de ayuda (límite de usuarios a partir del cual cambia la tarifa) - Actualizar según la oferta de referencia</t>
  </si>
  <si>
    <t xml:space="preserve">Pagos fijos </t>
  </si>
  <si>
    <t>OMV ligero</t>
  </si>
  <si>
    <t>&lt;25.000 usuarios</t>
  </si>
  <si>
    <t>&gt;25.000 usuarios</t>
  </si>
  <si>
    <t>Otros Cargos por tráfico</t>
  </si>
  <si>
    <t>Terminación</t>
  </si>
  <si>
    <t>Originación</t>
  </si>
  <si>
    <t xml:space="preserve">Nota: Pagos fijos es el pago promedio por inicio de prestación de servicio con un OMV ligero. No refleja necesariamente los pagos realizados por este concepto en el momento de ejecutar la prueba. </t>
  </si>
  <si>
    <t>PRECIOS MAYORISTAS</t>
  </si>
  <si>
    <t>Precio mayorista</t>
  </si>
  <si>
    <t>Tránsito</t>
  </si>
  <si>
    <t>Servicios de tránsito</t>
  </si>
  <si>
    <t>PAGOS MAYORISTAS</t>
  </si>
  <si>
    <t>COSTOS AGUAS ABAJO</t>
  </si>
  <si>
    <t>Costos totales</t>
  </si>
  <si>
    <t>Costos fijos</t>
  </si>
  <si>
    <t>Costos variables</t>
  </si>
  <si>
    <t xml:space="preserve">Costos totales ajustados </t>
  </si>
  <si>
    <t>EEO</t>
  </si>
  <si>
    <t>SEO</t>
  </si>
  <si>
    <t>Tipo de tráfico</t>
  </si>
  <si>
    <t xml:space="preserve">Pago mensual </t>
  </si>
  <si>
    <t>Pagos fijos</t>
  </si>
  <si>
    <t>Notas:
1. Los pagos mensuales y fijos no depeden del tráfico. Por lo que las celdas correspondientes a cada categoría de servicio  deberían estar en blanco. 
2. Los pagos mensuales son función del número de usuarios. El modelo usa el número de usuarios del AEP.
3. Los pagos para cada tipo de servicio se computan multiplicando los precios mayoristas (en la hoja  "Precios mayoristas") por el tráfico correspondiente, según la información reportada por el AEP y contenida en la hoja "Req. de información AEP". 
4. Los pagos fijos se asignan a las ofertas insignia en proporción a los ingresos generados</t>
  </si>
  <si>
    <t>REQUERIMIENTO DE INFORMACIÓN DEL AEP</t>
  </si>
  <si>
    <t>RESUMEN DE COSTOS</t>
  </si>
  <si>
    <t>PRUEBA DE REPLICABILIDAD: SERVICIOS MOVILES</t>
  </si>
  <si>
    <t>Estándar de eficiencia</t>
  </si>
  <si>
    <t>Estándar de costos</t>
  </si>
  <si>
    <t>Costos aguas abajo OMV de aciuerdo con estándar de costos</t>
  </si>
  <si>
    <t>Nota: Los ingresos se nutren directamente del requerimiento de información del AEP. No se requiere ningún cálculo intermedio.</t>
  </si>
  <si>
    <t>Ingresos minoristas</t>
  </si>
  <si>
    <t>RESUMEN DE INGRESOS MINORISTAS</t>
  </si>
  <si>
    <t>Prueba Servicios Móviles</t>
  </si>
  <si>
    <r>
      <t xml:space="preserve">Hoja resumen de los costos a los que se enfrenta el </t>
    </r>
    <r>
      <rPr>
        <b/>
        <sz val="10"/>
        <rFont val="Arial"/>
        <family val="2"/>
      </rPr>
      <t>OMV ligero/revendedor.</t>
    </r>
  </si>
  <si>
    <t>Resultados intermedios</t>
  </si>
  <si>
    <t>Actualizar tarifas mayoristas e insumos</t>
  </si>
  <si>
    <t>-</t>
  </si>
  <si>
    <t>Ir a Supuestos &gt;&gt;</t>
  </si>
  <si>
    <t xml:space="preserve">Costos aguas abajo - % costos fijos </t>
  </si>
  <si>
    <t>Margen</t>
  </si>
  <si>
    <t>Representación gráfica</t>
  </si>
  <si>
    <t>Replicabilidad económica</t>
  </si>
  <si>
    <t>Todos los segmentos 
(% ingresos)</t>
  </si>
  <si>
    <t>Segmento Prepago
(% ingresos)</t>
  </si>
  <si>
    <t>Segmento Pospago
(% ingresos)</t>
  </si>
  <si>
    <t>https://www.dof.gob.mx/nota_detalle.php?codigo=5605085&amp;fecha=17/11/2020</t>
  </si>
  <si>
    <t xml:space="preserve">Carteras/Ofertas insignia </t>
  </si>
  <si>
    <t>Actualizar supuestos (parámetros aleatorios)</t>
  </si>
  <si>
    <t>Cargo mensual por usuario activo</t>
  </si>
  <si>
    <t>Tarifas por uso de servicios básicos</t>
  </si>
  <si>
    <t>Voz</t>
  </si>
  <si>
    <t>SMS</t>
  </si>
  <si>
    <t>Originación voz on-net otro OMV</t>
  </si>
  <si>
    <t>Originación voz mismo OMV</t>
  </si>
  <si>
    <t>Originación voz on-net</t>
  </si>
  <si>
    <t>Originación voz off-net móvil</t>
  </si>
  <si>
    <t>Originación voz fijo</t>
  </si>
  <si>
    <t xml:space="preserve">Originación voz internacional Mundial </t>
  </si>
  <si>
    <t>Nota: Otros incluye marcaciones especiales, marcaciones a llamadas de emerencia, números no geográficos, buzon de voz, centro de atención telefónica y marcaciones cortas.</t>
  </si>
  <si>
    <t>Originación SMS OMV</t>
  </si>
  <si>
    <t>Originación SMS off-net</t>
  </si>
  <si>
    <t>Originación SMS otros servicios (SVA)</t>
  </si>
  <si>
    <t>OFERTAS INSIGNIA</t>
  </si>
  <si>
    <t>Segmento Postpago + mixto</t>
  </si>
  <si>
    <t>Segmento Prepago Rep.</t>
  </si>
  <si>
    <t>Segmento Pospago Rep.</t>
  </si>
  <si>
    <t>Usuarios</t>
  </si>
  <si>
    <t>Ingreso total</t>
  </si>
  <si>
    <t>Selección de ofertas insignia</t>
  </si>
  <si>
    <t>Ranking</t>
  </si>
  <si>
    <t>% Acumulado</t>
  </si>
  <si>
    <t>Ofertas insignia</t>
  </si>
  <si>
    <t>Information reportada por el AEP para la seleccion de ofertas insignia</t>
  </si>
  <si>
    <t xml:space="preserve">Análisis individualizado de las ofertas insignia </t>
  </si>
  <si>
    <t>Prepago</t>
  </si>
  <si>
    <t>Pospago</t>
  </si>
  <si>
    <r>
      <rPr>
        <b/>
        <sz val="10"/>
        <color rgb="FFC00000"/>
        <rFont val="Arial"/>
        <family val="2"/>
      </rPr>
      <t>Los datos empleados en el modelo son ficticios</t>
    </r>
    <r>
      <rPr>
        <sz val="10"/>
        <rFont val="Arial"/>
        <family val="2"/>
      </rPr>
      <t>, a excepción de la información relativa a los precios mayoristas. Estos proceden de un acuerdo suscrito entre el AEP y un OMV y serán actualizados conforme a la Oferta de Referencia.</t>
    </r>
  </si>
  <si>
    <t>IFT. Parámetro Aleatorio</t>
  </si>
  <si>
    <t>IFT. Precio hipotético</t>
  </si>
  <si>
    <t>Oferta 1</t>
  </si>
  <si>
    <t>Oferta 2</t>
  </si>
  <si>
    <t>Oferta 3</t>
  </si>
  <si>
    <t>Oferta 4</t>
  </si>
  <si>
    <t>Oferta 5</t>
  </si>
  <si>
    <t>Oferta 6</t>
  </si>
  <si>
    <t>Oferta 7</t>
  </si>
  <si>
    <t>Oferta 8</t>
  </si>
  <si>
    <t>Oferta 9</t>
  </si>
  <si>
    <t>Oferta 10</t>
  </si>
  <si>
    <t>Oferta 11</t>
  </si>
  <si>
    <t>Oferta 12</t>
  </si>
  <si>
    <t>Oferta 13</t>
  </si>
  <si>
    <t>Oferta 14</t>
  </si>
  <si>
    <t>Oferta 15</t>
  </si>
  <si>
    <t>Oferta A</t>
  </si>
  <si>
    <t>Oferta B</t>
  </si>
  <si>
    <t>Oferta C</t>
  </si>
  <si>
    <t>Oferta D</t>
  </si>
  <si>
    <t>Oferta E</t>
  </si>
  <si>
    <t>Oferta F</t>
  </si>
  <si>
    <t>Todos los segmentos</t>
  </si>
  <si>
    <r>
      <t xml:space="preserve">Este modelo Excel ha sido desarrollado por Frontier Economics considerando las </t>
    </r>
    <r>
      <rPr>
        <b/>
        <sz val="10"/>
        <rFont val="Arial"/>
        <family val="2"/>
      </rPr>
      <t>propuestas de actualización</t>
    </r>
    <r>
      <rPr>
        <sz val="10"/>
        <rFont val="Arial"/>
        <family val="2"/>
      </rPr>
      <t xml:space="preserve"> sometidas a Consulta Pública por el Instituto.</t>
    </r>
  </si>
  <si>
    <t>Este modelo Excel ha sido desarrollado por Frontier Economics considerando las propuestas de actualización sometidas a Consulta Pública por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</si>
</sst>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quot;£&quot;* #,##0_-;\-&quot;£&quot;* #,##0_-;_-&quot;£&quot;* &quot;-&quot;_-;_-@_-"/>
    <numFmt numFmtId="165" formatCode="[$$-80A]#,##0.00;\-[$$-80A]#,##0.00"/>
    <numFmt numFmtId="166" formatCode="0.0%"/>
    <numFmt numFmtId="167" formatCode="[$$-80A]#,##0.000;\-[$$-80A]#,##0.000"/>
    <numFmt numFmtId="168" formatCode="[$$-80A]#,##0.00"/>
    <numFmt numFmtId="169" formatCode="[$$-80A]#,##0;\-[$$-80A]#,##0"/>
    <numFmt numFmtId="170" formatCode="[$$-80A]#,##0.0000;\-[$$-80A]#,##0.0000"/>
    <numFmt numFmtId="171" formatCode="#,##0_);[Red]\-#,##0_);0_);@_)"/>
    <numFmt numFmtId="172" formatCode="#,##0_);[Red]\-#,##0_);* _(&quot;-&quot;?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12"/>
      <name val="Arial"/>
      <family val="2"/>
    </font>
    <font>
      <b/>
      <sz val="10"/>
      <color theme="6"/>
      <name val="Arial"/>
      <family val="2"/>
    </font>
    <font>
      <sz val="10"/>
      <color theme="3"/>
      <name val="Arial"/>
      <family val="2"/>
    </font>
    <font>
      <b/>
      <sz val="12"/>
      <color theme="1"/>
      <name val="Arial"/>
      <family val="2"/>
    </font>
    <font>
      <b/>
      <sz val="16"/>
      <color theme="0"/>
      <name val="Arial"/>
      <family val="2"/>
    </font>
    <font>
      <sz val="1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0"/>
      <color theme="1"/>
      <name val="Arial"/>
      <family val="2"/>
    </font>
    <font>
      <b/>
      <sz val="10"/>
      <color rgb="FF007B87"/>
      <name val="Arial"/>
      <family val="2"/>
    </font>
    <font>
      <sz val="10"/>
      <color rgb="FF37424A"/>
      <name val="Arial"/>
      <family val="2"/>
    </font>
    <font>
      <sz val="10"/>
      <name val="Arial"/>
      <family val="2"/>
    </font>
    <font>
      <sz val="10"/>
      <color theme="1"/>
      <name val="Arial"/>
      <family val="2"/>
    </font>
    <font>
      <b/>
      <sz val="10"/>
      <color rgb="FF37424A"/>
      <name val="Arial"/>
      <family val="2"/>
    </font>
    <font>
      <sz val="11"/>
      <color theme="0"/>
      <name val="Calibri"/>
      <family val="2"/>
      <scheme val="minor"/>
    </font>
    <font>
      <u/>
      <sz val="10"/>
      <color theme="10"/>
      <name val="Arial"/>
      <family val="2"/>
    </font>
    <font>
      <b/>
      <sz val="22"/>
      <color theme="0"/>
      <name val="Arial"/>
      <family val="2"/>
    </font>
    <font>
      <sz val="10"/>
      <color indexed="8"/>
      <name val="Arial"/>
      <family val="2"/>
    </font>
    <font>
      <sz val="10"/>
      <color theme="0"/>
      <name val="Arial"/>
      <family val="2"/>
    </font>
    <font>
      <b/>
      <sz val="10"/>
      <color theme="0"/>
      <name val="Arial"/>
      <family val="2"/>
    </font>
    <font>
      <b/>
      <u/>
      <sz val="10"/>
      <color theme="0"/>
      <name val="Arial"/>
      <family val="2"/>
    </font>
    <font>
      <u/>
      <sz val="10"/>
      <color theme="1"/>
      <name val="Arial"/>
      <family val="2"/>
    </font>
    <font>
      <b/>
      <u/>
      <sz val="10"/>
      <color theme="1"/>
      <name val="Arial"/>
      <family val="2"/>
    </font>
    <font>
      <sz val="10"/>
      <color rgb="FF808080"/>
      <name val="Arial"/>
      <family val="2"/>
    </font>
    <font>
      <b/>
      <sz val="10"/>
      <name val="Arial"/>
      <family val="2"/>
    </font>
    <font>
      <sz val="10"/>
      <color indexed="23"/>
      <name val="Arial"/>
      <family val="2"/>
    </font>
    <font>
      <sz val="10"/>
      <color rgb="FF0000FF"/>
      <name val="Arial"/>
      <family val="2"/>
    </font>
    <font>
      <sz val="10"/>
      <color theme="6"/>
      <name val="Arial"/>
      <family val="2"/>
    </font>
    <font>
      <sz val="10"/>
      <color theme="4"/>
      <name val="Arial"/>
      <family val="2"/>
    </font>
    <font>
      <b/>
      <sz val="10"/>
      <color theme="8"/>
      <name val="Arial"/>
      <family val="2"/>
    </font>
    <font>
      <i/>
      <sz val="10"/>
      <name val="Arial"/>
      <family val="2"/>
    </font>
    <font>
      <sz val="10"/>
      <color rgb="FFE83F35"/>
      <name val="Arial"/>
      <family val="2"/>
    </font>
    <font>
      <sz val="10"/>
      <color theme="0" tint="-0.34998626667073579"/>
      <name val="Calibri"/>
      <family val="2"/>
      <scheme val="minor"/>
    </font>
    <font>
      <b/>
      <sz val="10"/>
      <color theme="3"/>
      <name val="Arial"/>
      <family val="2"/>
    </font>
    <font>
      <b/>
      <sz val="10"/>
      <color theme="8" tint="-0.249977111117893"/>
      <name val="Arial"/>
      <family val="2"/>
    </font>
    <font>
      <b/>
      <sz val="10"/>
      <color rgb="FF808080"/>
      <name val="Arial"/>
      <family val="2"/>
    </font>
    <font>
      <b/>
      <sz val="10"/>
      <color rgb="FF683C5B"/>
      <name val="Arial"/>
      <family val="2"/>
    </font>
    <font>
      <b/>
      <sz val="10"/>
      <color theme="4"/>
      <name val="Arial"/>
      <family val="2"/>
    </font>
    <font>
      <b/>
      <sz val="10"/>
      <color rgb="FFC00000"/>
      <name val="Arial"/>
      <family val="2"/>
    </font>
    <font>
      <b/>
      <sz val="9"/>
      <name val="Arial"/>
      <family val="2"/>
    </font>
    <font>
      <sz val="9"/>
      <name val="Arial"/>
      <family val="2"/>
    </font>
    <font>
      <i/>
      <sz val="10"/>
      <color theme="0" tint="-0.499984740745262"/>
      <name val="Calibri"/>
      <family val="2"/>
      <scheme val="minor"/>
    </font>
    <font>
      <sz val="8"/>
      <name val="Arial"/>
    </font>
  </fonts>
  <fills count="31">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7"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solid">
        <fgColor indexed="13"/>
        <bgColor indexed="15"/>
      </patternFill>
    </fill>
    <fill>
      <patternFill patternType="solid">
        <fgColor indexed="42"/>
        <bgColor indexed="64"/>
      </patternFill>
    </fill>
  </fills>
  <borders count="28">
    <border>
      <left/>
      <right/>
      <top/>
      <bottom/>
      <diagonal/>
    </border>
    <border>
      <left/>
      <right/>
      <top/>
      <bottom style="thick">
        <color theme="4"/>
      </bottom>
      <diagonal/>
    </border>
    <border>
      <left/>
      <right/>
      <top style="medium">
        <color rgb="FF007B87"/>
      </top>
      <bottom style="medium">
        <color rgb="FF007B87"/>
      </bottom>
      <diagonal/>
    </border>
    <border>
      <left/>
      <right/>
      <top/>
      <bottom style="thin">
        <color rgb="FF707276"/>
      </bottom>
      <diagonal/>
    </border>
    <border>
      <left/>
      <right/>
      <top style="thin">
        <color rgb="FF707276"/>
      </top>
      <bottom style="thin">
        <color rgb="FF7072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rgb="FF707276"/>
      </top>
      <bottom style="medium">
        <color rgb="FF007B87"/>
      </bottom>
      <diagonal/>
    </border>
    <border>
      <left/>
      <right/>
      <top style="thin">
        <color indexed="64"/>
      </top>
      <bottom/>
      <diagonal/>
    </border>
    <border>
      <left/>
      <right/>
      <top style="thin">
        <color rgb="FF007B87"/>
      </top>
      <bottom style="thin">
        <color rgb="FF007B87"/>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thin">
        <color theme="1"/>
      </top>
      <bottom style="thin">
        <color rgb="FF007B87"/>
      </bottom>
      <diagonal/>
    </border>
    <border>
      <left style="thin">
        <color theme="3"/>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theme="1"/>
      </top>
      <bottom style="thin">
        <color indexed="64"/>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s>
  <cellStyleXfs count="45">
    <xf numFmtId="0" fontId="0" fillId="0" borderId="0"/>
    <xf numFmtId="0" fontId="9" fillId="3" borderId="0" applyNumberFormat="0" applyAlignment="0" applyProtection="0"/>
    <xf numFmtId="0" fontId="9" fillId="3" borderId="0" applyNumberFormat="0" applyAlignment="0" applyProtection="0"/>
    <xf numFmtId="0" fontId="8" fillId="2" borderId="1" applyNumberFormat="0" applyAlignment="0" applyProtection="0"/>
    <xf numFmtId="0" fontId="21" fillId="2" borderId="10" applyNumberFormat="0" applyAlignment="0" applyProtection="0"/>
    <xf numFmtId="0" fontId="21" fillId="0" borderId="11" applyNumberFormat="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5" applyNumberFormat="0" applyAlignment="0" applyProtection="0"/>
    <xf numFmtId="0" fontId="15" fillId="10" borderId="6" applyNumberFormat="0" applyAlignment="0" applyProtection="0"/>
    <xf numFmtId="0" fontId="16" fillId="10" borderId="5" applyNumberFormat="0" applyAlignment="0" applyProtection="0"/>
    <xf numFmtId="0" fontId="17" fillId="0" borderId="7" applyNumberFormat="0" applyFill="0" applyAlignment="0" applyProtection="0"/>
    <xf numFmtId="0" fontId="18" fillId="11" borderId="8" applyNumberFormat="0" applyAlignment="0" applyProtection="0"/>
    <xf numFmtId="0" fontId="19" fillId="0" borderId="0" applyNumberFormat="0" applyFill="0" applyBorder="0" applyAlignment="0" applyProtection="0"/>
    <xf numFmtId="0" fontId="10" fillId="12" borderId="9" applyNumberFormat="0" applyFont="0" applyAlignment="0" applyProtection="0"/>
    <xf numFmtId="0" fontId="20" fillId="0" borderId="0" applyNumberFormat="0" applyFill="0" applyBorder="0" applyAlignment="0" applyProtection="0"/>
    <xf numFmtId="43" fontId="5" fillId="4" borderId="0"/>
    <xf numFmtId="43" fontId="6" fillId="0" borderId="0"/>
    <xf numFmtId="43" fontId="7" fillId="0" borderId="0"/>
    <xf numFmtId="43" fontId="4" fillId="0" borderId="0"/>
    <xf numFmtId="164" fontId="5"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3" fillId="14" borderId="0" applyNumberFormat="0" applyBorder="0" applyAlignment="0" applyProtection="0"/>
    <xf numFmtId="0" fontId="3" fillId="15" borderId="0" applyNumberFormat="0" applyBorder="0" applyAlignment="0" applyProtection="0"/>
    <xf numFmtId="0" fontId="2" fillId="0" borderId="0"/>
    <xf numFmtId="0" fontId="27" fillId="16" borderId="0" applyNumberFormat="0" applyBorder="0" applyAlignment="0" applyProtection="0"/>
    <xf numFmtId="0" fontId="28" fillId="0" borderId="0" applyNumberFormat="0" applyFill="0" applyBorder="0" applyAlignment="0" applyProtection="0"/>
    <xf numFmtId="0" fontId="9" fillId="18" borderId="0" applyNumberFormat="0" applyAlignment="0" applyProtection="0"/>
    <xf numFmtId="0" fontId="4" fillId="0" borderId="0"/>
    <xf numFmtId="0" fontId="52" fillId="28" borderId="0" applyNumberFormat="0">
      <alignment horizontal="center" vertical="top" wrapText="1"/>
    </xf>
    <xf numFmtId="0" fontId="53" fillId="0" borderId="26" applyNumberFormat="0" applyAlignment="0">
      <alignment vertical="center"/>
    </xf>
    <xf numFmtId="0" fontId="53" fillId="0" borderId="27" applyNumberFormat="0" applyAlignment="0">
      <alignment vertical="center"/>
      <protection locked="0"/>
    </xf>
    <xf numFmtId="0" fontId="53" fillId="0" borderId="27" applyNumberFormat="0" applyAlignment="0">
      <alignment vertical="center"/>
      <protection locked="0"/>
    </xf>
    <xf numFmtId="171" fontId="53" fillId="29" borderId="27" applyNumberFormat="0" applyAlignment="0">
      <alignment vertical="center"/>
      <protection locked="0"/>
    </xf>
    <xf numFmtId="0" fontId="53" fillId="30" borderId="0" applyNumberFormat="0" applyAlignment="0">
      <alignment vertical="center"/>
    </xf>
    <xf numFmtId="0" fontId="1" fillId="0" borderId="0"/>
    <xf numFmtId="172" fontId="53" fillId="0" borderId="0" applyFont="0" applyFill="0" applyBorder="0" applyAlignment="0" applyProtection="0">
      <alignment vertical="center"/>
    </xf>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cellStyleXfs>
  <cellXfs count="239">
    <xf numFmtId="0" fontId="0" fillId="0" borderId="0" xfId="0"/>
    <xf numFmtId="0" fontId="9" fillId="3" borderId="0" xfId="2"/>
    <xf numFmtId="0" fontId="8" fillId="2" borderId="1" xfId="3"/>
    <xf numFmtId="0" fontId="23" fillId="5" borderId="4" xfId="0" applyFont="1" applyFill="1" applyBorder="1" applyAlignment="1">
      <alignment horizontal="left" vertical="top" wrapText="1"/>
    </xf>
    <xf numFmtId="0" fontId="23" fillId="5" borderId="12" xfId="0" applyFont="1" applyFill="1" applyBorder="1" applyAlignment="1">
      <alignment horizontal="left" vertical="top" wrapText="1"/>
    </xf>
    <xf numFmtId="0" fontId="22" fillId="5" borderId="2" xfId="0" applyFont="1" applyFill="1" applyBorder="1" applyAlignment="1">
      <alignment horizontal="left" vertical="top" wrapText="1"/>
    </xf>
    <xf numFmtId="0" fontId="22" fillId="5" borderId="2" xfId="0" applyFont="1" applyFill="1" applyBorder="1" applyAlignment="1">
      <alignment horizontal="right" vertical="top" wrapText="1"/>
    </xf>
    <xf numFmtId="0" fontId="0" fillId="13" borderId="0" xfId="0" applyFill="1"/>
    <xf numFmtId="0" fontId="23" fillId="5" borderId="4" xfId="0" applyFont="1" applyFill="1" applyBorder="1" applyAlignment="1">
      <alignment horizontal="right" vertical="top"/>
    </xf>
    <xf numFmtId="0" fontId="23" fillId="5" borderId="12" xfId="0" applyFont="1" applyFill="1" applyBorder="1" applyAlignment="1">
      <alignment horizontal="right" vertical="top"/>
    </xf>
    <xf numFmtId="0" fontId="23" fillId="5" borderId="3" xfId="0" applyFont="1" applyFill="1" applyBorder="1" applyAlignment="1">
      <alignment horizontal="left" vertical="top" wrapText="1"/>
    </xf>
    <xf numFmtId="0" fontId="23" fillId="5" borderId="3" xfId="0" applyFont="1" applyFill="1" applyBorder="1" applyAlignment="1">
      <alignment horizontal="right" vertical="top"/>
    </xf>
    <xf numFmtId="0" fontId="4" fillId="13" borderId="0" xfId="0" applyFont="1" applyFill="1"/>
    <xf numFmtId="0" fontId="21" fillId="13" borderId="11" xfId="5" applyFill="1"/>
    <xf numFmtId="0" fontId="6" fillId="5" borderId="12" xfId="0" applyFont="1" applyFill="1" applyBorder="1" applyAlignment="1">
      <alignment horizontal="right" vertical="top"/>
    </xf>
    <xf numFmtId="0" fontId="22" fillId="5" borderId="0" xfId="0" applyFont="1" applyFill="1" applyBorder="1" applyAlignment="1">
      <alignment horizontal="left" vertical="top" wrapText="1"/>
    </xf>
    <xf numFmtId="0" fontId="22" fillId="5" borderId="0" xfId="0" applyFont="1" applyFill="1" applyBorder="1" applyAlignment="1">
      <alignment horizontal="right" vertical="top" wrapText="1"/>
    </xf>
    <xf numFmtId="9" fontId="0" fillId="13" borderId="0" xfId="25" applyFont="1" applyFill="1"/>
    <xf numFmtId="9" fontId="3" fillId="14" borderId="0" xfId="26" applyNumberFormat="1"/>
    <xf numFmtId="9" fontId="3" fillId="15" borderId="0" xfId="27" applyNumberFormat="1"/>
    <xf numFmtId="0" fontId="23" fillId="5" borderId="0" xfId="0" applyFont="1" applyFill="1" applyBorder="1" applyAlignment="1">
      <alignment horizontal="left" vertical="top" wrapText="1"/>
    </xf>
    <xf numFmtId="0" fontId="6" fillId="5" borderId="0" xfId="0" applyFont="1" applyFill="1" applyBorder="1" applyAlignment="1">
      <alignment horizontal="right" vertical="top"/>
    </xf>
    <xf numFmtId="9" fontId="3" fillId="15" borderId="0" xfId="27" applyNumberFormat="1" applyBorder="1" applyAlignment="1">
      <alignment horizontal="right" vertical="top"/>
    </xf>
    <xf numFmtId="9" fontId="3" fillId="14" borderId="0" xfId="26" applyNumberFormat="1" applyBorder="1" applyAlignment="1">
      <alignment horizontal="right" vertical="top"/>
    </xf>
    <xf numFmtId="0" fontId="4" fillId="0" borderId="0" xfId="22"/>
    <xf numFmtId="0" fontId="4" fillId="3" borderId="0" xfId="22" applyFill="1"/>
    <xf numFmtId="0" fontId="29" fillId="19" borderId="0" xfId="22" applyFont="1" applyFill="1"/>
    <xf numFmtId="0" fontId="4" fillId="19" borderId="0" xfId="22" applyFill="1"/>
    <xf numFmtId="0" fontId="9" fillId="20" borderId="0" xfId="31" applyFill="1"/>
    <xf numFmtId="0" fontId="29" fillId="20" borderId="0" xfId="22" applyFont="1" applyFill="1"/>
    <xf numFmtId="0" fontId="30" fillId="20" borderId="0" xfId="22" applyFont="1" applyFill="1"/>
    <xf numFmtId="0" fontId="29" fillId="3" borderId="0" xfId="22" applyFont="1" applyFill="1"/>
    <xf numFmtId="0" fontId="29" fillId="21" borderId="0" xfId="22" applyFont="1" applyFill="1"/>
    <xf numFmtId="0" fontId="4" fillId="21" borderId="0" xfId="22" applyFill="1"/>
    <xf numFmtId="0" fontId="33" fillId="3" borderId="0" xfId="30" applyFont="1" applyFill="1" applyAlignment="1">
      <alignment horizontal="left" vertical="center" wrapText="1"/>
    </xf>
    <xf numFmtId="0" fontId="33" fillId="19" borderId="0" xfId="30" applyFont="1" applyFill="1" applyAlignment="1">
      <alignment horizontal="left" vertical="center" wrapText="1"/>
    </xf>
    <xf numFmtId="0" fontId="34" fillId="23" borderId="0" xfId="30" applyFont="1" applyFill="1" applyAlignment="1">
      <alignment horizontal="left" vertical="center" wrapText="1" indent="1"/>
    </xf>
    <xf numFmtId="0" fontId="33" fillId="21" borderId="0" xfId="30" applyFont="1" applyFill="1" applyAlignment="1">
      <alignment horizontal="left" vertical="center" wrapText="1"/>
    </xf>
    <xf numFmtId="0" fontId="34" fillId="24" borderId="0" xfId="30" applyFont="1" applyFill="1" applyAlignment="1">
      <alignment horizontal="left" vertical="center" wrapText="1" indent="1"/>
    </xf>
    <xf numFmtId="0" fontId="35" fillId="20" borderId="0" xfId="30" applyFont="1" applyFill="1" applyAlignment="1">
      <alignment horizontal="left" vertical="center" wrapText="1"/>
    </xf>
    <xf numFmtId="0" fontId="35" fillId="22" borderId="0" xfId="30" applyFont="1" applyFill="1" applyAlignment="1">
      <alignment horizontal="left" vertical="center" wrapText="1"/>
    </xf>
    <xf numFmtId="0" fontId="34" fillId="4" borderId="0" xfId="30" applyFont="1" applyFill="1" applyAlignment="1">
      <alignment horizontal="left" vertical="center" wrapText="1" indent="1"/>
    </xf>
    <xf numFmtId="0" fontId="4" fillId="0" borderId="0" xfId="0" applyFont="1"/>
    <xf numFmtId="0" fontId="4" fillId="0" borderId="0" xfId="0" applyFont="1" applyAlignment="1">
      <alignment horizontal="left" indent="1"/>
    </xf>
    <xf numFmtId="0" fontId="37" fillId="0" borderId="0" xfId="0" applyFont="1"/>
    <xf numFmtId="0" fontId="38" fillId="13" borderId="0" xfId="0" applyFont="1" applyFill="1"/>
    <xf numFmtId="0" fontId="32" fillId="16" borderId="0" xfId="29" applyFont="1" applyAlignment="1">
      <alignment vertical="center"/>
    </xf>
    <xf numFmtId="0" fontId="22" fillId="13" borderId="0" xfId="0" applyFont="1" applyFill="1"/>
    <xf numFmtId="0" fontId="4" fillId="0" borderId="0" xfId="0" applyFont="1" applyAlignment="1">
      <alignment horizontal="left" indent="2"/>
    </xf>
    <xf numFmtId="0" fontId="37" fillId="0" borderId="0" xfId="0" applyFont="1" applyAlignment="1">
      <alignment horizontal="left"/>
    </xf>
    <xf numFmtId="0" fontId="37" fillId="13" borderId="0" xfId="0" applyFont="1" applyFill="1"/>
    <xf numFmtId="0" fontId="0" fillId="0" borderId="0" xfId="0" applyAlignment="1">
      <alignment wrapText="1"/>
    </xf>
    <xf numFmtId="0" fontId="21" fillId="0" borderId="0" xfId="0" applyFont="1" applyAlignment="1">
      <alignment horizontal="center" wrapText="1"/>
    </xf>
    <xf numFmtId="0" fontId="21" fillId="0" borderId="0" xfId="0" applyFont="1" applyAlignment="1">
      <alignment horizontal="center" vertical="center" wrapText="1"/>
    </xf>
    <xf numFmtId="0" fontId="22" fillId="0" borderId="0" xfId="0" applyFont="1" applyFill="1" applyAlignment="1">
      <alignment horizontal="left" vertical="top" wrapText="1"/>
    </xf>
    <xf numFmtId="0" fontId="0" fillId="13" borderId="0" xfId="0" applyFill="1" applyBorder="1"/>
    <xf numFmtId="0" fontId="0" fillId="0" borderId="0" xfId="0" applyBorder="1"/>
    <xf numFmtId="0" fontId="25" fillId="13" borderId="0" xfId="0" applyFont="1" applyFill="1" applyBorder="1" applyAlignment="1">
      <alignment wrapText="1"/>
    </xf>
    <xf numFmtId="43" fontId="39" fillId="25" borderId="0" xfId="17" applyFont="1" applyFill="1" applyBorder="1" applyAlignment="1">
      <alignment vertical="center"/>
    </xf>
    <xf numFmtId="43" fontId="41" fillId="0" borderId="0" xfId="17" applyFont="1" applyFill="1" applyBorder="1" applyAlignment="1">
      <alignment vertical="center"/>
    </xf>
    <xf numFmtId="43" fontId="7" fillId="13" borderId="0" xfId="19" applyFill="1" applyBorder="1" applyAlignment="1">
      <alignment vertical="center"/>
    </xf>
    <xf numFmtId="43" fontId="4" fillId="13" borderId="0" xfId="20" applyFill="1" applyBorder="1" applyAlignment="1">
      <alignment vertical="center"/>
    </xf>
    <xf numFmtId="43" fontId="40" fillId="4" borderId="0" xfId="17" applyFont="1" applyBorder="1" applyAlignment="1">
      <alignment vertical="center"/>
    </xf>
    <xf numFmtId="43" fontId="37" fillId="13" borderId="0" xfId="20" applyFont="1" applyFill="1" applyBorder="1" applyAlignment="1">
      <alignment vertical="center"/>
    </xf>
    <xf numFmtId="43" fontId="43" fillId="13" borderId="0" xfId="20" applyFont="1" applyFill="1" applyBorder="1" applyAlignment="1">
      <alignment vertical="center"/>
    </xf>
    <xf numFmtId="0" fontId="4" fillId="13" borderId="0" xfId="0" applyFont="1" applyFill="1" applyAlignment="1">
      <alignment horizontal="left"/>
    </xf>
    <xf numFmtId="0" fontId="37" fillId="0" borderId="0" xfId="0" applyFont="1" applyAlignment="1">
      <alignment vertical="center"/>
    </xf>
    <xf numFmtId="0" fontId="26" fillId="0" borderId="14" xfId="0" applyFont="1" applyBorder="1" applyAlignment="1">
      <alignment horizontal="left" vertical="top"/>
    </xf>
    <xf numFmtId="165" fontId="26" fillId="0" borderId="14" xfId="0" applyNumberFormat="1" applyFont="1" applyBorder="1" applyAlignment="1">
      <alignment vertical="top"/>
    </xf>
    <xf numFmtId="0" fontId="25" fillId="13" borderId="0" xfId="0" applyFont="1" applyFill="1" applyBorder="1" applyAlignment="1">
      <alignment vertical="center" wrapText="1"/>
    </xf>
    <xf numFmtId="0" fontId="25" fillId="0" borderId="0" xfId="0" applyFont="1" applyBorder="1" applyAlignment="1">
      <alignment vertical="center" wrapText="1"/>
    </xf>
    <xf numFmtId="0" fontId="43" fillId="0" borderId="0" xfId="0" applyFont="1" applyAlignment="1">
      <alignment horizontal="left" indent="2"/>
    </xf>
    <xf numFmtId="0" fontId="43" fillId="0" borderId="0" xfId="0" applyFont="1" applyAlignment="1">
      <alignment horizontal="center"/>
    </xf>
    <xf numFmtId="0" fontId="22" fillId="13" borderId="0" xfId="0" applyFont="1" applyFill="1" applyAlignment="1">
      <alignment vertical="center"/>
    </xf>
    <xf numFmtId="0" fontId="22" fillId="13" borderId="0" xfId="0" applyFont="1" applyFill="1" applyAlignment="1">
      <alignment horizontal="center" vertical="center"/>
    </xf>
    <xf numFmtId="0" fontId="22" fillId="13" borderId="0" xfId="0" applyFont="1" applyFill="1" applyAlignment="1">
      <alignment horizontal="left" vertical="center"/>
    </xf>
    <xf numFmtId="14" fontId="21" fillId="0" borderId="0" xfId="0" applyNumberFormat="1" applyFont="1" applyAlignment="1">
      <alignment horizontal="center"/>
    </xf>
    <xf numFmtId="165" fontId="44" fillId="0" borderId="0" xfId="0" applyNumberFormat="1" applyFont="1" applyProtection="1">
      <protection locked="0"/>
    </xf>
    <xf numFmtId="41" fontId="41" fillId="0" borderId="0" xfId="24" applyNumberFormat="1" applyFont="1" applyBorder="1" applyProtection="1">
      <protection locked="0"/>
    </xf>
    <xf numFmtId="41" fontId="41" fillId="0" borderId="0" xfId="0" applyNumberFormat="1" applyFont="1" applyProtection="1">
      <protection locked="0"/>
    </xf>
    <xf numFmtId="41" fontId="4" fillId="0" borderId="0" xfId="0" applyNumberFormat="1" applyFont="1"/>
    <xf numFmtId="3" fontId="26" fillId="0" borderId="14" xfId="0" applyNumberFormat="1" applyFont="1" applyBorder="1" applyAlignment="1">
      <alignment horizontal="right" vertical="top"/>
    </xf>
    <xf numFmtId="0" fontId="32" fillId="13" borderId="0" xfId="29" applyFont="1" applyFill="1" applyAlignment="1">
      <alignment vertical="center"/>
    </xf>
    <xf numFmtId="0" fontId="7" fillId="13" borderId="0" xfId="0" applyFont="1" applyFill="1" applyAlignment="1">
      <alignment horizontal="center"/>
    </xf>
    <xf numFmtId="0" fontId="26" fillId="0" borderId="14" xfId="0" applyFont="1" applyBorder="1" applyAlignment="1">
      <alignment horizontal="center" vertical="top"/>
    </xf>
    <xf numFmtId="0" fontId="4" fillId="13" borderId="13" xfId="0" applyFont="1" applyFill="1" applyBorder="1"/>
    <xf numFmtId="0" fontId="38" fillId="13" borderId="13" xfId="0" applyFont="1" applyFill="1" applyBorder="1"/>
    <xf numFmtId="49" fontId="21" fillId="0" borderId="0" xfId="0" applyNumberFormat="1" applyFont="1" applyAlignment="1">
      <alignment horizontal="left"/>
    </xf>
    <xf numFmtId="0" fontId="29" fillId="13" borderId="0" xfId="22" applyFont="1" applyFill="1"/>
    <xf numFmtId="0" fontId="31" fillId="13" borderId="0" xfId="22" applyFont="1" applyFill="1"/>
    <xf numFmtId="0" fontId="25" fillId="13" borderId="0" xfId="22" applyFont="1" applyFill="1"/>
    <xf numFmtId="49" fontId="39" fillId="13" borderId="0" xfId="0" applyNumberFormat="1" applyFont="1" applyFill="1" applyAlignment="1">
      <alignment horizontal="center"/>
    </xf>
    <xf numFmtId="10" fontId="39" fillId="25" borderId="0" xfId="25" applyNumberFormat="1" applyFont="1" applyFill="1" applyAlignment="1">
      <alignment horizontal="center"/>
    </xf>
    <xf numFmtId="3" fontId="39" fillId="25" borderId="0" xfId="0" applyNumberFormat="1" applyFont="1" applyFill="1" applyAlignment="1">
      <alignment horizontal="center"/>
    </xf>
    <xf numFmtId="3" fontId="25" fillId="13" borderId="0" xfId="0" applyNumberFormat="1" applyFont="1" applyFill="1" applyAlignment="1">
      <alignment horizontal="center"/>
    </xf>
    <xf numFmtId="10" fontId="25" fillId="13" borderId="0" xfId="25" applyNumberFormat="1" applyFont="1" applyFill="1" applyAlignment="1">
      <alignment horizontal="center"/>
    </xf>
    <xf numFmtId="0" fontId="4" fillId="0" borderId="17" xfId="0" applyFont="1" applyBorder="1"/>
    <xf numFmtId="0" fontId="30" fillId="2" borderId="17" xfId="0" applyFont="1" applyFill="1" applyBorder="1" applyAlignment="1">
      <alignment horizontal="center" vertical="center" wrapText="1"/>
    </xf>
    <xf numFmtId="0" fontId="7" fillId="13" borderId="16" xfId="0" applyFont="1" applyFill="1" applyBorder="1" applyAlignment="1">
      <alignment horizontal="center" vertical="center"/>
    </xf>
    <xf numFmtId="0" fontId="7" fillId="13" borderId="0" xfId="0" applyFont="1" applyFill="1" applyAlignment="1">
      <alignment horizontal="center" vertical="center"/>
    </xf>
    <xf numFmtId="0" fontId="7" fillId="13" borderId="17" xfId="0" applyFont="1" applyFill="1" applyBorder="1" applyAlignment="1">
      <alignment horizontal="center" vertical="center"/>
    </xf>
    <xf numFmtId="0" fontId="7" fillId="13" borderId="15" xfId="0" applyFont="1" applyFill="1" applyBorder="1" applyAlignment="1">
      <alignment horizontal="center" vertical="center"/>
    </xf>
    <xf numFmtId="166" fontId="39" fillId="25" borderId="0" xfId="25" applyNumberFormat="1" applyFont="1" applyFill="1"/>
    <xf numFmtId="166" fontId="41" fillId="0" borderId="0" xfId="25" applyNumberFormat="1" applyFont="1"/>
    <xf numFmtId="0" fontId="22" fillId="13" borderId="15" xfId="0" applyFont="1" applyFill="1" applyBorder="1"/>
    <xf numFmtId="0" fontId="21" fillId="13" borderId="15" xfId="0" applyFont="1" applyFill="1" applyBorder="1" applyAlignment="1">
      <alignment horizontal="right"/>
    </xf>
    <xf numFmtId="0" fontId="33" fillId="13" borderId="0" xfId="30" applyFont="1" applyFill="1" applyAlignment="1">
      <alignment horizontal="left" vertical="center" wrapText="1"/>
    </xf>
    <xf numFmtId="0" fontId="7" fillId="13" borderId="0" xfId="0" applyFont="1" applyFill="1" applyBorder="1" applyAlignment="1">
      <alignment horizontal="center" vertical="center"/>
    </xf>
    <xf numFmtId="0" fontId="34" fillId="4" borderId="0" xfId="30" applyFont="1" applyFill="1" applyAlignment="1">
      <alignment vertical="center"/>
    </xf>
    <xf numFmtId="0" fontId="0" fillId="0" borderId="0" xfId="0" applyFill="1"/>
    <xf numFmtId="0" fontId="34" fillId="0" borderId="0" xfId="30" applyFont="1" applyFill="1" applyAlignment="1">
      <alignment vertical="center"/>
    </xf>
    <xf numFmtId="14" fontId="39" fillId="25" borderId="0" xfId="0" applyNumberFormat="1" applyFont="1" applyFill="1" applyAlignment="1">
      <alignment horizontal="center"/>
    </xf>
    <xf numFmtId="0" fontId="21" fillId="13" borderId="0" xfId="0" applyFont="1" applyFill="1" applyAlignment="1">
      <alignment horizontal="left" vertical="center"/>
    </xf>
    <xf numFmtId="0" fontId="37" fillId="13" borderId="0" xfId="0" applyFont="1" applyFill="1" applyAlignment="1">
      <alignment horizontal="center"/>
    </xf>
    <xf numFmtId="167" fontId="39" fillId="25" borderId="0" xfId="24" applyNumberFormat="1" applyFont="1" applyFill="1" applyProtection="1"/>
    <xf numFmtId="43" fontId="7" fillId="13" borderId="0" xfId="19" applyFill="1" applyBorder="1" applyAlignment="1">
      <alignment horizontal="left" vertical="center" wrapText="1"/>
    </xf>
    <xf numFmtId="43" fontId="45" fillId="13" borderId="0" xfId="0" applyNumberFormat="1" applyFont="1" applyFill="1"/>
    <xf numFmtId="168" fontId="39" fillId="25" borderId="0" xfId="0" applyNumberFormat="1" applyFont="1" applyFill="1"/>
    <xf numFmtId="168" fontId="39" fillId="13" borderId="0" xfId="0" applyNumberFormat="1" applyFont="1" applyFill="1"/>
    <xf numFmtId="167" fontId="25" fillId="0" borderId="0" xfId="24" applyNumberFormat="1" applyFont="1" applyFill="1" applyProtection="1"/>
    <xf numFmtId="0" fontId="46" fillId="0" borderId="0" xfId="0" applyFont="1" applyFill="1" applyBorder="1" applyAlignment="1">
      <alignment horizontal="center" vertical="center" wrapText="1"/>
    </xf>
    <xf numFmtId="0" fontId="37" fillId="0" borderId="0" xfId="22" applyFont="1"/>
    <xf numFmtId="0" fontId="6" fillId="13" borderId="0" xfId="0" applyFont="1" applyFill="1" applyAlignment="1" applyProtection="1">
      <alignment horizontal="center"/>
      <protection locked="0"/>
    </xf>
    <xf numFmtId="0" fontId="40" fillId="0" borderId="0" xfId="22" applyFont="1"/>
    <xf numFmtId="0" fontId="40" fillId="0" borderId="0" xfId="22" applyFont="1" applyAlignment="1">
      <alignment horizontal="center"/>
    </xf>
    <xf numFmtId="0" fontId="40" fillId="13" borderId="0" xfId="0" applyFont="1" applyFill="1" applyAlignment="1" applyProtection="1">
      <alignment horizontal="center" vertical="center" wrapText="1"/>
      <protection locked="0"/>
    </xf>
    <xf numFmtId="0" fontId="21" fillId="13" borderId="0" xfId="0" applyFont="1" applyFill="1" applyAlignment="1" applyProtection="1">
      <alignment horizontal="center" vertical="center" wrapText="1"/>
      <protection locked="0"/>
    </xf>
    <xf numFmtId="165" fontId="41" fillId="0" borderId="0" xfId="0" applyNumberFormat="1" applyFont="1"/>
    <xf numFmtId="165" fontId="41" fillId="0" borderId="15" xfId="0" applyNumberFormat="1" applyFont="1" applyBorder="1"/>
    <xf numFmtId="165" fontId="41" fillId="0" borderId="17" xfId="0" applyNumberFormat="1" applyFont="1" applyBorder="1"/>
    <xf numFmtId="165" fontId="41" fillId="0" borderId="21" xfId="0" applyNumberFormat="1" applyFont="1" applyBorder="1"/>
    <xf numFmtId="165" fontId="25" fillId="0" borderId="0" xfId="0" applyNumberFormat="1" applyFont="1" applyBorder="1"/>
    <xf numFmtId="0" fontId="4" fillId="0" borderId="0" xfId="22" applyAlignment="1">
      <alignment horizontal="center"/>
    </xf>
    <xf numFmtId="165" fontId="4" fillId="0" borderId="0" xfId="22" applyNumberFormat="1"/>
    <xf numFmtId="0" fontId="43" fillId="0" borderId="0" xfId="22" applyFont="1" applyAlignment="1">
      <alignment horizontal="right"/>
    </xf>
    <xf numFmtId="0" fontId="21" fillId="17" borderId="0" xfId="22" applyFont="1" applyFill="1"/>
    <xf numFmtId="165" fontId="21" fillId="17" borderId="0" xfId="22" applyNumberFormat="1" applyFont="1" applyFill="1"/>
    <xf numFmtId="0" fontId="25" fillId="17" borderId="0" xfId="22" applyFont="1" applyFill="1"/>
    <xf numFmtId="0" fontId="47" fillId="13" borderId="0" xfId="0" applyFont="1" applyFill="1" applyAlignment="1">
      <alignment vertical="center"/>
    </xf>
    <xf numFmtId="0" fontId="4" fillId="13" borderId="0" xfId="0" applyFont="1" applyFill="1" applyAlignment="1">
      <alignment vertical="center"/>
    </xf>
    <xf numFmtId="0" fontId="4" fillId="0" borderId="0" xfId="22" applyAlignment="1">
      <alignment vertical="center"/>
    </xf>
    <xf numFmtId="169" fontId="21" fillId="17" borderId="0" xfId="22" applyNumberFormat="1" applyFont="1" applyFill="1"/>
    <xf numFmtId="169" fontId="25" fillId="0" borderId="0" xfId="24" applyNumberFormat="1" applyFont="1" applyFill="1" applyProtection="1"/>
    <xf numFmtId="170" fontId="39" fillId="25" borderId="0" xfId="24" applyNumberFormat="1" applyFont="1" applyFill="1" applyProtection="1"/>
    <xf numFmtId="0" fontId="43" fillId="0" borderId="0" xfId="22" applyFont="1"/>
    <xf numFmtId="165" fontId="4" fillId="0" borderId="0" xfId="0" applyNumberFormat="1" applyFont="1"/>
    <xf numFmtId="0" fontId="4" fillId="13" borderId="0" xfId="0" applyFont="1" applyFill="1" applyAlignment="1">
      <alignment horizontal="left" indent="1"/>
    </xf>
    <xf numFmtId="0" fontId="39" fillId="25" borderId="0" xfId="0" applyFont="1" applyFill="1" applyAlignment="1" applyProtection="1">
      <alignment horizontal="center" vertical="center" wrapText="1"/>
      <protection locked="0"/>
    </xf>
    <xf numFmtId="0" fontId="21" fillId="0" borderId="0" xfId="0" applyNumberFormat="1" applyFont="1" applyAlignment="1">
      <alignment horizontal="left"/>
    </xf>
    <xf numFmtId="0" fontId="35" fillId="26" borderId="0" xfId="30" applyFont="1" applyFill="1" applyAlignment="1">
      <alignment horizontal="left" vertical="center" wrapText="1"/>
    </xf>
    <xf numFmtId="14" fontId="25" fillId="25" borderId="0" xfId="0" applyNumberFormat="1" applyFont="1" applyFill="1" applyAlignment="1">
      <alignment horizontal="center"/>
    </xf>
    <xf numFmtId="166" fontId="39" fillId="13" borderId="0" xfId="25" applyNumberFormat="1" applyFont="1" applyFill="1"/>
    <xf numFmtId="0" fontId="4" fillId="0" borderId="17" xfId="22" applyBorder="1"/>
    <xf numFmtId="0" fontId="4" fillId="0" borderId="15" xfId="22" applyBorder="1"/>
    <xf numFmtId="0" fontId="4" fillId="0" borderId="21" xfId="22" applyBorder="1"/>
    <xf numFmtId="0" fontId="37" fillId="0" borderId="0" xfId="0" applyFont="1" applyAlignment="1">
      <alignment horizontal="right"/>
    </xf>
    <xf numFmtId="0" fontId="34" fillId="2" borderId="0" xfId="30" applyFont="1" applyFill="1" applyAlignment="1">
      <alignment vertical="center"/>
    </xf>
    <xf numFmtId="169" fontId="25" fillId="0" borderId="0" xfId="0" applyNumberFormat="1" applyFont="1" applyProtection="1">
      <protection locked="0"/>
    </xf>
    <xf numFmtId="0" fontId="38" fillId="13" borderId="0" xfId="0" applyFont="1" applyFill="1" applyAlignment="1">
      <alignment horizontal="center"/>
    </xf>
    <xf numFmtId="14" fontId="25" fillId="13" borderId="0" xfId="0" applyNumberFormat="1" applyFont="1" applyFill="1" applyAlignment="1">
      <alignment horizontal="center"/>
    </xf>
    <xf numFmtId="0" fontId="25" fillId="0" borderId="0" xfId="22" applyFont="1" applyAlignment="1">
      <alignment horizontal="center"/>
    </xf>
    <xf numFmtId="0" fontId="25" fillId="0" borderId="0" xfId="0" applyFont="1" applyFill="1" applyBorder="1" applyAlignment="1">
      <alignment horizontal="center" vertical="center"/>
    </xf>
    <xf numFmtId="166" fontId="0" fillId="0" borderId="0" xfId="25" applyNumberFormat="1" applyFont="1"/>
    <xf numFmtId="169" fontId="26" fillId="0" borderId="14" xfId="0" applyNumberFormat="1" applyFont="1" applyBorder="1" applyAlignment="1">
      <alignment vertical="top"/>
    </xf>
    <xf numFmtId="0" fontId="42" fillId="24" borderId="0" xfId="0" applyFont="1" applyFill="1"/>
    <xf numFmtId="10" fontId="49" fillId="24" borderId="0" xfId="23" applyNumberFormat="1" applyFont="1" applyFill="1"/>
    <xf numFmtId="43" fontId="42" fillId="24" borderId="0" xfId="20" applyFont="1" applyFill="1" applyBorder="1" applyAlignment="1">
      <alignment vertical="center"/>
    </xf>
    <xf numFmtId="0" fontId="42" fillId="24" borderId="0" xfId="0" applyFont="1" applyFill="1" applyAlignment="1">
      <alignment horizontal="right" vertical="center" wrapText="1"/>
    </xf>
    <xf numFmtId="0" fontId="42" fillId="13" borderId="0" xfId="0" applyFont="1" applyFill="1" applyAlignment="1">
      <alignment horizontal="right" vertical="center" wrapText="1"/>
    </xf>
    <xf numFmtId="9" fontId="31" fillId="13" borderId="0" xfId="25" applyFont="1" applyFill="1" applyBorder="1" applyAlignment="1">
      <alignment vertical="top"/>
    </xf>
    <xf numFmtId="0" fontId="32" fillId="13" borderId="0" xfId="0" applyFont="1" applyFill="1" applyBorder="1" applyAlignment="1">
      <alignment horizontal="left" vertical="center"/>
    </xf>
    <xf numFmtId="0" fontId="32" fillId="13" borderId="0" xfId="0" applyFont="1" applyFill="1" applyBorder="1" applyAlignment="1">
      <alignment horizontal="center" vertical="center" wrapText="1"/>
    </xf>
    <xf numFmtId="0" fontId="32" fillId="13" borderId="0" xfId="0" applyFont="1" applyFill="1" applyBorder="1"/>
    <xf numFmtId="10" fontId="32" fillId="13" borderId="0" xfId="23" applyNumberFormat="1" applyFont="1" applyFill="1" applyBorder="1"/>
    <xf numFmtId="0" fontId="32" fillId="13" borderId="0" xfId="0" applyFont="1" applyFill="1" applyBorder="1" applyAlignment="1">
      <alignment horizontal="left" vertical="top"/>
    </xf>
    <xf numFmtId="9" fontId="32" fillId="13" borderId="0" xfId="25" applyFont="1" applyFill="1" applyBorder="1" applyAlignment="1">
      <alignment vertical="top"/>
    </xf>
    <xf numFmtId="0" fontId="31" fillId="13" borderId="0" xfId="0" applyFont="1" applyFill="1" applyBorder="1" applyAlignment="1">
      <alignment horizontal="left" indent="1"/>
    </xf>
    <xf numFmtId="1" fontId="39" fillId="25" borderId="0" xfId="0" applyNumberFormat="1" applyFont="1" applyFill="1" applyAlignment="1">
      <alignment horizontal="center"/>
    </xf>
    <xf numFmtId="1" fontId="25" fillId="13" borderId="0" xfId="0" applyNumberFormat="1" applyFont="1" applyFill="1" applyAlignment="1">
      <alignment horizontal="center"/>
    </xf>
    <xf numFmtId="0" fontId="28" fillId="13" borderId="0" xfId="30" applyFont="1" applyFill="1"/>
    <xf numFmtId="0" fontId="30" fillId="2" borderId="17" xfId="0" applyFont="1" applyFill="1" applyBorder="1" applyAlignment="1">
      <alignment horizontal="center" vertical="center" wrapText="1"/>
    </xf>
    <xf numFmtId="0" fontId="25" fillId="0" borderId="0" xfId="0" applyFont="1" applyAlignment="1">
      <alignment horizontal="left" vertical="center" wrapText="1"/>
    </xf>
    <xf numFmtId="3" fontId="39" fillId="25" borderId="0" xfId="0" applyNumberFormat="1" applyFont="1" applyFill="1" applyAlignment="1">
      <alignment vertical="center"/>
    </xf>
    <xf numFmtId="0" fontId="4" fillId="0" borderId="23" xfId="22" applyBorder="1"/>
    <xf numFmtId="0" fontId="0" fillId="13" borderId="13" xfId="0" applyFill="1" applyBorder="1"/>
    <xf numFmtId="0" fontId="0" fillId="0" borderId="23" xfId="0" applyBorder="1"/>
    <xf numFmtId="167" fontId="39" fillId="25" borderId="13" xfId="24" applyNumberFormat="1" applyFont="1" applyFill="1" applyBorder="1" applyProtection="1"/>
    <xf numFmtId="167" fontId="25" fillId="0" borderId="23" xfId="24" applyNumberFormat="1" applyFont="1" applyFill="1" applyBorder="1" applyProtection="1"/>
    <xf numFmtId="167" fontId="25" fillId="0" borderId="13" xfId="24" applyNumberFormat="1" applyFont="1" applyFill="1" applyBorder="1" applyProtection="1"/>
    <xf numFmtId="0" fontId="21" fillId="13" borderId="23" xfId="0" applyFont="1" applyFill="1" applyBorder="1" applyAlignment="1">
      <alignment horizontal="left" vertical="center"/>
    </xf>
    <xf numFmtId="167" fontId="25" fillId="0" borderId="24" xfId="24" applyNumberFormat="1" applyFont="1" applyFill="1" applyBorder="1" applyProtection="1"/>
    <xf numFmtId="0" fontId="37" fillId="13" borderId="23" xfId="0" applyFont="1" applyFill="1" applyBorder="1" applyAlignment="1">
      <alignment horizontal="center"/>
    </xf>
    <xf numFmtId="0" fontId="0" fillId="0" borderId="24" xfId="0" applyBorder="1"/>
    <xf numFmtId="0" fontId="30" fillId="2" borderId="25" xfId="0" applyFont="1" applyFill="1" applyBorder="1" applyAlignment="1">
      <alignment horizontal="center" vertical="center" wrapText="1"/>
    </xf>
    <xf numFmtId="167" fontId="39" fillId="25" borderId="24" xfId="24" applyNumberFormat="1" applyFont="1" applyFill="1" applyBorder="1" applyProtection="1"/>
    <xf numFmtId="0" fontId="0" fillId="0" borderId="13" xfId="0" applyBorder="1"/>
    <xf numFmtId="41" fontId="41" fillId="0" borderId="13" xfId="0" applyNumberFormat="1" applyFont="1" applyBorder="1" applyProtection="1">
      <protection locked="0"/>
    </xf>
    <xf numFmtId="0" fontId="21" fillId="0" borderId="23" xfId="0" applyFont="1" applyBorder="1" applyAlignment="1">
      <alignment horizontal="center" vertical="center" wrapText="1"/>
    </xf>
    <xf numFmtId="0" fontId="25" fillId="13" borderId="0" xfId="0" applyFont="1" applyFill="1" applyAlignment="1">
      <alignment horizontal="left" vertical="center"/>
    </xf>
    <xf numFmtId="14" fontId="40" fillId="13" borderId="0" xfId="0" applyNumberFormat="1" applyFont="1" applyFill="1" applyAlignment="1" applyProtection="1">
      <alignment horizontal="center" vertical="center" wrapText="1"/>
      <protection locked="0"/>
    </xf>
    <xf numFmtId="0" fontId="32" fillId="0" borderId="0" xfId="0" applyFont="1" applyFill="1" applyAlignment="1" applyProtection="1">
      <protection locked="0"/>
    </xf>
    <xf numFmtId="14" fontId="40" fillId="0" borderId="0" xfId="0" applyNumberFormat="1" applyFont="1" applyFill="1" applyAlignment="1" applyProtection="1">
      <alignment horizontal="center" vertical="center" wrapText="1"/>
      <protection locked="0"/>
    </xf>
    <xf numFmtId="3" fontId="50" fillId="0" borderId="14" xfId="0" applyNumberFormat="1" applyFont="1" applyBorder="1" applyAlignment="1">
      <alignment horizontal="right" vertical="top"/>
    </xf>
    <xf numFmtId="9" fontId="7" fillId="0" borderId="0" xfId="25" applyFont="1"/>
    <xf numFmtId="0" fontId="40" fillId="0" borderId="0" xfId="0" applyFont="1" applyAlignment="1">
      <alignment horizontal="center"/>
    </xf>
    <xf numFmtId="3" fontId="26" fillId="0" borderId="14" xfId="0" applyNumberFormat="1" applyFont="1" applyBorder="1" applyAlignment="1">
      <alignment horizontal="center" vertical="top"/>
    </xf>
    <xf numFmtId="3" fontId="26" fillId="0" borderId="0" xfId="0" applyNumberFormat="1" applyFont="1" applyBorder="1" applyAlignment="1">
      <alignment horizontal="right" vertical="top"/>
    </xf>
    <xf numFmtId="3" fontId="26" fillId="0" borderId="0" xfId="0" applyNumberFormat="1" applyFont="1" applyBorder="1" applyAlignment="1">
      <alignment horizontal="center" vertical="top"/>
    </xf>
    <xf numFmtId="41" fontId="4" fillId="0" borderId="0" xfId="0" applyNumberFormat="1" applyFont="1" applyBorder="1"/>
    <xf numFmtId="9" fontId="7" fillId="0" borderId="0" xfId="25" applyFont="1" applyBorder="1"/>
    <xf numFmtId="41" fontId="7" fillId="0" borderId="0" xfId="0" applyNumberFormat="1" applyFont="1" applyBorder="1"/>
    <xf numFmtId="0" fontId="46" fillId="13" borderId="0" xfId="0" applyFont="1" applyFill="1" applyBorder="1" applyAlignment="1" applyProtection="1">
      <alignment horizontal="center" vertical="center" wrapText="1"/>
      <protection locked="0"/>
    </xf>
    <xf numFmtId="3" fontId="46" fillId="0" borderId="0" xfId="0" applyNumberFormat="1" applyFont="1" applyBorder="1" applyAlignment="1">
      <alignment horizontal="center" vertical="top"/>
    </xf>
    <xf numFmtId="3" fontId="46" fillId="0" borderId="0" xfId="0" applyNumberFormat="1" applyFont="1" applyBorder="1" applyAlignment="1">
      <alignment horizontal="right" vertical="top"/>
    </xf>
    <xf numFmtId="0" fontId="7" fillId="0" borderId="0" xfId="0" applyFont="1" applyBorder="1"/>
    <xf numFmtId="3" fontId="50" fillId="0" borderId="0" xfId="0" applyNumberFormat="1" applyFont="1" applyBorder="1" applyAlignment="1">
      <alignment horizontal="right" vertical="top"/>
    </xf>
    <xf numFmtId="0" fontId="54" fillId="13" borderId="0" xfId="22" applyFont="1" applyFill="1"/>
    <xf numFmtId="0" fontId="54" fillId="13" borderId="0" xfId="22" applyFont="1" applyFill="1"/>
    <xf numFmtId="0" fontId="54" fillId="13" borderId="0" xfId="22" applyFont="1" applyFill="1"/>
    <xf numFmtId="0" fontId="4" fillId="13" borderId="0" xfId="0" applyFont="1" applyFill="1" applyAlignment="1">
      <alignment horizontal="left" wrapText="1"/>
    </xf>
    <xf numFmtId="0" fontId="21" fillId="17" borderId="0" xfId="0" applyFont="1" applyFill="1" applyAlignment="1" applyProtection="1">
      <alignment horizontal="center"/>
      <protection locked="0"/>
    </xf>
    <xf numFmtId="0" fontId="21" fillId="17" borderId="0" xfId="0" applyFont="1" applyFill="1" applyAlignment="1" applyProtection="1">
      <alignment horizontal="center" wrapText="1"/>
      <protection locked="0"/>
    </xf>
    <xf numFmtId="0" fontId="48" fillId="27" borderId="18" xfId="0" applyFont="1" applyFill="1" applyBorder="1" applyAlignment="1">
      <alignment horizontal="left" vertical="center" wrapText="1"/>
    </xf>
    <xf numFmtId="0" fontId="48" fillId="27" borderId="19" xfId="0" applyFont="1" applyFill="1" applyBorder="1" applyAlignment="1">
      <alignment horizontal="left" vertical="center" wrapText="1"/>
    </xf>
    <xf numFmtId="0" fontId="48" fillId="27" borderId="20" xfId="0" applyFont="1" applyFill="1" applyBorder="1" applyAlignment="1">
      <alignment horizontal="left" vertical="center" wrapText="1"/>
    </xf>
    <xf numFmtId="0" fontId="48" fillId="27" borderId="22" xfId="0" applyFont="1" applyFill="1" applyBorder="1" applyAlignment="1">
      <alignment horizontal="left" vertical="top" wrapText="1"/>
    </xf>
    <xf numFmtId="0" fontId="48" fillId="27" borderId="0" xfId="0" applyFont="1" applyFill="1" applyBorder="1" applyAlignment="1">
      <alignment horizontal="left" vertical="top" wrapText="1"/>
    </xf>
    <xf numFmtId="0" fontId="32" fillId="19" borderId="0" xfId="0" applyFont="1" applyFill="1" applyAlignment="1" applyProtection="1">
      <alignment horizontal="center"/>
      <protection locked="0"/>
    </xf>
    <xf numFmtId="0" fontId="30" fillId="2" borderId="0" xfId="0" applyFont="1" applyFill="1" applyAlignment="1">
      <alignment horizontal="center" vertical="center" wrapText="1"/>
    </xf>
    <xf numFmtId="0" fontId="30" fillId="2" borderId="17"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6" fillId="27" borderId="18" xfId="0" applyFont="1" applyFill="1" applyBorder="1" applyAlignment="1">
      <alignment horizontal="left" vertical="center"/>
    </xf>
    <xf numFmtId="0" fontId="36" fillId="27" borderId="19" xfId="0" applyFont="1" applyFill="1" applyBorder="1" applyAlignment="1">
      <alignment horizontal="left" vertical="center"/>
    </xf>
    <xf numFmtId="0" fontId="36" fillId="27" borderId="20" xfId="0" applyFont="1" applyFill="1" applyBorder="1" applyAlignment="1">
      <alignment horizontal="left" vertical="center"/>
    </xf>
    <xf numFmtId="0" fontId="48" fillId="27" borderId="18" xfId="0" applyFont="1" applyFill="1" applyBorder="1" applyAlignment="1">
      <alignment horizontal="left" vertical="center"/>
    </xf>
    <xf numFmtId="0" fontId="48" fillId="27" borderId="19" xfId="0" applyFont="1" applyFill="1" applyBorder="1" applyAlignment="1">
      <alignment horizontal="left" vertical="center"/>
    </xf>
    <xf numFmtId="0" fontId="48" fillId="27" borderId="20" xfId="0" applyFont="1" applyFill="1" applyBorder="1" applyAlignment="1">
      <alignment horizontal="left" vertical="center"/>
    </xf>
    <xf numFmtId="0" fontId="22" fillId="13" borderId="0" xfId="0" applyFont="1" applyFill="1" applyAlignment="1">
      <alignment horizontal="center" vertical="center"/>
    </xf>
  </cellXfs>
  <cellStyles count="45">
    <cellStyle name="20% - Énfasis1" xfId="26" builtinId="30"/>
    <cellStyle name="20% - Énfasis2" xfId="27" builtinId="34"/>
    <cellStyle name="Bueno" xfId="6" builtinId="26" hidden="1"/>
    <cellStyle name="Calculation cell" xfId="20" xr:uid="{00000000-0005-0000-0000-000002000000}"/>
    <cellStyle name="Cálculo" xfId="11" builtinId="22" hidden="1"/>
    <cellStyle name="Celda de comprobación" xfId="13" builtinId="23" hidden="1"/>
    <cellStyle name="Celda vinculada" xfId="12" builtinId="24" hidden="1"/>
    <cellStyle name="Column label" xfId="33" xr:uid="{567BF68F-0832-4857-A539-77F74AD16B77}"/>
    <cellStyle name="Comma 2" xfId="24" xr:uid="{788B44F2-6344-4DA1-BDA6-AA34BFAECAEC}"/>
    <cellStyle name="Comma 2 2" xfId="43" xr:uid="{1552C157-A1EC-43F5-B110-9E3A6DFA86C4}"/>
    <cellStyle name="Encabezado 1" xfId="2" builtinId="16" customBuiltin="1"/>
    <cellStyle name="Encabezado 4" xfId="5" builtinId="19" customBuiltin="1"/>
    <cellStyle name="Énfasis3" xfId="29" builtinId="37"/>
    <cellStyle name="Entrada" xfId="9" builtinId="20" hidden="1"/>
    <cellStyle name="Heading 1 2" xfId="31" xr:uid="{13A5942C-6980-48A3-ADC9-20A0B932FB91}"/>
    <cellStyle name="Help cell" xfId="19" xr:uid="{00000000-0005-0000-0000-00000C000000}"/>
    <cellStyle name="Hipervínculo" xfId="30" builtinId="8"/>
    <cellStyle name="Incorrecto" xfId="7" builtinId="27" hidden="1"/>
    <cellStyle name="Input calculation" xfId="34" xr:uid="{BCBC064C-CA63-4D33-9CEF-655B6F5095DA}"/>
    <cellStyle name="Input cell" xfId="21" xr:uid="{00000000-0005-0000-0000-00000E000000}"/>
    <cellStyle name="Input data" xfId="35" xr:uid="{30E95889-5942-41D9-A886-E69E862C0C6F}"/>
    <cellStyle name="Input data 2" xfId="36" xr:uid="{A3EAE237-B412-452E-B6FF-01E764075DD8}"/>
    <cellStyle name="Input estimate" xfId="37" xr:uid="{3A7C23B1-4ED7-43EA-855E-52788D9511F2}"/>
    <cellStyle name="Input link" xfId="38" xr:uid="{3F5233A5-1006-4BC4-A717-06DD6F66B163}"/>
    <cellStyle name="Millares 2" xfId="41" xr:uid="{89DF10E2-A847-44BE-AFAF-956278632B92}"/>
    <cellStyle name="Neutral" xfId="8" builtinId="28" hidden="1"/>
    <cellStyle name="Normal" xfId="0" builtinId="0"/>
    <cellStyle name="Normal 2" xfId="22" xr:uid="{AD4F9D2D-E020-4F40-843C-76897C6E9B28}"/>
    <cellStyle name="Normal 2 2" xfId="44" xr:uid="{06E60164-63DE-4037-8519-7FDA42A8EFEC}"/>
    <cellStyle name="Normal 2 3" xfId="39" xr:uid="{366111B6-3B4C-48BF-B127-041DA3083FE8}"/>
    <cellStyle name="Normal 3" xfId="28" xr:uid="{10C4DCD8-B325-4ACE-9A9F-74A36B2CC953}"/>
    <cellStyle name="Normal 4" xfId="32" xr:uid="{464AEECF-43C8-436F-8DDD-24894D65A66A}"/>
    <cellStyle name="Notas" xfId="15" builtinId="10" hidden="1"/>
    <cellStyle name="Number 3" xfId="40" xr:uid="{901F653C-D46F-47A3-AA5D-93593F2E479C}"/>
    <cellStyle name="Percent 2" xfId="23" xr:uid="{DBEF1583-EBE4-4932-8930-733997E127BE}"/>
    <cellStyle name="Porcentaje" xfId="25" builtinId="5"/>
    <cellStyle name="Porcentaje 2" xfId="42" xr:uid="{3D180156-6F75-429F-B596-05CA21EBC674}"/>
    <cellStyle name="Result" xfId="18" xr:uid="{00000000-0005-0000-0000-000014000000}"/>
    <cellStyle name="Salida" xfId="10" builtinId="21" hidden="1"/>
    <cellStyle name="Texto de advertencia" xfId="14" builtinId="11" hidden="1"/>
    <cellStyle name="Texto explicativo" xfId="16" builtinId="53" hidden="1"/>
    <cellStyle name="Título" xfId="1" builtinId="15" customBuiltin="1"/>
    <cellStyle name="Título 2" xfId="3" builtinId="17" customBuiltin="1"/>
    <cellStyle name="Título 3" xfId="4" builtinId="18" customBuiltin="1"/>
    <cellStyle name="User input" xfId="17" xr:uid="{00000000-0005-0000-0000-000016000000}"/>
  </cellStyles>
  <dxfs count="59">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theme="9"/>
      </font>
      <fill>
        <patternFill>
          <bgColor theme="9" tint="0.79998168889431442"/>
        </patternFill>
      </fill>
    </dxf>
    <dxf>
      <font>
        <color rgb="FF006100"/>
      </font>
      <fill>
        <patternFill>
          <bgColor rgb="FFC6EFCE"/>
        </patternFill>
      </fill>
    </dxf>
    <dxf>
      <font>
        <color rgb="FF9C0006"/>
      </font>
      <fill>
        <patternFill>
          <bgColor rgb="FFFFC7CE"/>
        </patternFill>
      </fill>
    </dxf>
    <dxf>
      <font>
        <color rgb="FFE83F35"/>
      </font>
    </dxf>
    <dxf>
      <font>
        <color rgb="FFE83F35"/>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83F35"/>
      <rgbColor rgb="0099BFC2"/>
      <rgbColor rgb="00156570"/>
      <rgbColor rgb="00B4A76C"/>
      <rgbColor rgb="00782327"/>
      <rgbColor rgb="00A5ACAF"/>
      <rgbColor rgb="0037424A"/>
      <rgbColor rgb="00E83F35"/>
      <rgbColor rgb="00E83F35"/>
      <rgbColor rgb="0099BFC2"/>
      <rgbColor rgb="00156570"/>
      <rgbColor rgb="00B4A76C"/>
      <rgbColor rgb="00782327"/>
      <rgbColor rgb="00A5ACAF"/>
      <rgbColor rgb="0037424A"/>
      <rgbColor rgb="00E83F35"/>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E83F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microsoft.com/office/2017/10/relationships/person" Target="persons/person.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'Prueba Servicios Moviles'!$C$41</c:f>
              <c:strCache>
                <c:ptCount val="1"/>
                <c:pt idx="0">
                  <c:v>Todos los segmentos 
(% ingresos)</c:v>
                </c:pt>
              </c:strCache>
            </c:strRef>
          </c:tx>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2-8BBE-4638-9EB6-40D35319835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BBE-4638-9EB6-40D353198355}"/>
              </c:ext>
            </c:extLst>
          </c:dPt>
          <c:dPt>
            <c:idx val="2"/>
            <c:invertIfNegative val="0"/>
            <c:bubble3D val="0"/>
            <c:spPr>
              <a:solidFill>
                <a:schemeClr val="bg2">
                  <a:lumMod val="90000"/>
                </a:schemeClr>
              </a:solidFill>
              <a:ln>
                <a:noFill/>
              </a:ln>
              <a:effectLst/>
            </c:spPr>
            <c:extLst>
              <c:ext xmlns:c16="http://schemas.microsoft.com/office/drawing/2014/chart" uri="{C3380CC4-5D6E-409C-BE32-E72D297353CC}">
                <c16:uniqueId val="{00000004-8BBE-4638-9EB6-40D353198355}"/>
              </c:ext>
            </c:extLst>
          </c:dPt>
          <c:dPt>
            <c:idx val="3"/>
            <c:invertIfNegative val="0"/>
            <c:bubble3D val="0"/>
            <c:spPr>
              <a:solidFill>
                <a:schemeClr val="bg2">
                  <a:lumMod val="90000"/>
                </a:schemeClr>
              </a:solidFill>
              <a:ln>
                <a:noFill/>
              </a:ln>
              <a:effectLst/>
            </c:spPr>
            <c:extLst>
              <c:ext xmlns:c16="http://schemas.microsoft.com/office/drawing/2014/chart" uri="{C3380CC4-5D6E-409C-BE32-E72D297353CC}">
                <c16:uniqueId val="{00000005-8BBE-4638-9EB6-40D353198355}"/>
              </c:ext>
            </c:extLst>
          </c:dPt>
          <c:dPt>
            <c:idx val="4"/>
            <c:invertIfNegative val="0"/>
            <c:bubble3D val="0"/>
            <c:spPr>
              <a:solidFill>
                <a:schemeClr val="bg2">
                  <a:lumMod val="90000"/>
                </a:schemeClr>
              </a:solidFill>
              <a:ln>
                <a:noFill/>
              </a:ln>
              <a:effectLst/>
            </c:spPr>
            <c:extLst>
              <c:ext xmlns:c16="http://schemas.microsoft.com/office/drawing/2014/chart" uri="{C3380CC4-5D6E-409C-BE32-E72D297353CC}">
                <c16:uniqueId val="{00000006-8BBE-4638-9EB6-40D353198355}"/>
              </c:ext>
            </c:extLst>
          </c:dPt>
          <c:cat>
            <c:strRef>
              <c:f>'Prueba Servicios Moviles'!$B$42:$B$46</c:f>
              <c:strCache>
                <c:ptCount val="5"/>
                <c:pt idx="0">
                  <c:v>Margen</c:v>
                </c:pt>
                <c:pt idx="1">
                  <c:v>Ingresos minoristas</c:v>
                </c:pt>
                <c:pt idx="2">
                  <c:v>Costos</c:v>
                </c:pt>
                <c:pt idx="3">
                  <c:v>Pagos mayoristas</c:v>
                </c:pt>
                <c:pt idx="4">
                  <c:v>Costos totales ajustados </c:v>
                </c:pt>
              </c:strCache>
            </c:strRef>
          </c:cat>
          <c:val>
            <c:numRef>
              <c:f>'Prueba Servicios Moviles'!$C$42:$C$46</c:f>
              <c:numCache>
                <c:formatCode>0%</c:formatCode>
                <c:ptCount val="5"/>
                <c:pt idx="0" formatCode="0.00%">
                  <c:v>-12.533504638105754</c:v>
                </c:pt>
                <c:pt idx="1">
                  <c:v>1</c:v>
                </c:pt>
                <c:pt idx="2">
                  <c:v>13.533504638105754</c:v>
                </c:pt>
                <c:pt idx="3">
                  <c:v>1.2103274261335397</c:v>
                </c:pt>
                <c:pt idx="4">
                  <c:v>0.91056807098394388</c:v>
                </c:pt>
              </c:numCache>
            </c:numRef>
          </c:val>
          <c:extLst>
            <c:ext xmlns:c16="http://schemas.microsoft.com/office/drawing/2014/chart" uri="{C3380CC4-5D6E-409C-BE32-E72D297353CC}">
              <c16:uniqueId val="{00000000-8BBE-4638-9EB6-40D353198355}"/>
            </c:ext>
          </c:extLst>
        </c:ser>
        <c:dLbls>
          <c:showLegendKey val="0"/>
          <c:showVal val="0"/>
          <c:showCatName val="0"/>
          <c:showSerName val="0"/>
          <c:showPercent val="0"/>
          <c:showBubbleSize val="0"/>
        </c:dLbls>
        <c:gapWidth val="219"/>
        <c:overlap val="-27"/>
        <c:axId val="179565935"/>
        <c:axId val="179551791"/>
      </c:barChart>
      <c:catAx>
        <c:axId val="17956593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51791"/>
        <c:crosses val="autoZero"/>
        <c:auto val="1"/>
        <c:lblAlgn val="ctr"/>
        <c:lblOffset val="100"/>
        <c:noMultiLvlLbl val="0"/>
      </c:catAx>
      <c:valAx>
        <c:axId val="179551791"/>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65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'Prueba Servicios Moviles'!$D$41</c:f>
              <c:strCache>
                <c:ptCount val="1"/>
                <c:pt idx="0">
                  <c:v>Segmento Prepago
(% ingresos)</c:v>
                </c:pt>
              </c:strCache>
            </c:strRef>
          </c:tx>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DE55-4D3D-896B-1014775F6C5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DE55-4D3D-896B-1014775F6C50}"/>
              </c:ext>
            </c:extLst>
          </c:dPt>
          <c:dPt>
            <c:idx val="2"/>
            <c:invertIfNegative val="0"/>
            <c:bubble3D val="0"/>
            <c:spPr>
              <a:solidFill>
                <a:schemeClr val="bg2">
                  <a:lumMod val="90000"/>
                </a:schemeClr>
              </a:solidFill>
              <a:ln>
                <a:noFill/>
              </a:ln>
              <a:effectLst/>
            </c:spPr>
            <c:extLst>
              <c:ext xmlns:c16="http://schemas.microsoft.com/office/drawing/2014/chart" uri="{C3380CC4-5D6E-409C-BE32-E72D297353CC}">
                <c16:uniqueId val="{00000005-DE55-4D3D-896B-1014775F6C50}"/>
              </c:ext>
            </c:extLst>
          </c:dPt>
          <c:dPt>
            <c:idx val="3"/>
            <c:invertIfNegative val="0"/>
            <c:bubble3D val="0"/>
            <c:spPr>
              <a:solidFill>
                <a:schemeClr val="bg2">
                  <a:lumMod val="90000"/>
                </a:schemeClr>
              </a:solidFill>
              <a:ln>
                <a:noFill/>
              </a:ln>
              <a:effectLst/>
            </c:spPr>
            <c:extLst>
              <c:ext xmlns:c16="http://schemas.microsoft.com/office/drawing/2014/chart" uri="{C3380CC4-5D6E-409C-BE32-E72D297353CC}">
                <c16:uniqueId val="{00000007-DE55-4D3D-896B-1014775F6C50}"/>
              </c:ext>
            </c:extLst>
          </c:dPt>
          <c:dPt>
            <c:idx val="4"/>
            <c:invertIfNegative val="0"/>
            <c:bubble3D val="0"/>
            <c:spPr>
              <a:solidFill>
                <a:schemeClr val="bg2">
                  <a:lumMod val="90000"/>
                </a:schemeClr>
              </a:solidFill>
              <a:ln>
                <a:noFill/>
              </a:ln>
              <a:effectLst/>
            </c:spPr>
            <c:extLst>
              <c:ext xmlns:c16="http://schemas.microsoft.com/office/drawing/2014/chart" uri="{C3380CC4-5D6E-409C-BE32-E72D297353CC}">
                <c16:uniqueId val="{00000009-DE55-4D3D-896B-1014775F6C50}"/>
              </c:ext>
            </c:extLst>
          </c:dPt>
          <c:cat>
            <c:strRef>
              <c:f>'Prueba Servicios Moviles'!$B$42:$B$46</c:f>
              <c:strCache>
                <c:ptCount val="5"/>
                <c:pt idx="0">
                  <c:v>Margen</c:v>
                </c:pt>
                <c:pt idx="1">
                  <c:v>Ingresos minoristas</c:v>
                </c:pt>
                <c:pt idx="2">
                  <c:v>Costos</c:v>
                </c:pt>
                <c:pt idx="3">
                  <c:v>Pagos mayoristas</c:v>
                </c:pt>
                <c:pt idx="4">
                  <c:v>Costos totales ajustados </c:v>
                </c:pt>
              </c:strCache>
            </c:strRef>
          </c:cat>
          <c:val>
            <c:numRef>
              <c:f>'Prueba Servicios Moviles'!$D$42:$D$46</c:f>
              <c:numCache>
                <c:formatCode>0%</c:formatCode>
                <c:ptCount val="5"/>
                <c:pt idx="0" formatCode="0.00%">
                  <c:v>-13.398588313843769</c:v>
                </c:pt>
                <c:pt idx="1">
                  <c:v>1</c:v>
                </c:pt>
                <c:pt idx="2">
                  <c:v>14.398588313843769</c:v>
                </c:pt>
                <c:pt idx="3">
                  <c:v>1.7570311435075354</c:v>
                </c:pt>
                <c:pt idx="4">
                  <c:v>0.87797198550234201</c:v>
                </c:pt>
              </c:numCache>
            </c:numRef>
          </c:val>
          <c:extLst>
            <c:ext xmlns:c16="http://schemas.microsoft.com/office/drawing/2014/chart" uri="{C3380CC4-5D6E-409C-BE32-E72D297353CC}">
              <c16:uniqueId val="{0000000A-DE55-4D3D-896B-1014775F6C50}"/>
            </c:ext>
          </c:extLst>
        </c:ser>
        <c:dLbls>
          <c:showLegendKey val="0"/>
          <c:showVal val="0"/>
          <c:showCatName val="0"/>
          <c:showSerName val="0"/>
          <c:showPercent val="0"/>
          <c:showBubbleSize val="0"/>
        </c:dLbls>
        <c:gapWidth val="219"/>
        <c:overlap val="-27"/>
        <c:axId val="179565935"/>
        <c:axId val="179551791"/>
      </c:barChart>
      <c:catAx>
        <c:axId val="17956593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51791"/>
        <c:crosses val="autoZero"/>
        <c:auto val="1"/>
        <c:lblAlgn val="ctr"/>
        <c:lblOffset val="100"/>
        <c:noMultiLvlLbl val="0"/>
      </c:catAx>
      <c:valAx>
        <c:axId val="179551791"/>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65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'Prueba Servicios Moviles'!$E$41</c:f>
              <c:strCache>
                <c:ptCount val="1"/>
                <c:pt idx="0">
                  <c:v>Segmento Pospago
(% ingresos)</c:v>
                </c:pt>
              </c:strCache>
            </c:strRef>
          </c:tx>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8E98-432A-91AA-D19CBB71473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E98-432A-91AA-D19CBB714733}"/>
              </c:ext>
            </c:extLst>
          </c:dPt>
          <c:dPt>
            <c:idx val="2"/>
            <c:invertIfNegative val="0"/>
            <c:bubble3D val="0"/>
            <c:spPr>
              <a:solidFill>
                <a:schemeClr val="bg2">
                  <a:lumMod val="90000"/>
                </a:schemeClr>
              </a:solidFill>
              <a:ln>
                <a:noFill/>
              </a:ln>
              <a:effectLst/>
            </c:spPr>
            <c:extLst>
              <c:ext xmlns:c16="http://schemas.microsoft.com/office/drawing/2014/chart" uri="{C3380CC4-5D6E-409C-BE32-E72D297353CC}">
                <c16:uniqueId val="{00000005-8E98-432A-91AA-D19CBB714733}"/>
              </c:ext>
            </c:extLst>
          </c:dPt>
          <c:dPt>
            <c:idx val="3"/>
            <c:invertIfNegative val="0"/>
            <c:bubble3D val="0"/>
            <c:spPr>
              <a:solidFill>
                <a:schemeClr val="bg2">
                  <a:lumMod val="90000"/>
                </a:schemeClr>
              </a:solidFill>
              <a:ln>
                <a:noFill/>
              </a:ln>
              <a:effectLst/>
            </c:spPr>
            <c:extLst>
              <c:ext xmlns:c16="http://schemas.microsoft.com/office/drawing/2014/chart" uri="{C3380CC4-5D6E-409C-BE32-E72D297353CC}">
                <c16:uniqueId val="{00000007-8E98-432A-91AA-D19CBB714733}"/>
              </c:ext>
            </c:extLst>
          </c:dPt>
          <c:dPt>
            <c:idx val="4"/>
            <c:invertIfNegative val="0"/>
            <c:bubble3D val="0"/>
            <c:spPr>
              <a:solidFill>
                <a:schemeClr val="bg2">
                  <a:lumMod val="90000"/>
                </a:schemeClr>
              </a:solidFill>
              <a:ln>
                <a:noFill/>
              </a:ln>
              <a:effectLst/>
            </c:spPr>
            <c:extLst>
              <c:ext xmlns:c16="http://schemas.microsoft.com/office/drawing/2014/chart" uri="{C3380CC4-5D6E-409C-BE32-E72D297353CC}">
                <c16:uniqueId val="{00000009-8E98-432A-91AA-D19CBB714733}"/>
              </c:ext>
            </c:extLst>
          </c:dPt>
          <c:cat>
            <c:strRef>
              <c:f>'Prueba Servicios Moviles'!$B$42:$B$46</c:f>
              <c:strCache>
                <c:ptCount val="5"/>
                <c:pt idx="0">
                  <c:v>Margen</c:v>
                </c:pt>
                <c:pt idx="1">
                  <c:v>Ingresos minoristas</c:v>
                </c:pt>
                <c:pt idx="2">
                  <c:v>Costos</c:v>
                </c:pt>
                <c:pt idx="3">
                  <c:v>Pagos mayoristas</c:v>
                </c:pt>
                <c:pt idx="4">
                  <c:v>Costos totales ajustados </c:v>
                </c:pt>
              </c:strCache>
            </c:strRef>
          </c:cat>
          <c:val>
            <c:numRef>
              <c:f>'Prueba Servicios Moviles'!$E$42:$E$46</c:f>
              <c:numCache>
                <c:formatCode>0%</c:formatCode>
                <c:ptCount val="5"/>
                <c:pt idx="0" formatCode="0.00%">
                  <c:v>-12.578634361650888</c:v>
                </c:pt>
                <c:pt idx="1">
                  <c:v>1</c:v>
                </c:pt>
                <c:pt idx="2">
                  <c:v>13.578634361650888</c:v>
                </c:pt>
                <c:pt idx="3">
                  <c:v>0.93707719131465517</c:v>
                </c:pt>
                <c:pt idx="4">
                  <c:v>0.93098884863111331</c:v>
                </c:pt>
              </c:numCache>
            </c:numRef>
          </c:val>
          <c:extLst>
            <c:ext xmlns:c16="http://schemas.microsoft.com/office/drawing/2014/chart" uri="{C3380CC4-5D6E-409C-BE32-E72D297353CC}">
              <c16:uniqueId val="{0000000A-8E98-432A-91AA-D19CBB714733}"/>
            </c:ext>
          </c:extLst>
        </c:ser>
        <c:dLbls>
          <c:showLegendKey val="0"/>
          <c:showVal val="0"/>
          <c:showCatName val="0"/>
          <c:showSerName val="0"/>
          <c:showPercent val="0"/>
          <c:showBubbleSize val="0"/>
        </c:dLbls>
        <c:gapWidth val="219"/>
        <c:overlap val="-27"/>
        <c:axId val="179565935"/>
        <c:axId val="179551791"/>
      </c:barChart>
      <c:catAx>
        <c:axId val="17956593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51791"/>
        <c:crosses val="autoZero"/>
        <c:auto val="1"/>
        <c:lblAlgn val="ctr"/>
        <c:lblOffset val="100"/>
        <c:noMultiLvlLbl val="0"/>
      </c:catAx>
      <c:valAx>
        <c:axId val="179551791"/>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79565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207962</xdr:colOff>
      <xdr:row>22</xdr:row>
      <xdr:rowOff>0</xdr:rowOff>
    </xdr:from>
    <xdr:to>
      <xdr:col>4</xdr:col>
      <xdr:colOff>950912</xdr:colOff>
      <xdr:row>38</xdr:row>
      <xdr:rowOff>120650</xdr:rowOff>
    </xdr:to>
    <xdr:graphicFrame macro="">
      <xdr:nvGraphicFramePr>
        <xdr:cNvPr id="3" name="Chart 2">
          <a:extLst>
            <a:ext uri="{FF2B5EF4-FFF2-40B4-BE49-F238E27FC236}">
              <a16:creationId xmlns:a16="http://schemas.microsoft.com/office/drawing/2014/main" id="{253D0449-49FA-4564-9A97-8D6B28763B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1057275</xdr:colOff>
      <xdr:row>22</xdr:row>
      <xdr:rowOff>0</xdr:rowOff>
    </xdr:from>
    <xdr:to>
      <xdr:col>9</xdr:col>
      <xdr:colOff>200025</xdr:colOff>
      <xdr:row>38</xdr:row>
      <xdr:rowOff>92075</xdr:rowOff>
    </xdr:to>
    <xdr:graphicFrame macro="">
      <xdr:nvGraphicFramePr>
        <xdr:cNvPr id="5" name="Chart 4">
          <a:extLst>
            <a:ext uri="{FF2B5EF4-FFF2-40B4-BE49-F238E27FC236}">
              <a16:creationId xmlns:a16="http://schemas.microsoft.com/office/drawing/2014/main" id="{7BD10E98-65E9-4309-B85C-4BD0E7930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371475</xdr:colOff>
      <xdr:row>22</xdr:row>
      <xdr:rowOff>0</xdr:rowOff>
    </xdr:from>
    <xdr:to>
      <xdr:col>15</xdr:col>
      <xdr:colOff>333375</xdr:colOff>
      <xdr:row>38</xdr:row>
      <xdr:rowOff>66675</xdr:rowOff>
    </xdr:to>
    <xdr:graphicFrame macro="">
      <xdr:nvGraphicFramePr>
        <xdr:cNvPr id="6" name="Chart 5">
          <a:extLst>
            <a:ext uri="{FF2B5EF4-FFF2-40B4-BE49-F238E27FC236}">
              <a16:creationId xmlns:a16="http://schemas.microsoft.com/office/drawing/2014/main" id="{652C647B-9928-4D9A-9A3B-4C24AAB48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persons/person.xml><?xml version="1.0" encoding="utf-8"?>
<personList xmlns="http://schemas.microsoft.com/office/spreadsheetml/2018/threadedcomments" xmlns:x="http://schemas.openxmlformats.org/spreadsheetml/2006/main">
  <person displayName="Juana Santamaria" id="{9D4E1B29-5774-44EB-AC50-91935E79716F}" userId="Juana Santamaria" providerId="None"/>
</personList>
</file>

<file path=xl/theme/theme1.xml><?xml version="1.0" encoding="utf-8"?>
<a:theme xmlns:a="http://schemas.openxmlformats.org/drawingml/2006/main" name="Office Theme">
  <a:themeElements>
    <a:clrScheme name="Frontier">
      <a:dk1>
        <a:srgbClr val="37424A"/>
      </a:dk1>
      <a:lt1>
        <a:sysClr val="window" lastClr="FFFFFF"/>
      </a:lt1>
      <a:dk2>
        <a:srgbClr val="707276"/>
      </a:dk2>
      <a:lt2>
        <a:srgbClr val="D1DBD2"/>
      </a:lt2>
      <a:accent1>
        <a:srgbClr val="E83F35"/>
      </a:accent1>
      <a:accent2>
        <a:srgbClr val="8DD0D2"/>
      </a:accent2>
      <a:accent3>
        <a:srgbClr val="007B87"/>
      </a:accent3>
      <a:accent4>
        <a:srgbClr val="EBC000"/>
      </a:accent4>
      <a:accent5>
        <a:srgbClr val="683C5B"/>
      </a:accent5>
      <a:accent6>
        <a:srgbClr val="8BB96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5" dT="2021-07-28T15:23:03.38" personId="{9D4E1B29-5774-44EB-AC50-91935E79716F}" id="{5A17FBC7-5B66-4D96-8F5F-E4CE472BD392}">
    <text>Pendiente de actualizar</text>
  </threadedComment>
  <threadedComment ref="B41" dT="2021-07-28T15:23:13.39" personId="{9D4E1B29-5774-44EB-AC50-91935E79716F}" id="{2352C9ED-FF79-4E9F-93FC-8555285ECEB3}">
    <text>Pendiente de actualizar</text>
  </threadedComment>
  <threadedComment ref="B56" dT="2021-07-28T15:23:26.59" personId="{9D4E1B29-5774-44EB-AC50-91935E79716F}" id="{6041C027-4075-4C89-B69A-DDDE85D061B3}">
    <text>Pendiente de actualizar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f.gob.mx/nota_detalle.php?codigo=5605085&amp;fecha=17/11/202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BF65-6D86-4266-B97E-513E24CE0ACB}">
  <sheetPr>
    <tabColor theme="4"/>
  </sheetPr>
  <dimension ref="B1:AB67"/>
  <sheetViews>
    <sheetView topLeftCell="A49" workbookViewId="0">
      <selection activeCell="C47" sqref="C47"/>
    </sheetView>
  </sheetViews>
  <sheetFormatPr baseColWidth="10" defaultColWidth="9.28515625" defaultRowHeight="12.75" x14ac:dyDescent="0.2"/>
  <cols>
    <col min="1" max="1" width="9.28515625" style="7"/>
    <col min="2" max="2" width="17.42578125" style="7" customWidth="1"/>
    <col min="3" max="8" width="17.5703125" style="7" customWidth="1"/>
    <col min="9" max="9" width="9.28515625" style="7"/>
    <col min="10" max="10" width="9.5703125" style="7" customWidth="1"/>
    <col min="11" max="11" width="4" style="7" customWidth="1"/>
    <col min="12" max="19" width="15" style="7" customWidth="1"/>
    <col min="20" max="20" width="9.28515625" style="7"/>
    <col min="21" max="28" width="14.28515625" style="7" customWidth="1"/>
    <col min="29" max="16384" width="9.28515625" style="7"/>
  </cols>
  <sheetData>
    <row r="1" spans="2:28" s="1" customFormat="1" ht="20.25" x14ac:dyDescent="0.3">
      <c r="B1" s="1" t="s">
        <v>20</v>
      </c>
    </row>
    <row r="2" spans="2:28" ht="13.5" thickBot="1" x14ac:dyDescent="0.25"/>
    <row r="3" spans="2:28" ht="26.25" thickBot="1" x14ac:dyDescent="0.25">
      <c r="B3" s="5" t="s">
        <v>26</v>
      </c>
      <c r="C3" s="6" t="s">
        <v>14</v>
      </c>
      <c r="E3" s="5" t="s">
        <v>27</v>
      </c>
      <c r="F3" s="6" t="s">
        <v>14</v>
      </c>
      <c r="H3" s="5" t="s">
        <v>28</v>
      </c>
      <c r="I3" s="6" t="s">
        <v>14</v>
      </c>
    </row>
    <row r="4" spans="2:28" ht="25.5" x14ac:dyDescent="0.2">
      <c r="B4" s="10" t="s">
        <v>1</v>
      </c>
      <c r="C4" s="11" t="e">
        <f>SUM(I16,H32,D47,$D62)</f>
        <v>#REF!</v>
      </c>
      <c r="E4" s="10" t="s">
        <v>1</v>
      </c>
      <c r="F4" s="11" t="e">
        <f>SUM(S16,R32,N47,$D62)</f>
        <v>#REF!</v>
      </c>
      <c r="G4" s="17" t="e">
        <f>($C4-F4)/$C4</f>
        <v>#REF!</v>
      </c>
      <c r="H4" s="10" t="s">
        <v>1</v>
      </c>
      <c r="I4" s="11" t="e">
        <f>SUM(AB16,AA32,W47,$D62)</f>
        <v>#REF!</v>
      </c>
      <c r="J4" s="17" t="e">
        <f>($C4-I4)/$C4</f>
        <v>#REF!</v>
      </c>
    </row>
    <row r="5" spans="2:28" ht="25.5" x14ac:dyDescent="0.2">
      <c r="B5" s="3" t="s">
        <v>2</v>
      </c>
      <c r="C5" s="8" t="e">
        <f>SUM(I17,H33,D48,$D63)</f>
        <v>#REF!</v>
      </c>
      <c r="E5" s="3" t="s">
        <v>2</v>
      </c>
      <c r="F5" s="8" t="e">
        <f>SUM(S17,R33,N48,$D63)</f>
        <v>#REF!</v>
      </c>
      <c r="G5" s="17" t="e">
        <f t="shared" ref="G5:G8" si="0">($C5-F5)/$C5</f>
        <v>#REF!</v>
      </c>
      <c r="H5" s="3" t="s">
        <v>2</v>
      </c>
      <c r="I5" s="8" t="e">
        <f>SUM(AB17,AA33,W48,$D63)</f>
        <v>#REF!</v>
      </c>
      <c r="J5" s="17" t="e">
        <f t="shared" ref="J5:J8" si="1">($C5-I5)/$C5</f>
        <v>#REF!</v>
      </c>
    </row>
    <row r="6" spans="2:28" x14ac:dyDescent="0.2">
      <c r="B6" s="3" t="s">
        <v>3</v>
      </c>
      <c r="C6" s="8" t="e">
        <f>SUM(I18,H34,D49,$D64)</f>
        <v>#REF!</v>
      </c>
      <c r="E6" s="3" t="s">
        <v>3</v>
      </c>
      <c r="F6" s="8" t="e">
        <f>SUM(S18,R34,N49,$D64)</f>
        <v>#REF!</v>
      </c>
      <c r="G6" s="17" t="e">
        <f t="shared" si="0"/>
        <v>#REF!</v>
      </c>
      <c r="H6" s="3" t="s">
        <v>3</v>
      </c>
      <c r="I6" s="8" t="e">
        <f>SUM(AB18,AA34,W49,$D64)</f>
        <v>#REF!</v>
      </c>
      <c r="J6" s="17" t="e">
        <f t="shared" si="1"/>
        <v>#REF!</v>
      </c>
    </row>
    <row r="7" spans="2:28" x14ac:dyDescent="0.2">
      <c r="B7" s="3" t="s">
        <v>0</v>
      </c>
      <c r="C7" s="8" t="e">
        <f>SUM(I19,H35,D50,$D65)</f>
        <v>#REF!</v>
      </c>
      <c r="E7" s="3" t="s">
        <v>0</v>
      </c>
      <c r="F7" s="8" t="e">
        <f>SUM(S19,R35,N50,$D65)</f>
        <v>#REF!</v>
      </c>
      <c r="G7" s="17" t="e">
        <f t="shared" si="0"/>
        <v>#REF!</v>
      </c>
      <c r="H7" s="3" t="s">
        <v>0</v>
      </c>
      <c r="I7" s="8" t="e">
        <f>SUM(AB19,AA35,W50,$D65)</f>
        <v>#REF!</v>
      </c>
      <c r="J7" s="17" t="e">
        <f t="shared" si="1"/>
        <v>#REF!</v>
      </c>
    </row>
    <row r="8" spans="2:28" ht="13.5" thickBot="1" x14ac:dyDescent="0.25">
      <c r="B8" s="4" t="s">
        <v>6</v>
      </c>
      <c r="C8" s="14" t="e">
        <f>SUM(C4:C7)</f>
        <v>#REF!</v>
      </c>
      <c r="E8" s="4" t="s">
        <v>6</v>
      </c>
      <c r="F8" s="14" t="e">
        <f>SUM(F4:F7)</f>
        <v>#REF!</v>
      </c>
      <c r="G8" s="17" t="e">
        <f t="shared" si="0"/>
        <v>#REF!</v>
      </c>
      <c r="H8" s="4" t="s">
        <v>6</v>
      </c>
      <c r="I8" s="14" t="e">
        <f>SUM(I4:I7)</f>
        <v>#REF!</v>
      </c>
      <c r="J8" s="17" t="e">
        <f t="shared" si="1"/>
        <v>#REF!</v>
      </c>
    </row>
    <row r="9" spans="2:28" ht="15" x14ac:dyDescent="0.2">
      <c r="B9" s="20"/>
      <c r="C9" s="21"/>
      <c r="E9" s="20"/>
      <c r="F9" s="22" t="e">
        <f>($C8-F8)/$C8</f>
        <v>#REF!</v>
      </c>
      <c r="H9" s="20"/>
      <c r="I9" s="23" t="e">
        <f>($C8-I8)/$C8</f>
        <v>#REF!</v>
      </c>
    </row>
    <row r="11" spans="2:28" s="2" customFormat="1" ht="16.5" thickBot="1" x14ac:dyDescent="0.3">
      <c r="B11" s="2" t="s">
        <v>5</v>
      </c>
    </row>
    <row r="12" spans="2:28" ht="14.25" thickTop="1" thickBot="1" x14ac:dyDescent="0.25"/>
    <row r="13" spans="2:28" ht="26.25" thickBot="1" x14ac:dyDescent="0.25">
      <c r="B13" s="5" t="s">
        <v>21</v>
      </c>
      <c r="C13" s="6" t="e">
        <f>#REF!</f>
        <v>#REF!</v>
      </c>
      <c r="D13" s="6" t="e">
        <f>#REF!</f>
        <v>#REF!</v>
      </c>
      <c r="E13" s="6" t="e">
        <f>#REF!</f>
        <v>#REF!</v>
      </c>
      <c r="F13" s="6" t="e">
        <f>#REF!</f>
        <v>#REF!</v>
      </c>
      <c r="G13" s="6" t="e">
        <f>#REF!</f>
        <v>#REF!</v>
      </c>
      <c r="H13" s="6" t="e">
        <f>#REF!</f>
        <v>#REF!</v>
      </c>
      <c r="I13" s="6" t="s">
        <v>6</v>
      </c>
      <c r="L13" s="5" t="s">
        <v>22</v>
      </c>
      <c r="M13" s="6" t="e">
        <f>C13</f>
        <v>#REF!</v>
      </c>
      <c r="N13" s="6" t="e">
        <f t="shared" ref="N13:S13" si="2">D13</f>
        <v>#REF!</v>
      </c>
      <c r="O13" s="6" t="e">
        <f t="shared" si="2"/>
        <v>#REF!</v>
      </c>
      <c r="P13" s="6" t="e">
        <f t="shared" si="2"/>
        <v>#REF!</v>
      </c>
      <c r="Q13" s="6" t="e">
        <f t="shared" si="2"/>
        <v>#REF!</v>
      </c>
      <c r="R13" s="6" t="e">
        <f t="shared" si="2"/>
        <v>#REF!</v>
      </c>
      <c r="S13" s="6" t="str">
        <f t="shared" si="2"/>
        <v>Total</v>
      </c>
      <c r="U13" s="5" t="s">
        <v>23</v>
      </c>
      <c r="V13" s="6" t="e">
        <f>C13</f>
        <v>#REF!</v>
      </c>
      <c r="W13" s="6" t="e">
        <f t="shared" ref="W13:AB13" si="3">D13</f>
        <v>#REF!</v>
      </c>
      <c r="X13" s="6" t="e">
        <f t="shared" si="3"/>
        <v>#REF!</v>
      </c>
      <c r="Y13" s="6" t="e">
        <f t="shared" si="3"/>
        <v>#REF!</v>
      </c>
      <c r="Z13" s="6" t="e">
        <f t="shared" si="3"/>
        <v>#REF!</v>
      </c>
      <c r="AA13" s="6" t="e">
        <f t="shared" si="3"/>
        <v>#REF!</v>
      </c>
      <c r="AB13" s="6" t="str">
        <f t="shared" si="3"/>
        <v>Total</v>
      </c>
    </row>
    <row r="14" spans="2:28" x14ac:dyDescent="0.2">
      <c r="B14" s="15" t="s">
        <v>18</v>
      </c>
      <c r="C14" s="16" t="s">
        <v>15</v>
      </c>
      <c r="D14" s="16" t="s">
        <v>15</v>
      </c>
      <c r="E14" s="16" t="s">
        <v>15</v>
      </c>
      <c r="F14" s="16" t="s">
        <v>16</v>
      </c>
      <c r="G14" s="16" t="s">
        <v>16</v>
      </c>
      <c r="H14" s="16" t="s">
        <v>17</v>
      </c>
      <c r="I14" s="16"/>
      <c r="L14" s="15" t="s">
        <v>18</v>
      </c>
      <c r="M14" s="16" t="s">
        <v>15</v>
      </c>
      <c r="N14" s="16" t="s">
        <v>15</v>
      </c>
      <c r="O14" s="16" t="s">
        <v>15</v>
      </c>
      <c r="P14" s="16" t="s">
        <v>16</v>
      </c>
      <c r="Q14" s="16" t="s">
        <v>16</v>
      </c>
      <c r="R14" s="16" t="s">
        <v>17</v>
      </c>
      <c r="S14" s="16"/>
      <c r="U14" s="15" t="s">
        <v>18</v>
      </c>
      <c r="V14" s="16" t="s">
        <v>15</v>
      </c>
      <c r="W14" s="16" t="s">
        <v>15</v>
      </c>
      <c r="X14" s="16" t="s">
        <v>15</v>
      </c>
      <c r="Y14" s="16" t="s">
        <v>16</v>
      </c>
      <c r="Z14" s="16" t="s">
        <v>16</v>
      </c>
      <c r="AA14" s="16" t="s">
        <v>17</v>
      </c>
      <c r="AB14" s="16"/>
    </row>
    <row r="15" spans="2:28" x14ac:dyDescent="0.2">
      <c r="B15" s="10"/>
      <c r="C15" s="11"/>
      <c r="D15" s="11"/>
      <c r="E15" s="11"/>
      <c r="F15" s="11"/>
      <c r="G15" s="11"/>
      <c r="H15" s="11"/>
      <c r="I15" s="11"/>
      <c r="L15" s="10"/>
      <c r="M15" s="11"/>
      <c r="N15" s="11"/>
      <c r="O15" s="11"/>
      <c r="P15" s="11"/>
      <c r="Q15" s="11"/>
      <c r="R15" s="11"/>
      <c r="S15" s="11"/>
      <c r="U15" s="10"/>
      <c r="V15" s="11"/>
      <c r="W15" s="11"/>
      <c r="X15" s="11"/>
      <c r="Y15" s="11"/>
      <c r="Z15" s="11"/>
      <c r="AA15" s="11"/>
      <c r="AB15" s="11"/>
    </row>
    <row r="16" spans="2:28" ht="25.5" x14ac:dyDescent="0.2">
      <c r="B16" s="3" t="s">
        <v>1</v>
      </c>
      <c r="C16" s="8" t="e">
        <f>COUNTIF(#REF!,$B16)</f>
        <v>#REF!</v>
      </c>
      <c r="D16" s="8" t="e">
        <f>COUNTIF(#REF!,$B16)</f>
        <v>#REF!</v>
      </c>
      <c r="E16" s="8" t="e">
        <f>COUNTIF(#REF!,$B16)</f>
        <v>#REF!</v>
      </c>
      <c r="F16" s="8" t="e">
        <f>COUNTIF(#REF!,$B16)</f>
        <v>#REF!</v>
      </c>
      <c r="G16" s="8" t="e">
        <f>COUNTIF(#REF!,$B16)</f>
        <v>#REF!</v>
      </c>
      <c r="H16" s="8" t="e">
        <f>COUNTIF(#REF!,$B16)</f>
        <v>#REF!</v>
      </c>
      <c r="I16" s="8" t="e">
        <f>SUM(C16:H16)</f>
        <v>#REF!</v>
      </c>
      <c r="L16" s="3" t="s">
        <v>1</v>
      </c>
      <c r="M16" s="8" t="e">
        <f>COUNTIF(#REF!,$B16)</f>
        <v>#REF!</v>
      </c>
      <c r="N16" s="8" t="e">
        <f>COUNTIF(#REF!,$B16)</f>
        <v>#REF!</v>
      </c>
      <c r="O16" s="8" t="e">
        <f>COUNTIF(#REF!,$B16)</f>
        <v>#REF!</v>
      </c>
      <c r="P16" s="8" t="e">
        <f>COUNTIF(#REF!,$B16)</f>
        <v>#REF!</v>
      </c>
      <c r="Q16" s="8" t="e">
        <f>COUNTIF(#REF!,$B16)</f>
        <v>#REF!</v>
      </c>
      <c r="R16" s="8" t="e">
        <f>COUNTIF(#REF!,$B16)</f>
        <v>#REF!</v>
      </c>
      <c r="S16" s="8" t="e">
        <f>SUM(M16:R16)</f>
        <v>#REF!</v>
      </c>
      <c r="U16" s="3" t="s">
        <v>1</v>
      </c>
      <c r="V16" s="8" t="e">
        <f>COUNTIF(#REF!,$B16)</f>
        <v>#REF!</v>
      </c>
      <c r="W16" s="8" t="e">
        <f>COUNTIF(#REF!,$B16)</f>
        <v>#REF!</v>
      </c>
      <c r="X16" s="8" t="e">
        <f>COUNTIF(#REF!,$B16)</f>
        <v>#REF!</v>
      </c>
      <c r="Y16" s="8" t="e">
        <f>COUNTIF(#REF!,$B16)</f>
        <v>#REF!</v>
      </c>
      <c r="Z16" s="8" t="e">
        <f>COUNTIF(#REF!,$B16)</f>
        <v>#REF!</v>
      </c>
      <c r="AA16" s="8" t="e">
        <f>COUNTIF(#REF!,$B16)</f>
        <v>#REF!</v>
      </c>
      <c r="AB16" s="8" t="e">
        <f>SUM(V16:AA16)</f>
        <v>#REF!</v>
      </c>
    </row>
    <row r="17" spans="2:28" ht="25.5" x14ac:dyDescent="0.2">
      <c r="B17" s="3" t="s">
        <v>2</v>
      </c>
      <c r="C17" s="8" t="e">
        <f>COUNTIF(#REF!,$B17)</f>
        <v>#REF!</v>
      </c>
      <c r="D17" s="8" t="e">
        <f>COUNTIF(#REF!,$B17)</f>
        <v>#REF!</v>
      </c>
      <c r="E17" s="8" t="e">
        <f>COUNTIF(#REF!,$B17)</f>
        <v>#REF!</v>
      </c>
      <c r="F17" s="8" t="e">
        <f>COUNTIF(#REF!,$B17)</f>
        <v>#REF!</v>
      </c>
      <c r="G17" s="8" t="e">
        <f>COUNTIF(#REF!,$B17)</f>
        <v>#REF!</v>
      </c>
      <c r="H17" s="8" t="e">
        <f>COUNTIF(#REF!,$B17)</f>
        <v>#REF!</v>
      </c>
      <c r="I17" s="8" t="e">
        <f>SUM(C17:H17)</f>
        <v>#REF!</v>
      </c>
      <c r="L17" s="3" t="s">
        <v>2</v>
      </c>
      <c r="M17" s="8" t="e">
        <f>COUNTIF(#REF!,$B17)</f>
        <v>#REF!</v>
      </c>
      <c r="N17" s="8" t="e">
        <f>COUNTIF(#REF!,$B17)</f>
        <v>#REF!</v>
      </c>
      <c r="O17" s="8" t="e">
        <f>COUNTIF(#REF!,$B17)</f>
        <v>#REF!</v>
      </c>
      <c r="P17" s="8" t="e">
        <f>COUNTIF(#REF!,$B17)</f>
        <v>#REF!</v>
      </c>
      <c r="Q17" s="8" t="e">
        <f>COUNTIF(#REF!,$B17)</f>
        <v>#REF!</v>
      </c>
      <c r="R17" s="8" t="e">
        <f>COUNTIF(#REF!,$B17)</f>
        <v>#REF!</v>
      </c>
      <c r="S17" s="8" t="e">
        <f>SUM(M17:R17)</f>
        <v>#REF!</v>
      </c>
      <c r="U17" s="3" t="s">
        <v>2</v>
      </c>
      <c r="V17" s="8" t="e">
        <f>COUNTIF(#REF!,$B17)</f>
        <v>#REF!</v>
      </c>
      <c r="W17" s="8" t="e">
        <f>COUNTIF(#REF!,$B17)</f>
        <v>#REF!</v>
      </c>
      <c r="X17" s="8" t="e">
        <f>COUNTIF(#REF!,$B17)</f>
        <v>#REF!</v>
      </c>
      <c r="Y17" s="8" t="e">
        <f>COUNTIF(#REF!,$B17)</f>
        <v>#REF!</v>
      </c>
      <c r="Z17" s="8" t="e">
        <f>COUNTIF(#REF!,$B17)</f>
        <v>#REF!</v>
      </c>
      <c r="AA17" s="8" t="e">
        <f>COUNTIF(#REF!,$B17)</f>
        <v>#REF!</v>
      </c>
      <c r="AB17" s="8" t="e">
        <f>SUM(V17:AA17)</f>
        <v>#REF!</v>
      </c>
    </row>
    <row r="18" spans="2:28" ht="25.5" x14ac:dyDescent="0.2">
      <c r="B18" s="3" t="s">
        <v>3</v>
      </c>
      <c r="C18" s="8" t="e">
        <f>COUNTIF(#REF!,$B18)</f>
        <v>#REF!</v>
      </c>
      <c r="D18" s="8" t="e">
        <f>COUNTIF(#REF!,$B18)</f>
        <v>#REF!</v>
      </c>
      <c r="E18" s="8" t="e">
        <f>COUNTIF(#REF!,$B18)</f>
        <v>#REF!</v>
      </c>
      <c r="F18" s="8" t="e">
        <f>COUNTIF(#REF!,$B18)</f>
        <v>#REF!</v>
      </c>
      <c r="G18" s="8" t="e">
        <f>COUNTIF(#REF!,$B18)</f>
        <v>#REF!</v>
      </c>
      <c r="H18" s="8" t="e">
        <f>COUNTIF(#REF!,$B18)</f>
        <v>#REF!</v>
      </c>
      <c r="I18" s="8"/>
      <c r="L18" s="3" t="s">
        <v>3</v>
      </c>
      <c r="M18" s="8" t="e">
        <f>COUNTIF(#REF!,$B18)</f>
        <v>#REF!</v>
      </c>
      <c r="N18" s="8" t="e">
        <f>COUNTIF(#REF!,$B18)</f>
        <v>#REF!</v>
      </c>
      <c r="O18" s="8" t="e">
        <f>COUNTIF(#REF!,$B18)</f>
        <v>#REF!</v>
      </c>
      <c r="P18" s="8" t="e">
        <f>COUNTIF(#REF!,$B18)</f>
        <v>#REF!</v>
      </c>
      <c r="Q18" s="8" t="e">
        <f>COUNTIF(#REF!,$B18)</f>
        <v>#REF!</v>
      </c>
      <c r="R18" s="8" t="e">
        <f>COUNTIF(#REF!,$B18)</f>
        <v>#REF!</v>
      </c>
      <c r="S18" s="8"/>
      <c r="U18" s="3" t="s">
        <v>3</v>
      </c>
      <c r="V18" s="8" t="e">
        <f>COUNTIF(#REF!,$B18)</f>
        <v>#REF!</v>
      </c>
      <c r="W18" s="8" t="e">
        <f>COUNTIF(#REF!,$B18)</f>
        <v>#REF!</v>
      </c>
      <c r="X18" s="8" t="e">
        <f>COUNTIF(#REF!,$B18)</f>
        <v>#REF!</v>
      </c>
      <c r="Y18" s="8" t="e">
        <f>COUNTIF(#REF!,$B18)</f>
        <v>#REF!</v>
      </c>
      <c r="Z18" s="8" t="e">
        <f>COUNTIF(#REF!,$B18)</f>
        <v>#REF!</v>
      </c>
      <c r="AA18" s="8" t="e">
        <f>COUNTIF(#REF!,$B18)</f>
        <v>#REF!</v>
      </c>
      <c r="AB18" s="8"/>
    </row>
    <row r="19" spans="2:28" x14ac:dyDescent="0.2">
      <c r="B19" s="3" t="s">
        <v>0</v>
      </c>
      <c r="C19" s="8" t="e">
        <f>COUNTIF(#REF!,$B19)</f>
        <v>#REF!</v>
      </c>
      <c r="D19" s="8" t="e">
        <f>COUNTIF(#REF!,$B19)</f>
        <v>#REF!</v>
      </c>
      <c r="E19" s="8" t="e">
        <f>COUNTIF(#REF!,$B19)</f>
        <v>#REF!</v>
      </c>
      <c r="F19" s="8" t="e">
        <f>COUNTIF(#REF!,$B19)</f>
        <v>#REF!</v>
      </c>
      <c r="G19" s="8" t="e">
        <f>COUNTIF(#REF!,$B19)</f>
        <v>#REF!</v>
      </c>
      <c r="H19" s="8" t="e">
        <f>COUNTIF(#REF!,$B19)</f>
        <v>#REF!</v>
      </c>
      <c r="I19" s="8"/>
      <c r="L19" s="3" t="s">
        <v>0</v>
      </c>
      <c r="M19" s="8" t="e">
        <f>COUNTIF(#REF!,$B19)</f>
        <v>#REF!</v>
      </c>
      <c r="N19" s="8" t="e">
        <f>COUNTIF(#REF!,$B19)</f>
        <v>#REF!</v>
      </c>
      <c r="O19" s="8" t="e">
        <f>COUNTIF(#REF!,$B19)</f>
        <v>#REF!</v>
      </c>
      <c r="P19" s="8" t="e">
        <f>COUNTIF(#REF!,$B19)</f>
        <v>#REF!</v>
      </c>
      <c r="Q19" s="8" t="e">
        <f>COUNTIF(#REF!,$B19)</f>
        <v>#REF!</v>
      </c>
      <c r="R19" s="8" t="e">
        <f>COUNTIF(#REF!,$B19)</f>
        <v>#REF!</v>
      </c>
      <c r="S19" s="8"/>
      <c r="U19" s="3" t="s">
        <v>0</v>
      </c>
      <c r="V19" s="8" t="e">
        <f>COUNTIF(#REF!,$B19)</f>
        <v>#REF!</v>
      </c>
      <c r="W19" s="8" t="e">
        <f>COUNTIF(#REF!,$B19)</f>
        <v>#REF!</v>
      </c>
      <c r="X19" s="8" t="e">
        <f>COUNTIF(#REF!,$B19)</f>
        <v>#REF!</v>
      </c>
      <c r="Y19" s="8" t="e">
        <f>COUNTIF(#REF!,$B19)</f>
        <v>#REF!</v>
      </c>
      <c r="Z19" s="8" t="e">
        <f>COUNTIF(#REF!,$B19)</f>
        <v>#REF!</v>
      </c>
      <c r="AA19" s="8" t="e">
        <f>COUNTIF(#REF!,$B19)</f>
        <v>#REF!</v>
      </c>
      <c r="AB19" s="8"/>
    </row>
    <row r="20" spans="2:28" x14ac:dyDescent="0.2">
      <c r="B20" s="3"/>
      <c r="C20" s="8"/>
      <c r="D20" s="8"/>
      <c r="E20" s="8"/>
      <c r="F20" s="8"/>
      <c r="G20" s="8"/>
      <c r="H20" s="8"/>
      <c r="I20" s="8"/>
      <c r="L20" s="3"/>
      <c r="M20" s="8"/>
      <c r="N20" s="8"/>
      <c r="O20" s="8"/>
      <c r="P20" s="8"/>
      <c r="Q20" s="8"/>
      <c r="R20" s="8"/>
      <c r="S20" s="8"/>
      <c r="U20" s="3"/>
      <c r="V20" s="8"/>
      <c r="W20" s="8"/>
      <c r="X20" s="8"/>
      <c r="Y20" s="8"/>
      <c r="Z20" s="8"/>
      <c r="AA20" s="8"/>
      <c r="AB20" s="8"/>
    </row>
    <row r="21" spans="2:28" ht="13.5" thickBot="1" x14ac:dyDescent="0.25">
      <c r="B21" s="4" t="s">
        <v>6</v>
      </c>
      <c r="C21" s="9" t="e">
        <f>SUM(C16:C19)</f>
        <v>#REF!</v>
      </c>
      <c r="D21" s="9" t="e">
        <f t="shared" ref="D21:H21" si="4">SUM(D16:D19)</f>
        <v>#REF!</v>
      </c>
      <c r="E21" s="9" t="e">
        <f t="shared" si="4"/>
        <v>#REF!</v>
      </c>
      <c r="F21" s="9" t="e">
        <f t="shared" si="4"/>
        <v>#REF!</v>
      </c>
      <c r="G21" s="9" t="e">
        <f t="shared" si="4"/>
        <v>#REF!</v>
      </c>
      <c r="H21" s="9" t="e">
        <f t="shared" si="4"/>
        <v>#REF!</v>
      </c>
      <c r="I21" s="14" t="e">
        <f>SUM(C21:H21)</f>
        <v>#REF!</v>
      </c>
      <c r="L21" s="4" t="s">
        <v>6</v>
      </c>
      <c r="M21" s="9" t="e">
        <f>SUM(M16:M19)</f>
        <v>#REF!</v>
      </c>
      <c r="N21" s="9" t="e">
        <f t="shared" ref="N21:R21" si="5">SUM(N16:N19)</f>
        <v>#REF!</v>
      </c>
      <c r="O21" s="9" t="e">
        <f t="shared" si="5"/>
        <v>#REF!</v>
      </c>
      <c r="P21" s="9" t="e">
        <f t="shared" si="5"/>
        <v>#REF!</v>
      </c>
      <c r="Q21" s="9" t="e">
        <f t="shared" si="5"/>
        <v>#REF!</v>
      </c>
      <c r="R21" s="9" t="e">
        <f t="shared" si="5"/>
        <v>#REF!</v>
      </c>
      <c r="S21" s="14" t="e">
        <f>SUM(M21:R21)</f>
        <v>#REF!</v>
      </c>
      <c r="U21" s="4" t="s">
        <v>6</v>
      </c>
      <c r="V21" s="9" t="e">
        <f>SUM(V16:V19)</f>
        <v>#REF!</v>
      </c>
      <c r="W21" s="9" t="e">
        <f t="shared" ref="W21:AA21" si="6">SUM(W16:W19)</f>
        <v>#REF!</v>
      </c>
      <c r="X21" s="9" t="e">
        <f t="shared" si="6"/>
        <v>#REF!</v>
      </c>
      <c r="Y21" s="9" t="e">
        <f t="shared" si="6"/>
        <v>#REF!</v>
      </c>
      <c r="Z21" s="9" t="e">
        <f t="shared" si="6"/>
        <v>#REF!</v>
      </c>
      <c r="AA21" s="9" t="e">
        <f t="shared" si="6"/>
        <v>#REF!</v>
      </c>
      <c r="AB21" s="14" t="e">
        <f>SUM(V21:AA21)</f>
        <v>#REF!</v>
      </c>
    </row>
    <row r="22" spans="2:28" ht="15" x14ac:dyDescent="0.25">
      <c r="R22" s="12" t="s">
        <v>24</v>
      </c>
      <c r="S22" s="19" t="e">
        <f>(I21-S21)/I21</f>
        <v>#REF!</v>
      </c>
      <c r="AA22" s="12" t="s">
        <v>24</v>
      </c>
      <c r="AB22" s="18" t="e">
        <f>(I21-AB21)/I21</f>
        <v>#REF!</v>
      </c>
    </row>
    <row r="23" spans="2:28" s="13" customFormat="1" x14ac:dyDescent="0.2">
      <c r="B23" s="13" t="s">
        <v>7</v>
      </c>
    </row>
    <row r="25" spans="2:28" x14ac:dyDescent="0.2">
      <c r="B25" s="12" t="s">
        <v>12</v>
      </c>
    </row>
    <row r="28" spans="2:28" s="2" customFormat="1" ht="16.5" thickBot="1" x14ac:dyDescent="0.3">
      <c r="B28" s="2" t="s">
        <v>8</v>
      </c>
    </row>
    <row r="29" spans="2:28" ht="14.25" thickTop="1" thickBot="1" x14ac:dyDescent="0.25"/>
    <row r="30" spans="2:28" ht="26.25" thickBot="1" x14ac:dyDescent="0.25">
      <c r="B30" s="5" t="s">
        <v>21</v>
      </c>
      <c r="C30" s="6" t="e">
        <f>#REF!</f>
        <v>#REF!</v>
      </c>
      <c r="D30" s="6" t="e">
        <f>#REF!</f>
        <v>#REF!</v>
      </c>
      <c r="E30" s="6" t="e">
        <f>#REF!</f>
        <v>#REF!</v>
      </c>
      <c r="F30" s="6" t="e">
        <f>#REF!</f>
        <v>#REF!</v>
      </c>
      <c r="G30" s="6" t="e">
        <f>#REF!</f>
        <v>#REF!</v>
      </c>
      <c r="H30" s="6" t="s">
        <v>6</v>
      </c>
      <c r="L30" s="5" t="s">
        <v>25</v>
      </c>
      <c r="M30" s="6" t="e">
        <f>C30</f>
        <v>#REF!</v>
      </c>
      <c r="N30" s="6" t="e">
        <f t="shared" ref="N30:P30" si="7">D30</f>
        <v>#REF!</v>
      </c>
      <c r="O30" s="6" t="e">
        <f t="shared" si="7"/>
        <v>#REF!</v>
      </c>
      <c r="P30" s="6" t="e">
        <f t="shared" si="7"/>
        <v>#REF!</v>
      </c>
      <c r="Q30" s="6" t="e">
        <f>G30</f>
        <v>#REF!</v>
      </c>
      <c r="R30" s="6" t="str">
        <f>H30</f>
        <v>Total</v>
      </c>
      <c r="U30" s="5" t="s">
        <v>23</v>
      </c>
      <c r="V30" s="6" t="e">
        <f>C30</f>
        <v>#REF!</v>
      </c>
      <c r="W30" s="6" t="e">
        <f t="shared" ref="W30:Y30" si="8">D30</f>
        <v>#REF!</v>
      </c>
      <c r="X30" s="6" t="e">
        <f t="shared" si="8"/>
        <v>#REF!</v>
      </c>
      <c r="Y30" s="6" t="e">
        <f t="shared" si="8"/>
        <v>#REF!</v>
      </c>
      <c r="Z30" s="6" t="e">
        <f>G30</f>
        <v>#REF!</v>
      </c>
      <c r="AA30" s="6" t="str">
        <f>H30</f>
        <v>Total</v>
      </c>
    </row>
    <row r="31" spans="2:28" x14ac:dyDescent="0.2">
      <c r="B31" s="15" t="s">
        <v>18</v>
      </c>
      <c r="C31" s="16" t="s">
        <v>15</v>
      </c>
      <c r="D31" s="16" t="s">
        <v>15</v>
      </c>
      <c r="E31" s="16" t="s">
        <v>15</v>
      </c>
      <c r="F31" s="16" t="s">
        <v>16</v>
      </c>
      <c r="G31" s="16" t="s">
        <v>15</v>
      </c>
      <c r="H31" s="16"/>
      <c r="L31" s="15" t="s">
        <v>18</v>
      </c>
      <c r="M31" s="16" t="s">
        <v>15</v>
      </c>
      <c r="N31" s="16" t="s">
        <v>15</v>
      </c>
      <c r="O31" s="16" t="s">
        <v>15</v>
      </c>
      <c r="P31" s="16" t="s">
        <v>16</v>
      </c>
      <c r="Q31" s="16" t="s">
        <v>15</v>
      </c>
      <c r="R31" s="16"/>
      <c r="U31" s="15" t="s">
        <v>18</v>
      </c>
      <c r="V31" s="16" t="s">
        <v>15</v>
      </c>
      <c r="W31" s="16" t="s">
        <v>15</v>
      </c>
      <c r="X31" s="16" t="s">
        <v>15</v>
      </c>
      <c r="Y31" s="16" t="s">
        <v>16</v>
      </c>
      <c r="Z31" s="16" t="s">
        <v>15</v>
      </c>
      <c r="AA31" s="16"/>
    </row>
    <row r="32" spans="2:28" ht="25.5" x14ac:dyDescent="0.2">
      <c r="B32" s="3" t="s">
        <v>1</v>
      </c>
      <c r="C32" s="8" t="e">
        <f>COUNTIF(#REF!,$B32)</f>
        <v>#REF!</v>
      </c>
      <c r="D32" s="8" t="e">
        <f>COUNTIF(#REF!,$B32)</f>
        <v>#REF!</v>
      </c>
      <c r="E32" s="8" t="e">
        <f>COUNTIF(#REF!,$B32)</f>
        <v>#REF!</v>
      </c>
      <c r="F32" s="8" t="e">
        <f>COUNTIF(#REF!,$B32)</f>
        <v>#REF!</v>
      </c>
      <c r="G32" s="8" t="e">
        <f>COUNTIF(#REF!,$B32)</f>
        <v>#REF!</v>
      </c>
      <c r="H32" s="8" t="e">
        <f>SUM(C32:G32)</f>
        <v>#REF!</v>
      </c>
      <c r="L32" s="3" t="s">
        <v>1</v>
      </c>
      <c r="M32" s="8" t="e">
        <f>COUNTIF(#REF!,$B32)</f>
        <v>#REF!</v>
      </c>
      <c r="N32" s="8" t="e">
        <f>COUNTIF(#REF!,$B32)</f>
        <v>#REF!</v>
      </c>
      <c r="O32" s="8" t="e">
        <f>COUNTIF(#REF!,$B32)</f>
        <v>#REF!</v>
      </c>
      <c r="P32" s="8" t="e">
        <f>COUNTIF(#REF!,$B32)</f>
        <v>#REF!</v>
      </c>
      <c r="Q32" s="8" t="e">
        <f>COUNTIF(#REF!,$B32)</f>
        <v>#REF!</v>
      </c>
      <c r="R32" s="8" t="e">
        <f>SUM(M32:Q32)</f>
        <v>#REF!</v>
      </c>
      <c r="U32" s="3" t="s">
        <v>1</v>
      </c>
      <c r="V32" s="8" t="e">
        <f>COUNTIF(#REF!,$B32)</f>
        <v>#REF!</v>
      </c>
      <c r="W32" s="8" t="e">
        <f>COUNTIF(#REF!,$B32)</f>
        <v>#REF!</v>
      </c>
      <c r="X32" s="8" t="e">
        <f>COUNTIF(#REF!,$B32)</f>
        <v>#REF!</v>
      </c>
      <c r="Y32" s="8" t="e">
        <f>COUNTIF(#REF!,$B32)</f>
        <v>#REF!</v>
      </c>
      <c r="Z32" s="8" t="e">
        <f>COUNTIF(#REF!,$B32)</f>
        <v>#REF!</v>
      </c>
      <c r="AA32" s="8" t="e">
        <f>SUM(V32:Z32)</f>
        <v>#REF!</v>
      </c>
    </row>
    <row r="33" spans="2:27" ht="25.5" x14ac:dyDescent="0.2">
      <c r="B33" s="3" t="s">
        <v>2</v>
      </c>
      <c r="C33" s="8" t="e">
        <f>COUNTIF(#REF!,$B33)</f>
        <v>#REF!</v>
      </c>
      <c r="D33" s="8" t="e">
        <f>COUNTIF(#REF!,$B33)</f>
        <v>#REF!</v>
      </c>
      <c r="E33" s="8" t="e">
        <f>COUNTIF(#REF!,$B33)</f>
        <v>#REF!</v>
      </c>
      <c r="F33" s="8" t="e">
        <f>COUNTIF(#REF!,$B33)</f>
        <v>#REF!</v>
      </c>
      <c r="G33" s="8" t="e">
        <f>COUNTIF(#REF!,$B33)</f>
        <v>#REF!</v>
      </c>
      <c r="H33" s="8" t="e">
        <f>SUM(C33:G33)</f>
        <v>#REF!</v>
      </c>
      <c r="L33" s="3" t="s">
        <v>2</v>
      </c>
      <c r="M33" s="8" t="e">
        <f>COUNTIF(#REF!,$B33)</f>
        <v>#REF!</v>
      </c>
      <c r="N33" s="8" t="e">
        <f>COUNTIF(#REF!,$B33)</f>
        <v>#REF!</v>
      </c>
      <c r="O33" s="8" t="e">
        <f>COUNTIF(#REF!,$B33)</f>
        <v>#REF!</v>
      </c>
      <c r="P33" s="8" t="e">
        <f>COUNTIF(#REF!,$B33)</f>
        <v>#REF!</v>
      </c>
      <c r="Q33" s="8" t="e">
        <f>COUNTIF(#REF!,$B33)</f>
        <v>#REF!</v>
      </c>
      <c r="R33" s="8" t="e">
        <f>SUM(M33:Q33)</f>
        <v>#REF!</v>
      </c>
      <c r="U33" s="3" t="s">
        <v>2</v>
      </c>
      <c r="V33" s="8" t="e">
        <f>COUNTIF(#REF!,$B33)</f>
        <v>#REF!</v>
      </c>
      <c r="W33" s="8" t="e">
        <f>COUNTIF(#REF!,$B33)</f>
        <v>#REF!</v>
      </c>
      <c r="X33" s="8" t="e">
        <f>COUNTIF(#REF!,$B33)</f>
        <v>#REF!</v>
      </c>
      <c r="Y33" s="8" t="e">
        <f>COUNTIF(#REF!,$B33)</f>
        <v>#REF!</v>
      </c>
      <c r="Z33" s="8" t="e">
        <f>COUNTIF(#REF!,$B33)</f>
        <v>#REF!</v>
      </c>
      <c r="AA33" s="8" t="e">
        <f>SUM(V33:Z33)</f>
        <v>#REF!</v>
      </c>
    </row>
    <row r="34" spans="2:27" ht="25.5" x14ac:dyDescent="0.2">
      <c r="B34" s="3" t="s">
        <v>3</v>
      </c>
      <c r="C34" s="8" t="e">
        <f>COUNTIF(#REF!,$B34)</f>
        <v>#REF!</v>
      </c>
      <c r="D34" s="8" t="e">
        <f>COUNTIF(#REF!,$B34)</f>
        <v>#REF!</v>
      </c>
      <c r="E34" s="8" t="e">
        <f>COUNTIF(#REF!,$B34)</f>
        <v>#REF!</v>
      </c>
      <c r="F34" s="8" t="e">
        <f>COUNTIF(#REF!,$B34)</f>
        <v>#REF!</v>
      </c>
      <c r="G34" s="8" t="e">
        <f>COUNTIF(#REF!,$B34)</f>
        <v>#REF!</v>
      </c>
      <c r="H34" s="8" t="e">
        <f>SUM(C34:G34)</f>
        <v>#REF!</v>
      </c>
      <c r="L34" s="3" t="s">
        <v>3</v>
      </c>
      <c r="M34" s="8" t="e">
        <f>COUNTIF(#REF!,$B34)</f>
        <v>#REF!</v>
      </c>
      <c r="N34" s="8" t="e">
        <f>COUNTIF(#REF!,$B34)</f>
        <v>#REF!</v>
      </c>
      <c r="O34" s="8" t="e">
        <f>COUNTIF(#REF!,$B34)</f>
        <v>#REF!</v>
      </c>
      <c r="P34" s="8" t="e">
        <f>COUNTIF(#REF!,$B34)</f>
        <v>#REF!</v>
      </c>
      <c r="Q34" s="8" t="e">
        <f>COUNTIF(#REF!,$B34)</f>
        <v>#REF!</v>
      </c>
      <c r="R34" s="8" t="e">
        <f>SUM(M34:Q34)</f>
        <v>#REF!</v>
      </c>
      <c r="U34" s="3" t="s">
        <v>3</v>
      </c>
      <c r="V34" s="8" t="e">
        <f>COUNTIF(#REF!,$B34)</f>
        <v>#REF!</v>
      </c>
      <c r="W34" s="8" t="e">
        <f>COUNTIF(#REF!,$B34)</f>
        <v>#REF!</v>
      </c>
      <c r="X34" s="8" t="e">
        <f>COUNTIF(#REF!,$B34)</f>
        <v>#REF!</v>
      </c>
      <c r="Y34" s="8" t="e">
        <f>COUNTIF(#REF!,$B34)</f>
        <v>#REF!</v>
      </c>
      <c r="Z34" s="8" t="e">
        <f>COUNTIF(#REF!,$B34)</f>
        <v>#REF!</v>
      </c>
      <c r="AA34" s="8" t="e">
        <f>SUM(V34:Z34)</f>
        <v>#REF!</v>
      </c>
    </row>
    <row r="35" spans="2:27" x14ac:dyDescent="0.2">
      <c r="B35" s="3" t="s">
        <v>0</v>
      </c>
      <c r="C35" s="8" t="e">
        <f>COUNTIF(#REF!,$B35)</f>
        <v>#REF!</v>
      </c>
      <c r="D35" s="8" t="e">
        <f>COUNTIF(#REF!,$B35)</f>
        <v>#REF!</v>
      </c>
      <c r="E35" s="8" t="e">
        <f>COUNTIF(#REF!,$B35)</f>
        <v>#REF!</v>
      </c>
      <c r="F35" s="8" t="e">
        <f>COUNTIF(#REF!,$B35)</f>
        <v>#REF!</v>
      </c>
      <c r="G35" s="8" t="e">
        <f>COUNTIF(#REF!,$B35)</f>
        <v>#REF!</v>
      </c>
      <c r="H35" s="8" t="e">
        <f>SUM(C35:G35)</f>
        <v>#REF!</v>
      </c>
      <c r="L35" s="3" t="s">
        <v>0</v>
      </c>
      <c r="M35" s="8" t="e">
        <f>COUNTIF(#REF!,$B35)</f>
        <v>#REF!</v>
      </c>
      <c r="N35" s="8" t="e">
        <f>COUNTIF(#REF!,$B35)</f>
        <v>#REF!</v>
      </c>
      <c r="O35" s="8" t="e">
        <f>COUNTIF(#REF!,$B35)</f>
        <v>#REF!</v>
      </c>
      <c r="P35" s="8" t="e">
        <f>COUNTIF(#REF!,$B35)</f>
        <v>#REF!</v>
      </c>
      <c r="Q35" s="8" t="e">
        <f>COUNTIF(#REF!,$B35)</f>
        <v>#REF!</v>
      </c>
      <c r="R35" s="8" t="e">
        <f>SUM(M35:Q35)</f>
        <v>#REF!</v>
      </c>
      <c r="U35" s="3" t="s">
        <v>0</v>
      </c>
      <c r="V35" s="8" t="e">
        <f>COUNTIF(#REF!,$B35)</f>
        <v>#REF!</v>
      </c>
      <c r="W35" s="8" t="e">
        <f>COUNTIF(#REF!,$B35)</f>
        <v>#REF!</v>
      </c>
      <c r="X35" s="8" t="e">
        <f>COUNTIF(#REF!,$B35)</f>
        <v>#REF!</v>
      </c>
      <c r="Y35" s="8" t="e">
        <f>COUNTIF(#REF!,$B35)</f>
        <v>#REF!</v>
      </c>
      <c r="Z35" s="8" t="e">
        <f>COUNTIF(#REF!,$B35)</f>
        <v>#REF!</v>
      </c>
      <c r="AA35" s="8" t="e">
        <f>SUM(V35:Z35)</f>
        <v>#REF!</v>
      </c>
    </row>
    <row r="36" spans="2:27" x14ac:dyDescent="0.2">
      <c r="B36" s="3"/>
      <c r="C36" s="8"/>
      <c r="D36" s="8"/>
      <c r="E36" s="8"/>
      <c r="F36" s="8"/>
      <c r="G36" s="8"/>
      <c r="H36" s="8"/>
      <c r="L36" s="3"/>
      <c r="M36" s="8"/>
      <c r="N36" s="8"/>
      <c r="O36" s="8"/>
      <c r="P36" s="8"/>
      <c r="Q36" s="8"/>
      <c r="R36" s="8"/>
      <c r="U36" s="3"/>
      <c r="V36" s="8"/>
      <c r="W36" s="8"/>
      <c r="X36" s="8"/>
      <c r="Y36" s="8"/>
      <c r="Z36" s="8"/>
      <c r="AA36" s="8"/>
    </row>
    <row r="37" spans="2:27" ht="13.5" thickBot="1" x14ac:dyDescent="0.25">
      <c r="B37" s="4" t="s">
        <v>6</v>
      </c>
      <c r="C37" s="9" t="e">
        <f>SUM(C32:C35)</f>
        <v>#REF!</v>
      </c>
      <c r="D37" s="9" t="e">
        <f t="shared" ref="D37:F37" si="9">SUM(D32:D35)</f>
        <v>#REF!</v>
      </c>
      <c r="E37" s="9" t="e">
        <f t="shared" si="9"/>
        <v>#REF!</v>
      </c>
      <c r="F37" s="9" t="e">
        <f t="shared" si="9"/>
        <v>#REF!</v>
      </c>
      <c r="G37" s="9" t="e">
        <f>SUM(G32:G35)</f>
        <v>#REF!</v>
      </c>
      <c r="H37" s="14" t="e">
        <f>SUM(C37:G37)</f>
        <v>#REF!</v>
      </c>
      <c r="L37" s="4" t="s">
        <v>6</v>
      </c>
      <c r="M37" s="9" t="e">
        <f>SUM(M32:M35)</f>
        <v>#REF!</v>
      </c>
      <c r="N37" s="9" t="e">
        <f t="shared" ref="N37:P37" si="10">SUM(N32:N35)</f>
        <v>#REF!</v>
      </c>
      <c r="O37" s="9" t="e">
        <f t="shared" si="10"/>
        <v>#REF!</v>
      </c>
      <c r="P37" s="9" t="e">
        <f t="shared" si="10"/>
        <v>#REF!</v>
      </c>
      <c r="Q37" s="9" t="e">
        <f>SUM(Q32:Q35)</f>
        <v>#REF!</v>
      </c>
      <c r="R37" s="14" t="e">
        <f>SUM(M37:Q37)</f>
        <v>#REF!</v>
      </c>
      <c r="U37" s="4" t="s">
        <v>6</v>
      </c>
      <c r="V37" s="9" t="e">
        <f>SUM(V32:V35)</f>
        <v>#REF!</v>
      </c>
      <c r="W37" s="9" t="e">
        <f t="shared" ref="W37:Y37" si="11">SUM(W32:W35)</f>
        <v>#REF!</v>
      </c>
      <c r="X37" s="9" t="e">
        <f t="shared" si="11"/>
        <v>#REF!</v>
      </c>
      <c r="Y37" s="9" t="e">
        <f t="shared" si="11"/>
        <v>#REF!</v>
      </c>
      <c r="Z37" s="9" t="e">
        <f>SUM(Z32:Z35)</f>
        <v>#REF!</v>
      </c>
      <c r="AA37" s="14" t="e">
        <f>SUM(V37:Z37)</f>
        <v>#REF!</v>
      </c>
    </row>
    <row r="38" spans="2:27" ht="15" x14ac:dyDescent="0.25">
      <c r="Q38" s="12" t="s">
        <v>24</v>
      </c>
      <c r="R38" s="19" t="e">
        <f>($H37-R37)/$H37</f>
        <v>#REF!</v>
      </c>
      <c r="Z38" s="12" t="s">
        <v>24</v>
      </c>
      <c r="AA38" s="18" t="e">
        <f>($H37-AA37)/$H37</f>
        <v>#REF!</v>
      </c>
    </row>
    <row r="39" spans="2:27" s="13" customFormat="1" x14ac:dyDescent="0.2">
      <c r="B39" s="13" t="s">
        <v>7</v>
      </c>
    </row>
    <row r="41" spans="2:27" x14ac:dyDescent="0.2">
      <c r="B41" s="12" t="s">
        <v>11</v>
      </c>
    </row>
    <row r="43" spans="2:27" s="2" customFormat="1" ht="16.5" thickBot="1" x14ac:dyDescent="0.3">
      <c r="B43" s="2" t="s">
        <v>9</v>
      </c>
    </row>
    <row r="44" spans="2:27" ht="14.25" thickTop="1" thickBot="1" x14ac:dyDescent="0.25"/>
    <row r="45" spans="2:27" ht="26.25" thickBot="1" x14ac:dyDescent="0.25">
      <c r="B45" s="5" t="s">
        <v>21</v>
      </c>
      <c r="C45" s="6" t="e">
        <f>#REF!</f>
        <v>#REF!</v>
      </c>
      <c r="D45" s="6" t="s">
        <v>6</v>
      </c>
      <c r="L45" s="5" t="s">
        <v>22</v>
      </c>
      <c r="M45" s="6" t="e">
        <f>C45</f>
        <v>#REF!</v>
      </c>
      <c r="N45" s="6" t="str">
        <f>D45</f>
        <v>Total</v>
      </c>
      <c r="U45" s="5" t="s">
        <v>23</v>
      </c>
      <c r="V45" s="6" t="e">
        <f>C45</f>
        <v>#REF!</v>
      </c>
      <c r="W45" s="6" t="str">
        <f>D45</f>
        <v>Total</v>
      </c>
    </row>
    <row r="46" spans="2:27" x14ac:dyDescent="0.2">
      <c r="B46" s="15" t="s">
        <v>18</v>
      </c>
      <c r="C46" s="16" t="s">
        <v>15</v>
      </c>
      <c r="D46" s="11"/>
      <c r="L46" s="15" t="s">
        <v>18</v>
      </c>
      <c r="M46" s="16" t="s">
        <v>15</v>
      </c>
      <c r="N46" s="11"/>
      <c r="U46" s="15" t="s">
        <v>18</v>
      </c>
      <c r="V46" s="16" t="s">
        <v>15</v>
      </c>
      <c r="W46" s="11"/>
    </row>
    <row r="47" spans="2:27" ht="25.5" x14ac:dyDescent="0.2">
      <c r="B47" s="3" t="s">
        <v>1</v>
      </c>
      <c r="C47" s="8" t="e">
        <f>COUNTIF(#REF!,$B47)</f>
        <v>#REF!</v>
      </c>
      <c r="D47" s="8" t="e">
        <f>SUM(C47:E47)</f>
        <v>#REF!</v>
      </c>
      <c r="L47" s="3" t="s">
        <v>1</v>
      </c>
      <c r="M47" s="8" t="e">
        <f>COUNTIF(#REF!,$B47)</f>
        <v>#REF!</v>
      </c>
      <c r="N47" s="8" t="e">
        <f>SUM(M47:O47)</f>
        <v>#REF!</v>
      </c>
      <c r="U47" s="3" t="s">
        <v>1</v>
      </c>
      <c r="V47" s="8" t="e">
        <f>COUNTIF(#REF!,$B47)</f>
        <v>#REF!</v>
      </c>
      <c r="W47" s="8" t="e">
        <f>SUM(V47:X47)</f>
        <v>#REF!</v>
      </c>
    </row>
    <row r="48" spans="2:27" ht="25.5" x14ac:dyDescent="0.2">
      <c r="B48" s="3" t="s">
        <v>2</v>
      </c>
      <c r="C48" s="8" t="e">
        <f>COUNTIF(#REF!,$B48)</f>
        <v>#REF!</v>
      </c>
      <c r="D48" s="8" t="e">
        <f>SUM(C48:E48)</f>
        <v>#REF!</v>
      </c>
      <c r="L48" s="3" t="s">
        <v>2</v>
      </c>
      <c r="M48" s="8" t="e">
        <f>COUNTIF(#REF!,$B48)</f>
        <v>#REF!</v>
      </c>
      <c r="N48" s="8" t="e">
        <f>SUM(M48:O48)</f>
        <v>#REF!</v>
      </c>
      <c r="U48" s="3" t="s">
        <v>2</v>
      </c>
      <c r="V48" s="8" t="e">
        <f>COUNTIF(#REF!,$B48)</f>
        <v>#REF!</v>
      </c>
      <c r="W48" s="8" t="e">
        <f>SUM(V48:X48)</f>
        <v>#REF!</v>
      </c>
    </row>
    <row r="49" spans="2:23" ht="25.5" x14ac:dyDescent="0.2">
      <c r="B49" s="3" t="s">
        <v>3</v>
      </c>
      <c r="C49" s="8" t="e">
        <f>COUNTIF(#REF!,$B49)</f>
        <v>#REF!</v>
      </c>
      <c r="D49" s="8" t="e">
        <f>SUM(C49:E49)</f>
        <v>#REF!</v>
      </c>
      <c r="L49" s="3" t="s">
        <v>3</v>
      </c>
      <c r="M49" s="8" t="e">
        <f>COUNTIF(#REF!,$B49)</f>
        <v>#REF!</v>
      </c>
      <c r="N49" s="8" t="e">
        <f>SUM(M49:O49)</f>
        <v>#REF!</v>
      </c>
      <c r="U49" s="3" t="s">
        <v>3</v>
      </c>
      <c r="V49" s="8" t="e">
        <f>COUNTIF(#REF!,$B49)</f>
        <v>#REF!</v>
      </c>
      <c r="W49" s="8" t="e">
        <f>SUM(V49:X49)</f>
        <v>#REF!</v>
      </c>
    </row>
    <row r="50" spans="2:23" x14ac:dyDescent="0.2">
      <c r="B50" s="3" t="s">
        <v>0</v>
      </c>
      <c r="C50" s="8" t="e">
        <f>COUNTIF(#REF!,$B50)</f>
        <v>#REF!</v>
      </c>
      <c r="D50" s="8" t="e">
        <f>SUM(C50:E50)</f>
        <v>#REF!</v>
      </c>
      <c r="L50" s="3" t="s">
        <v>0</v>
      </c>
      <c r="M50" s="8" t="e">
        <f>COUNTIF(#REF!,$B50)</f>
        <v>#REF!</v>
      </c>
      <c r="N50" s="8" t="e">
        <f>SUM(M50:O50)</f>
        <v>#REF!</v>
      </c>
      <c r="U50" s="3" t="s">
        <v>0</v>
      </c>
      <c r="V50" s="8" t="e">
        <f>COUNTIF(#REF!,$B50)</f>
        <v>#REF!</v>
      </c>
      <c r="W50" s="8" t="e">
        <f>SUM(V50:X50)</f>
        <v>#REF!</v>
      </c>
    </row>
    <row r="51" spans="2:23" x14ac:dyDescent="0.2">
      <c r="B51" s="3"/>
      <c r="C51" s="8"/>
      <c r="D51" s="8"/>
      <c r="L51" s="3"/>
      <c r="M51" s="8"/>
      <c r="N51" s="8"/>
      <c r="U51" s="3"/>
      <c r="V51" s="8"/>
      <c r="W51" s="8"/>
    </row>
    <row r="52" spans="2:23" ht="13.5" thickBot="1" x14ac:dyDescent="0.25">
      <c r="B52" s="4" t="s">
        <v>6</v>
      </c>
      <c r="C52" s="9" t="e">
        <f>SUM(C47:C50)</f>
        <v>#REF!</v>
      </c>
      <c r="D52" s="14" t="e">
        <f>SUM(C52:E52)</f>
        <v>#REF!</v>
      </c>
      <c r="L52" s="4" t="s">
        <v>6</v>
      </c>
      <c r="M52" s="9" t="e">
        <f>SUM(M47:M50)</f>
        <v>#REF!</v>
      </c>
      <c r="N52" s="14" t="e">
        <f>SUM(M52:O52)</f>
        <v>#REF!</v>
      </c>
      <c r="U52" s="4" t="s">
        <v>6</v>
      </c>
      <c r="V52" s="9" t="e">
        <f>SUM(V47:V50)</f>
        <v>#REF!</v>
      </c>
      <c r="W52" s="14" t="e">
        <f>SUM(V52:X52)</f>
        <v>#REF!</v>
      </c>
    </row>
    <row r="53" spans="2:23" ht="15" x14ac:dyDescent="0.25">
      <c r="M53" s="12" t="s">
        <v>24</v>
      </c>
      <c r="N53" s="19" t="e">
        <f>($D52-N52)/$D52</f>
        <v>#REF!</v>
      </c>
      <c r="V53" s="12" t="s">
        <v>24</v>
      </c>
      <c r="W53" s="18" t="e">
        <f>($D52-W52)/$D52</f>
        <v>#REF!</v>
      </c>
    </row>
    <row r="54" spans="2:23" s="13" customFormat="1" x14ac:dyDescent="0.2">
      <c r="B54" s="13" t="s">
        <v>7</v>
      </c>
    </row>
    <row r="56" spans="2:23" x14ac:dyDescent="0.2">
      <c r="B56" s="12" t="s">
        <v>10</v>
      </c>
    </row>
    <row r="58" spans="2:23" s="2" customFormat="1" ht="16.5" thickBot="1" x14ac:dyDescent="0.3">
      <c r="B58" s="2" t="s">
        <v>19</v>
      </c>
    </row>
    <row r="59" spans="2:23" ht="14.25" thickTop="1" thickBot="1" x14ac:dyDescent="0.25"/>
    <row r="60" spans="2:23" ht="13.5" thickBot="1" x14ac:dyDescent="0.25">
      <c r="B60" s="5" t="s">
        <v>4</v>
      </c>
      <c r="C60" s="6" t="s">
        <v>13</v>
      </c>
      <c r="D60" s="6" t="s">
        <v>6</v>
      </c>
    </row>
    <row r="61" spans="2:23" x14ac:dyDescent="0.2">
      <c r="B61" s="10"/>
      <c r="C61" s="16" t="s">
        <v>17</v>
      </c>
      <c r="D61" s="11"/>
    </row>
    <row r="62" spans="2:23" ht="25.5" x14ac:dyDescent="0.2">
      <c r="B62" s="3" t="s">
        <v>1</v>
      </c>
      <c r="C62" s="8"/>
      <c r="D62" s="8"/>
    </row>
    <row r="63" spans="2:23" ht="25.5" x14ac:dyDescent="0.2">
      <c r="B63" s="3" t="s">
        <v>2</v>
      </c>
      <c r="C63" s="8"/>
      <c r="D63" s="8"/>
    </row>
    <row r="64" spans="2:23" x14ac:dyDescent="0.2">
      <c r="B64" s="3" t="s">
        <v>3</v>
      </c>
      <c r="C64" s="8">
        <v>3</v>
      </c>
      <c r="D64" s="8">
        <f>C64</f>
        <v>3</v>
      </c>
    </row>
    <row r="65" spans="2:4" x14ac:dyDescent="0.2">
      <c r="B65" s="3" t="s">
        <v>0</v>
      </c>
      <c r="C65" s="8"/>
      <c r="D65" s="8"/>
    </row>
    <row r="66" spans="2:4" x14ac:dyDescent="0.2">
      <c r="B66" s="3"/>
      <c r="C66" s="8"/>
      <c r="D66" s="8"/>
    </row>
    <row r="67" spans="2:4" ht="13.5" thickBot="1" x14ac:dyDescent="0.25">
      <c r="B67" s="4" t="s">
        <v>6</v>
      </c>
      <c r="C67" s="9">
        <f>SUM(C62:C65)</f>
        <v>3</v>
      </c>
      <c r="D67" s="14">
        <f>C67</f>
        <v>3</v>
      </c>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F598-0C69-4F27-A1BE-08DF87B29955}">
  <sheetPr>
    <tabColor theme="8" tint="0.79998168889431442"/>
  </sheetPr>
  <dimension ref="B1:L251"/>
  <sheetViews>
    <sheetView showGridLines="0" zoomScaleNormal="100" workbookViewId="0">
      <pane ySplit="9" topLeftCell="A10" activePane="bottomLeft" state="frozen"/>
      <selection pane="bottomLeft" activeCell="L43" sqref="L43"/>
    </sheetView>
  </sheetViews>
  <sheetFormatPr baseColWidth="10" defaultColWidth="8.7109375" defaultRowHeight="12.75" x14ac:dyDescent="0.2"/>
  <cols>
    <col min="1" max="1" width="1.7109375" style="24" customWidth="1"/>
    <col min="2" max="2" width="8.7109375" style="24"/>
    <col min="3" max="3" width="47.28515625" style="24" customWidth="1"/>
    <col min="4" max="4" width="18.85546875" style="24" customWidth="1"/>
    <col min="5" max="5" width="5" style="24" customWidth="1"/>
    <col min="6" max="7" width="18.85546875" style="24" customWidth="1"/>
    <col min="8" max="8" width="13.140625" style="24" customWidth="1"/>
    <col min="9" max="11" width="18.85546875" style="24" customWidth="1"/>
    <col min="12" max="12" width="13.140625" style="24" customWidth="1"/>
    <col min="13" max="16384" width="8.7109375" style="24"/>
  </cols>
  <sheetData>
    <row r="1" spans="2:12" s="1" customFormat="1" ht="20.25" x14ac:dyDescent="0.3">
      <c r="B1" s="1" t="s">
        <v>174</v>
      </c>
    </row>
    <row r="3" spans="2:12" ht="20.100000000000001" customHeight="1" x14ac:dyDescent="0.2">
      <c r="C3" s="34" t="s">
        <v>53</v>
      </c>
    </row>
    <row r="5" spans="2:12" x14ac:dyDescent="0.2">
      <c r="C5" s="44" t="s">
        <v>54</v>
      </c>
      <c r="D5" s="158" t="s">
        <v>55</v>
      </c>
      <c r="E5" s="132"/>
      <c r="F5" s="158" t="s">
        <v>56</v>
      </c>
    </row>
    <row r="6" spans="2:12" x14ac:dyDescent="0.2">
      <c r="C6"/>
      <c r="D6" s="150">
        <f>Supuestos!$C$5</f>
        <v>44197</v>
      </c>
      <c r="E6" s="132"/>
      <c r="F6" s="150">
        <f>Supuestos!$C$6</f>
        <v>44286</v>
      </c>
    </row>
    <row r="7" spans="2:12" x14ac:dyDescent="0.2">
      <c r="C7"/>
    </row>
    <row r="8" spans="2:12" x14ac:dyDescent="0.2">
      <c r="C8" s="75" t="s">
        <v>57</v>
      </c>
      <c r="D8" s="227" t="s">
        <v>179</v>
      </c>
      <c r="E8" s="227"/>
      <c r="F8" s="227"/>
      <c r="G8" s="227"/>
      <c r="H8" s="122"/>
      <c r="I8" s="227" t="s">
        <v>180</v>
      </c>
      <c r="J8" s="227"/>
      <c r="K8" s="227"/>
      <c r="L8" s="123"/>
    </row>
    <row r="9" spans="2:12" ht="25.5" x14ac:dyDescent="0.2">
      <c r="C9" s="75"/>
      <c r="D9" s="126" t="s">
        <v>175</v>
      </c>
      <c r="E9" s="125"/>
      <c r="F9" s="125" t="s">
        <v>176</v>
      </c>
      <c r="G9" s="125" t="s">
        <v>177</v>
      </c>
      <c r="H9" s="125"/>
      <c r="I9" s="125" t="s">
        <v>176</v>
      </c>
      <c r="J9" s="125" t="s">
        <v>177</v>
      </c>
      <c r="K9" s="126" t="s">
        <v>178</v>
      </c>
      <c r="L9" s="124"/>
    </row>
    <row r="10" spans="2:12" x14ac:dyDescent="0.2">
      <c r="C10" s="135" t="str">
        <f>Supuestos!$B$84</f>
        <v>Todos los segmentos</v>
      </c>
      <c r="D10" s="136">
        <f>SUM(D11:D33)</f>
        <v>20250000</v>
      </c>
      <c r="E10" s="136"/>
      <c r="F10" s="136">
        <f t="shared" ref="F10:G10" si="0">SUM(F11:F33)</f>
        <v>2025000</v>
      </c>
      <c r="G10" s="136">
        <f t="shared" si="0"/>
        <v>18225000</v>
      </c>
      <c r="H10" s="137"/>
      <c r="I10" s="136">
        <f>+F10</f>
        <v>2025000</v>
      </c>
      <c r="J10" s="136">
        <f>SUM(J11:J33)</f>
        <v>32148.224630096971</v>
      </c>
      <c r="K10" s="136">
        <f>SUM(K11:K33)</f>
        <v>1136837128</v>
      </c>
    </row>
    <row r="11" spans="2:12" x14ac:dyDescent="0.2">
      <c r="C11" s="24" t="str">
        <f>'Informacion del AEP'!C79</f>
        <v>Acceso a Internet</v>
      </c>
      <c r="D11" s="131">
        <f>INDEX('Informacion del AEP'!$D$79:$N$102,MATCH('Costos aguas abajo'!$C11,'Informacion del AEP'!$C$79:$C$102,0),MATCH('Costos aguas abajo'!$C$10,'Informacion del AEP'!$D$78:$N$78,0))</f>
        <v>10000</v>
      </c>
      <c r="F11" s="133">
        <f>D11*Supuestos!$C31</f>
        <v>1000</v>
      </c>
      <c r="G11" s="133">
        <f>D11*(1-Supuestos!$C31)</f>
        <v>9000</v>
      </c>
      <c r="I11" s="133">
        <f>+F11</f>
        <v>1000</v>
      </c>
      <c r="J11" s="133">
        <f>G11*Supuestos!$C$26</f>
        <v>15.875666483998504</v>
      </c>
      <c r="K11" s="133">
        <f>(I11+J11)*(1/Supuestos!$C$26)</f>
        <v>575905.33333333337</v>
      </c>
    </row>
    <row r="12" spans="2:12" x14ac:dyDescent="0.2">
      <c r="C12" s="24" t="str">
        <f>'Informacion del AEP'!C80</f>
        <v>Servicios OTT de vídeo</v>
      </c>
      <c r="D12" s="131">
        <f>INDEX('Informacion del AEP'!$D$79:$N$102,MATCH('Costos aguas abajo'!$C12,'Informacion del AEP'!$C$79:$C$102,0),MATCH('Costos aguas abajo'!$C$10,'Informacion del AEP'!$D$78:$N$78,0))</f>
        <v>500000</v>
      </c>
      <c r="F12" s="133">
        <f>D12*Supuestos!$C32</f>
        <v>50000</v>
      </c>
      <c r="G12" s="133">
        <f>D12*(1-Supuestos!$C32)</f>
        <v>450000</v>
      </c>
      <c r="I12" s="133">
        <f t="shared" ref="I12:I33" si="1">+F12</f>
        <v>50000</v>
      </c>
      <c r="J12" s="133">
        <f>G12*Supuestos!$C$26</f>
        <v>793.78332419992523</v>
      </c>
      <c r="K12" s="133">
        <f>-K11</f>
        <v>-575905.33333333337</v>
      </c>
    </row>
    <row r="13" spans="2:12" x14ac:dyDescent="0.2">
      <c r="C13" s="24" t="str">
        <f>'Informacion del AEP'!C81</f>
        <v>Servicios OTT de audio</v>
      </c>
      <c r="D13" s="131">
        <f>INDEX('Informacion del AEP'!$D$79:$N$102,MATCH('Costos aguas abajo'!$C13,'Informacion del AEP'!$C$79:$C$102,0),MATCH('Costos aguas abajo'!$C$10,'Informacion del AEP'!$D$78:$N$78,0))</f>
        <v>500000</v>
      </c>
      <c r="F13" s="133">
        <f>D13*Supuestos!$C33</f>
        <v>50000</v>
      </c>
      <c r="G13" s="133">
        <f>D13*(1-Supuestos!$C33)</f>
        <v>450000</v>
      </c>
      <c r="I13" s="133">
        <f t="shared" si="1"/>
        <v>50000</v>
      </c>
      <c r="J13" s="133">
        <f>G13*Supuestos!$C$26</f>
        <v>793.78332419992523</v>
      </c>
      <c r="K13" s="133">
        <f>(I13+J13)*(1/Supuestos!$C$26)</f>
        <v>28795266.666666668</v>
      </c>
    </row>
    <row r="14" spans="2:12" x14ac:dyDescent="0.2">
      <c r="C14" s="24" t="str">
        <f>'Informacion del AEP'!C82</f>
        <v>Comerciales</v>
      </c>
      <c r="D14" s="131">
        <f>INDEX('Informacion del AEP'!$D$79:$N$102,MATCH('Costos aguas abajo'!$C14,'Informacion del AEP'!$C$79:$C$102,0),MATCH('Costos aguas abajo'!$C$10,'Informacion del AEP'!$D$78:$N$78,0))</f>
        <v>1000000</v>
      </c>
      <c r="F14" s="133">
        <f>D14*Supuestos!$C34</f>
        <v>100000</v>
      </c>
      <c r="G14" s="133">
        <f>D14*(1-Supuestos!$C34)</f>
        <v>900000</v>
      </c>
      <c r="I14" s="133">
        <f t="shared" si="1"/>
        <v>100000</v>
      </c>
      <c r="J14" s="133">
        <f>G14*Supuestos!$C$26</f>
        <v>1587.5666483998505</v>
      </c>
      <c r="K14" s="133">
        <f>(I14+J14)*(1/Supuestos!$C$26)</f>
        <v>57590533.333333336</v>
      </c>
    </row>
    <row r="15" spans="2:12" x14ac:dyDescent="0.2">
      <c r="C15" s="24" t="str">
        <f>'Informacion del AEP'!C83</f>
        <v>Facturación</v>
      </c>
      <c r="D15" s="131">
        <f>INDEX('Informacion del AEP'!$D$79:$N$102,MATCH('Costos aguas abajo'!$C15,'Informacion del AEP'!$C$79:$C$102,0),MATCH('Costos aguas abajo'!$C$10,'Informacion del AEP'!$D$78:$N$78,0))</f>
        <v>1000000</v>
      </c>
      <c r="F15" s="133">
        <f>D15*Supuestos!$C35</f>
        <v>100000</v>
      </c>
      <c r="G15" s="133">
        <f>D15*(1-Supuestos!$C35)</f>
        <v>900000</v>
      </c>
      <c r="I15" s="133">
        <f t="shared" si="1"/>
        <v>100000</v>
      </c>
      <c r="J15" s="133">
        <f>G15*Supuestos!$C$26</f>
        <v>1587.5666483998505</v>
      </c>
      <c r="K15" s="133">
        <f>(I15+J15)*(1/Supuestos!$C$26)</f>
        <v>57590533.333333336</v>
      </c>
    </row>
    <row r="16" spans="2:12" x14ac:dyDescent="0.2">
      <c r="C16" s="24" t="str">
        <f>'Informacion del AEP'!C84</f>
        <v>Cobranza</v>
      </c>
      <c r="D16" s="131">
        <f>INDEX('Informacion del AEP'!$D$79:$N$102,MATCH('Costos aguas abajo'!$C16,'Informacion del AEP'!$C$79:$C$102,0),MATCH('Costos aguas abajo'!$C$10,'Informacion del AEP'!$D$78:$N$78,0))</f>
        <v>1000000</v>
      </c>
      <c r="F16" s="133">
        <f>D16*Supuestos!$C36</f>
        <v>100000</v>
      </c>
      <c r="G16" s="133">
        <f>D16*(1-Supuestos!$C36)</f>
        <v>900000</v>
      </c>
      <c r="I16" s="133">
        <f t="shared" si="1"/>
        <v>100000</v>
      </c>
      <c r="J16" s="133">
        <f>G16*Supuestos!$C$26</f>
        <v>1587.5666483998505</v>
      </c>
      <c r="K16" s="133">
        <f>(I16+J16)*(1/Supuestos!$C$26)</f>
        <v>57590533.333333336</v>
      </c>
    </row>
    <row r="17" spans="3:11" x14ac:dyDescent="0.2">
      <c r="C17" s="24" t="str">
        <f>'Informacion del AEP'!C85</f>
        <v>Tasas e impuestos</v>
      </c>
      <c r="D17" s="131">
        <f>INDEX('Informacion del AEP'!$D$79:$N$102,MATCH('Costos aguas abajo'!$C17,'Informacion del AEP'!$C$79:$C$102,0),MATCH('Costos aguas abajo'!$C$10,'Informacion del AEP'!$D$78:$N$78,0))</f>
        <v>1000000</v>
      </c>
      <c r="F17" s="133">
        <f>D17*Supuestos!$C37</f>
        <v>100000</v>
      </c>
      <c r="G17" s="133">
        <f>D17*(1-Supuestos!$C37)</f>
        <v>900000</v>
      </c>
      <c r="I17" s="133">
        <f t="shared" si="1"/>
        <v>100000</v>
      </c>
      <c r="J17" s="133">
        <f>G17*Supuestos!$C$26</f>
        <v>1587.5666483998505</v>
      </c>
      <c r="K17" s="133">
        <f>(I17+J17)*(1/Supuestos!$C$26)</f>
        <v>57590533.333333336</v>
      </c>
    </row>
    <row r="18" spans="3:11" x14ac:dyDescent="0.2">
      <c r="C18" s="24" t="str">
        <f>'Informacion del AEP'!C86</f>
        <v>Programas de fidelización</v>
      </c>
      <c r="D18" s="131">
        <f>INDEX('Informacion del AEP'!$D$79:$N$102,MATCH('Costos aguas abajo'!$C18,'Informacion del AEP'!$C$79:$C$102,0),MATCH('Costos aguas abajo'!$C$10,'Informacion del AEP'!$D$78:$N$78,0))</f>
        <v>1000000</v>
      </c>
      <c r="F18" s="133">
        <f>D18*Supuestos!$C38</f>
        <v>100000</v>
      </c>
      <c r="G18" s="133">
        <f>D18*(1-Supuestos!$C38)</f>
        <v>900000</v>
      </c>
      <c r="I18" s="133">
        <f t="shared" si="1"/>
        <v>100000</v>
      </c>
      <c r="J18" s="133">
        <f>G18*Supuestos!$C$26</f>
        <v>1587.5666483998505</v>
      </c>
      <c r="K18" s="133">
        <f>(I18+J18)*(1/Supuestos!$C$26)</f>
        <v>57590533.333333336</v>
      </c>
    </row>
    <row r="19" spans="3:11" x14ac:dyDescent="0.2">
      <c r="C19" s="24" t="str">
        <f>'Informacion del AEP'!C87</f>
        <v>Acceso internet internacional</v>
      </c>
      <c r="D19" s="131">
        <f>INDEX('Informacion del AEP'!$D$79:$N$102,MATCH('Costos aguas abajo'!$C19,'Informacion del AEP'!$C$79:$C$102,0),MATCH('Costos aguas abajo'!$C$10,'Informacion del AEP'!$D$78:$N$78,0))</f>
        <v>1000000</v>
      </c>
      <c r="F19" s="133">
        <f>D19*Supuestos!$C39</f>
        <v>100000</v>
      </c>
      <c r="G19" s="133">
        <f>D19*(1-Supuestos!$C39)</f>
        <v>900000</v>
      </c>
      <c r="I19" s="133">
        <f t="shared" si="1"/>
        <v>100000</v>
      </c>
      <c r="J19" s="133">
        <f>G19*Supuestos!$C$26</f>
        <v>1587.5666483998505</v>
      </c>
      <c r="K19" s="133">
        <f>(I19+J19)*(1/Supuestos!$C$26)</f>
        <v>57590533.333333336</v>
      </c>
    </row>
    <row r="20" spans="3:11" x14ac:dyDescent="0.2">
      <c r="C20" s="24" t="str">
        <f>'Informacion del AEP'!C88</f>
        <v>Terminación en destinos nacionales-fijo</v>
      </c>
      <c r="D20" s="131">
        <f>INDEX('Informacion del AEP'!$D$79:$N$102,MATCH('Costos aguas abajo'!$C20,'Informacion del AEP'!$C$79:$C$102,0),MATCH('Costos aguas abajo'!$C$10,'Informacion del AEP'!$D$78:$N$78,0))</f>
        <v>1000000</v>
      </c>
      <c r="F20" s="133">
        <f>D20*Supuestos!$C40</f>
        <v>100000</v>
      </c>
      <c r="G20" s="133">
        <f>D20*(1-Supuestos!$C40)</f>
        <v>900000</v>
      </c>
      <c r="I20" s="133">
        <f t="shared" si="1"/>
        <v>100000</v>
      </c>
      <c r="J20" s="133">
        <f>G20*Supuestos!$C$26</f>
        <v>1587.5666483998505</v>
      </c>
      <c r="K20" s="133">
        <f>(I20+J20)*(1/Supuestos!$C$26)</f>
        <v>57590533.333333336</v>
      </c>
    </row>
    <row r="21" spans="3:11" x14ac:dyDescent="0.2">
      <c r="C21" s="24" t="str">
        <f>'Informacion del AEP'!C89</f>
        <v>Terminación en destinos nacionales-móvil</v>
      </c>
      <c r="D21" s="131">
        <f>INDEX('Informacion del AEP'!$D$79:$N$102,MATCH('Costos aguas abajo'!$C21,'Informacion del AEP'!$C$79:$C$102,0),MATCH('Costos aguas abajo'!$C$10,'Informacion del AEP'!$D$78:$N$78,0))</f>
        <v>1000000</v>
      </c>
      <c r="F21" s="133">
        <f>D21*Supuestos!$C41</f>
        <v>100000</v>
      </c>
      <c r="G21" s="133">
        <f>D21*(1-Supuestos!$C41)</f>
        <v>900000</v>
      </c>
      <c r="I21" s="133">
        <f t="shared" si="1"/>
        <v>100000</v>
      </c>
      <c r="J21" s="133">
        <f>G21*Supuestos!$C$26</f>
        <v>1587.5666483998505</v>
      </c>
      <c r="K21" s="133">
        <f>(I21+J21)*(1/Supuestos!$C$26)</f>
        <v>57590533.333333336</v>
      </c>
    </row>
    <row r="22" spans="3:11" x14ac:dyDescent="0.2">
      <c r="C22" s="24" t="str">
        <f>'Informacion del AEP'!C90</f>
        <v>Terminación en destinos nacionales-mensajes</v>
      </c>
      <c r="D22" s="131">
        <f>INDEX('Informacion del AEP'!$D$79:$N$102,MATCH('Costos aguas abajo'!$C22,'Informacion del AEP'!$C$79:$C$102,0),MATCH('Costos aguas abajo'!$C$10,'Informacion del AEP'!$D$78:$N$78,0))</f>
        <v>4000000</v>
      </c>
      <c r="F22" s="133">
        <f>D22*Supuestos!$C42</f>
        <v>400000</v>
      </c>
      <c r="G22" s="133">
        <f>D22*(1-Supuestos!$C42)</f>
        <v>3600000</v>
      </c>
      <c r="I22" s="133">
        <f t="shared" si="1"/>
        <v>400000</v>
      </c>
      <c r="J22" s="133">
        <f>G22*Supuestos!$C$26</f>
        <v>6350.2665935994019</v>
      </c>
      <c r="K22" s="133">
        <f>(I22+J22)*(1/Supuestos!$C$26)</f>
        <v>230362133.33333334</v>
      </c>
    </row>
    <row r="23" spans="3:11" x14ac:dyDescent="0.2">
      <c r="C23" s="24" t="str">
        <f>'Informacion del AEP'!C91</f>
        <v>Terminación en destinos internacionales</v>
      </c>
      <c r="D23" s="131">
        <f>INDEX('Informacion del AEP'!$D$79:$N$102,MATCH('Costos aguas abajo'!$C23,'Informacion del AEP'!$C$79:$C$102,0),MATCH('Costos aguas abajo'!$C$10,'Informacion del AEP'!$D$78:$N$78,0))</f>
        <v>600000</v>
      </c>
      <c r="F23" s="133">
        <f>D23*Supuestos!$C43</f>
        <v>60000</v>
      </c>
      <c r="G23" s="133">
        <f>D23*(1-Supuestos!$C43)</f>
        <v>540000</v>
      </c>
      <c r="I23" s="133">
        <f t="shared" si="1"/>
        <v>60000</v>
      </c>
      <c r="J23" s="133">
        <f>G23*Supuestos!$C$26</f>
        <v>952.53998903991021</v>
      </c>
      <c r="K23" s="133">
        <f>(I23+J23)*(1/Supuestos!$C$26)</f>
        <v>34554320.000000007</v>
      </c>
    </row>
    <row r="24" spans="3:11" x14ac:dyDescent="0.2">
      <c r="C24" s="24" t="str">
        <f>'Informacion del AEP'!C92</f>
        <v>Terminación en destinos internacionales-mensajes</v>
      </c>
      <c r="D24" s="131">
        <f>INDEX('Informacion del AEP'!$D$79:$N$102,MATCH('Costos aguas abajo'!$C24,'Informacion del AEP'!$C$79:$C$102,0),MATCH('Costos aguas abajo'!$C$10,'Informacion del AEP'!$D$78:$N$78,0))</f>
        <v>600000</v>
      </c>
      <c r="F24" s="133">
        <f>D24*Supuestos!$C44</f>
        <v>60000</v>
      </c>
      <c r="G24" s="133">
        <f>D24*(1-Supuestos!$C44)</f>
        <v>540000</v>
      </c>
      <c r="I24" s="133">
        <f t="shared" si="1"/>
        <v>60000</v>
      </c>
      <c r="J24" s="133">
        <f>G24*Supuestos!$C$26</f>
        <v>952.53998903991021</v>
      </c>
      <c r="K24" s="133">
        <f>(I24+J24)*(1/Supuestos!$C$26)</f>
        <v>34554320.000000007</v>
      </c>
    </row>
    <row r="25" spans="3:11" x14ac:dyDescent="0.2">
      <c r="C25" s="24" t="str">
        <f>'Informacion del AEP'!C93</f>
        <v>Roaming internacional - voz - outbound</v>
      </c>
      <c r="D25" s="131">
        <f>INDEX('Informacion del AEP'!$D$79:$N$102,MATCH('Costos aguas abajo'!$C25,'Informacion del AEP'!$C$79:$C$102,0),MATCH('Costos aguas abajo'!$C$10,'Informacion del AEP'!$D$78:$N$78,0))</f>
        <v>30000</v>
      </c>
      <c r="F25" s="133">
        <f>D25*Supuestos!$C45</f>
        <v>3000</v>
      </c>
      <c r="G25" s="133">
        <f>D25*(1-Supuestos!$C45)</f>
        <v>27000</v>
      </c>
      <c r="I25" s="133">
        <f t="shared" si="1"/>
        <v>3000</v>
      </c>
      <c r="J25" s="133">
        <f>G25*Supuestos!$C$26</f>
        <v>47.626999451995509</v>
      </c>
      <c r="K25" s="133">
        <f>(I25+J25)*(1/Supuestos!$C$26)</f>
        <v>1727716</v>
      </c>
    </row>
    <row r="26" spans="3:11" x14ac:dyDescent="0.2">
      <c r="C26" s="24" t="str">
        <f>'Informacion del AEP'!C94</f>
        <v>Roaming internacional - mensajes - outbound</v>
      </c>
      <c r="D26" s="131">
        <f>INDEX('Informacion del AEP'!$D$79:$N$102,MATCH('Costos aguas abajo'!$C26,'Informacion del AEP'!$C$79:$C$102,0),MATCH('Costos aguas abajo'!$C$10,'Informacion del AEP'!$D$78:$N$78,0))</f>
        <v>10000</v>
      </c>
      <c r="F26" s="133">
        <f>D26*Supuestos!$C46</f>
        <v>1000</v>
      </c>
      <c r="G26" s="133">
        <f>D26*(1-Supuestos!$C46)</f>
        <v>9000</v>
      </c>
      <c r="I26" s="133">
        <f t="shared" si="1"/>
        <v>1000</v>
      </c>
      <c r="J26" s="133">
        <f>G26*Supuestos!$C$26</f>
        <v>15.875666483998504</v>
      </c>
      <c r="K26" s="133">
        <f>(I26+J26)*(1/Supuestos!$C$26)</f>
        <v>575905.33333333337</v>
      </c>
    </row>
    <row r="27" spans="3:11" x14ac:dyDescent="0.2">
      <c r="C27" s="24" t="str">
        <f>'Informacion del AEP'!C95</f>
        <v>Roaming internacional - datos - outbound</v>
      </c>
      <c r="D27" s="131">
        <f>INDEX('Informacion del AEP'!$D$79:$N$102,MATCH('Costos aguas abajo'!$C27,'Informacion del AEP'!$C$79:$C$102,0),MATCH('Costos aguas abajo'!$C$10,'Informacion del AEP'!$D$78:$N$78,0))</f>
        <v>500000</v>
      </c>
      <c r="F27" s="133">
        <f>D27*Supuestos!$C47</f>
        <v>50000</v>
      </c>
      <c r="G27" s="133">
        <f>D27*(1-Supuestos!$C47)</f>
        <v>450000</v>
      </c>
      <c r="I27" s="133">
        <f t="shared" si="1"/>
        <v>50000</v>
      </c>
      <c r="J27" s="133">
        <f>G27*Supuestos!$C$26</f>
        <v>793.78332419992523</v>
      </c>
      <c r="K27" s="133">
        <f>(I27+J27)*(1/Supuestos!$C$26)</f>
        <v>28795266.666666668</v>
      </c>
    </row>
    <row r="28" spans="3:11" x14ac:dyDescent="0.2">
      <c r="C28" s="24" t="str">
        <f>'Informacion del AEP'!C96</f>
        <v>Provisiones</v>
      </c>
      <c r="D28" s="131">
        <f>INDEX('Informacion del AEP'!$D$79:$N$102,MATCH('Costos aguas abajo'!$C28,'Informacion del AEP'!$C$79:$C$102,0),MATCH('Costos aguas abajo'!$C$10,'Informacion del AEP'!$D$78:$N$78,0))</f>
        <v>500000</v>
      </c>
      <c r="F28" s="133">
        <f>D28*Supuestos!$C48</f>
        <v>50000</v>
      </c>
      <c r="G28" s="133">
        <f>D28*(1-Supuestos!$C48)</f>
        <v>450000</v>
      </c>
      <c r="I28" s="133">
        <f t="shared" si="1"/>
        <v>50000</v>
      </c>
      <c r="J28" s="133">
        <f>G28*Supuestos!$C$26</f>
        <v>793.78332419992523</v>
      </c>
      <c r="K28" s="133">
        <f>(I28+J28)*(1/Supuestos!$C$26)</f>
        <v>28795266.666666668</v>
      </c>
    </row>
    <row r="29" spans="3:11" x14ac:dyDescent="0.2">
      <c r="C29" s="24" t="str">
        <f>'Informacion del AEP'!C97</f>
        <v>Costos directos de la venta de terminales</v>
      </c>
      <c r="D29" s="131">
        <f>INDEX('Informacion del AEP'!$D$79:$N$102,MATCH('Costos aguas abajo'!$C29,'Informacion del AEP'!$C$79:$C$102,0),MATCH('Costos aguas abajo'!$C$10,'Informacion del AEP'!$D$78:$N$78,0))</f>
        <v>1000000</v>
      </c>
      <c r="F29" s="133">
        <f>D29*Supuestos!$C49</f>
        <v>100000</v>
      </c>
      <c r="G29" s="133">
        <f>D29*(1-Supuestos!$C49)</f>
        <v>900000</v>
      </c>
      <c r="I29" s="133">
        <f t="shared" si="1"/>
        <v>100000</v>
      </c>
      <c r="J29" s="133">
        <f>G29*Supuestos!$C$26</f>
        <v>1587.5666483998505</v>
      </c>
      <c r="K29" s="133">
        <f>(I29+J29)*(1/Supuestos!$C$26)</f>
        <v>57590533.333333336</v>
      </c>
    </row>
    <row r="30" spans="3:11" x14ac:dyDescent="0.2">
      <c r="C30" s="24" t="str">
        <f>'Informacion del AEP'!C98</f>
        <v>Servicios generales y de gestión - minoristas</v>
      </c>
      <c r="D30" s="131">
        <f>INDEX('Informacion del AEP'!$D$79:$N$102,MATCH('Costos aguas abajo'!$C30,'Informacion del AEP'!$C$79:$C$102,0),MATCH('Costos aguas abajo'!$C$10,'Informacion del AEP'!$D$78:$N$78,0))</f>
        <v>1000000</v>
      </c>
      <c r="F30" s="133">
        <f>D30*Supuestos!$C50</f>
        <v>100000</v>
      </c>
      <c r="G30" s="133">
        <f>D30*(1-Supuestos!$C50)</f>
        <v>900000</v>
      </c>
      <c r="I30" s="133">
        <f t="shared" si="1"/>
        <v>100000</v>
      </c>
      <c r="J30" s="133">
        <f>G30*Supuestos!$C$26</f>
        <v>1587.5666483998505</v>
      </c>
      <c r="K30" s="133">
        <f>(I30+J30)*(1/Supuestos!$C$26)</f>
        <v>57590533.333333336</v>
      </c>
    </row>
    <row r="31" spans="3:11" x14ac:dyDescent="0.2">
      <c r="C31" s="24" t="str">
        <f>'Informacion del AEP'!C99</f>
        <v>Servicios generales y de gestión - red</v>
      </c>
      <c r="D31" s="131">
        <f>INDEX('Informacion del AEP'!$D$79:$N$102,MATCH('Costos aguas abajo'!$C31,'Informacion del AEP'!$C$79:$C$102,0),MATCH('Costos aguas abajo'!$C$10,'Informacion del AEP'!$D$78:$N$78,0))</f>
        <v>1000000</v>
      </c>
      <c r="F31" s="133">
        <f>D31*Supuestos!$C51</f>
        <v>100000</v>
      </c>
      <c r="G31" s="133">
        <f>D31*(1-Supuestos!$C51)</f>
        <v>900000</v>
      </c>
      <c r="I31" s="133">
        <f t="shared" si="1"/>
        <v>100000</v>
      </c>
      <c r="J31" s="133">
        <f>G31*Supuestos!$C$26</f>
        <v>1587.5666483998505</v>
      </c>
      <c r="K31" s="133">
        <f>(I31+J31)*(1/Supuestos!$C$26)</f>
        <v>57590533.333333336</v>
      </c>
    </row>
    <row r="32" spans="3:11" x14ac:dyDescent="0.2">
      <c r="C32" s="24" t="str">
        <f>'Informacion del AEP'!C100</f>
        <v xml:space="preserve">Servicios generales y de gestión - negocio </v>
      </c>
      <c r="D32" s="131">
        <f>INDEX('Informacion del AEP'!$D$79:$N$102,MATCH('Costos aguas abajo'!$C32,'Informacion del AEP'!$C$79:$C$102,0),MATCH('Costos aguas abajo'!$C$10,'Informacion del AEP'!$D$78:$N$78,0))</f>
        <v>1000000</v>
      </c>
      <c r="F32" s="133">
        <f>D32*Supuestos!$C52</f>
        <v>100000</v>
      </c>
      <c r="G32" s="133">
        <f>D32*(1-Supuestos!$C52)</f>
        <v>900000</v>
      </c>
      <c r="I32" s="133">
        <f t="shared" si="1"/>
        <v>100000</v>
      </c>
      <c r="J32" s="133">
        <f>G32*Supuestos!$C$26</f>
        <v>1587.5666483998505</v>
      </c>
      <c r="K32" s="133">
        <f>(I32+J32)*(1/Supuestos!$C$26)</f>
        <v>57590533.333333336</v>
      </c>
    </row>
    <row r="33" spans="3:11" x14ac:dyDescent="0.2">
      <c r="C33" s="24" t="str">
        <f>'Informacion del AEP'!C101</f>
        <v>Costo del Capital</v>
      </c>
      <c r="D33" s="131">
        <f>INDEX('Informacion del AEP'!$D$79:$N$102,MATCH('Costos aguas abajo'!$C33,'Informacion del AEP'!$C$79:$C$102,0),MATCH('Costos aguas abajo'!$C$10,'Informacion del AEP'!$D$78:$N$78,0))</f>
        <v>1000000</v>
      </c>
      <c r="F33" s="133">
        <f>D33*Supuestos!$C53</f>
        <v>100000</v>
      </c>
      <c r="G33" s="133">
        <f>D33*(1-Supuestos!$C53)</f>
        <v>900000</v>
      </c>
      <c r="I33" s="133">
        <f t="shared" si="1"/>
        <v>100000</v>
      </c>
      <c r="J33" s="133">
        <f>G33*Supuestos!$C$26</f>
        <v>1587.5666483998505</v>
      </c>
      <c r="K33" s="133">
        <f>(I33+J33)*(1/Supuestos!$C$26)</f>
        <v>57590533.333333336</v>
      </c>
    </row>
    <row r="35" spans="3:11" x14ac:dyDescent="0.2">
      <c r="C35" s="134" t="s">
        <v>82</v>
      </c>
      <c r="D35" s="72" t="str">
        <f>IF(D10='Informacion del AEP'!F102,"Ok","Error")</f>
        <v>Ok</v>
      </c>
    </row>
    <row r="37" spans="3:11" x14ac:dyDescent="0.2">
      <c r="C37" s="135" t="str">
        <f>Supuestos!$B$85</f>
        <v>Segmento Prepago</v>
      </c>
      <c r="D37" s="136">
        <f>SUM(D38:D60)</f>
        <v>6749999.9999999991</v>
      </c>
      <c r="E37" s="137"/>
      <c r="F37" s="136">
        <f t="shared" ref="F37:G37" si="2">SUM(F38:F60)</f>
        <v>675000.00000000023</v>
      </c>
      <c r="G37" s="136">
        <f t="shared" si="2"/>
        <v>6075000</v>
      </c>
      <c r="H37" s="137"/>
      <c r="I37" s="136">
        <f>+F37</f>
        <v>675000.00000000023</v>
      </c>
      <c r="J37" s="136">
        <f>SUM(J38:J60)</f>
        <v>10716.074876698989</v>
      </c>
      <c r="K37" s="136">
        <f>SUM(K38:K60)</f>
        <v>388736099.99999988</v>
      </c>
    </row>
    <row r="38" spans="3:11" x14ac:dyDescent="0.2">
      <c r="C38" s="24" t="str">
        <f>'Informacion del AEP'!C79</f>
        <v>Acceso a Internet</v>
      </c>
      <c r="D38" s="131">
        <f>INDEX('Informacion del AEP'!$D$79:$N$102,MATCH('Costos aguas abajo'!$C38,'Informacion del AEP'!$C$79:$C$102,0),MATCH('Costos aguas abajo'!$C$37,'Informacion del AEP'!$D$78:$N$78,0))</f>
        <v>3333.3333333333335</v>
      </c>
      <c r="F38" s="133">
        <f>D38*Supuestos!$C31</f>
        <v>333.33333333333337</v>
      </c>
      <c r="G38" s="133">
        <f>D38*(1-Supuestos!$C31)</f>
        <v>3000</v>
      </c>
      <c r="I38" s="133">
        <f>+F38</f>
        <v>333.33333333333337</v>
      </c>
      <c r="J38" s="133">
        <f>G38*Supuestos!$C$26</f>
        <v>5.2918888279995011</v>
      </c>
      <c r="K38" s="133">
        <f>(I38+J38)*(1/Supuestos!$C$26)</f>
        <v>191968.4444444445</v>
      </c>
    </row>
    <row r="39" spans="3:11" x14ac:dyDescent="0.2">
      <c r="C39" s="24" t="str">
        <f>'Informacion del AEP'!C80</f>
        <v>Servicios OTT de vídeo</v>
      </c>
      <c r="D39" s="131">
        <f>INDEX('Informacion del AEP'!$D$79:$N$102,MATCH('Costos aguas abajo'!$C39,'Informacion del AEP'!$C$79:$C$102,0),MATCH('Costos aguas abajo'!$C$37,'Informacion del AEP'!$D$78:$N$78,0))</f>
        <v>166666.66666666666</v>
      </c>
      <c r="F39" s="133">
        <f>D39*Supuestos!$C32</f>
        <v>16666.666666666668</v>
      </c>
      <c r="G39" s="133">
        <f>D39*(1-Supuestos!$C32)</f>
        <v>150000</v>
      </c>
      <c r="I39" s="133">
        <f t="shared" ref="I39:I60" si="3">+F39</f>
        <v>16666.666666666668</v>
      </c>
      <c r="J39" s="133">
        <f>G39*Supuestos!$C$26</f>
        <v>264.59444139997504</v>
      </c>
      <c r="K39" s="133">
        <f>(I39+J39)*(1/Supuestos!$C$26)</f>
        <v>9598422.2222222239</v>
      </c>
    </row>
    <row r="40" spans="3:11" x14ac:dyDescent="0.2">
      <c r="C40" s="24" t="str">
        <f>'Informacion del AEP'!C81</f>
        <v>Servicios OTT de audio</v>
      </c>
      <c r="D40" s="131">
        <f>INDEX('Informacion del AEP'!$D$79:$N$102,MATCH('Costos aguas abajo'!$C40,'Informacion del AEP'!$C$79:$C$102,0),MATCH('Costos aguas abajo'!$C$37,'Informacion del AEP'!$D$78:$N$78,0))</f>
        <v>166666.66666666666</v>
      </c>
      <c r="F40" s="133">
        <f>D40*Supuestos!$C33</f>
        <v>16666.666666666668</v>
      </c>
      <c r="G40" s="133">
        <f>D40*(1-Supuestos!$C33)</f>
        <v>150000</v>
      </c>
      <c r="I40" s="133">
        <f t="shared" si="3"/>
        <v>16666.666666666668</v>
      </c>
      <c r="J40" s="133">
        <f>G40*Supuestos!$C$26</f>
        <v>264.59444139997504</v>
      </c>
      <c r="K40" s="133">
        <f>(I40+J40)*(1/Supuestos!$C$26)</f>
        <v>9598422.2222222239</v>
      </c>
    </row>
    <row r="41" spans="3:11" x14ac:dyDescent="0.2">
      <c r="C41" s="24" t="str">
        <f>'Informacion del AEP'!C82</f>
        <v>Comerciales</v>
      </c>
      <c r="D41" s="131">
        <f>INDEX('Informacion del AEP'!$D$79:$N$102,MATCH('Costos aguas abajo'!$C41,'Informacion del AEP'!$C$79:$C$102,0),MATCH('Costos aguas abajo'!$C$37,'Informacion del AEP'!$D$78:$N$78,0))</f>
        <v>333333.33333333331</v>
      </c>
      <c r="F41" s="133">
        <f>D41*Supuestos!$C34</f>
        <v>33333.333333333336</v>
      </c>
      <c r="G41" s="133">
        <f>D41*(1-Supuestos!$C34)</f>
        <v>300000</v>
      </c>
      <c r="I41" s="133">
        <f t="shared" si="3"/>
        <v>33333.333333333336</v>
      </c>
      <c r="J41" s="133">
        <f>G41*Supuestos!$C$26</f>
        <v>529.18888279995008</v>
      </c>
      <c r="K41" s="133">
        <f>(I41+J41)*(1/Supuestos!$C$26)</f>
        <v>19196844.444444448</v>
      </c>
    </row>
    <row r="42" spans="3:11" x14ac:dyDescent="0.2">
      <c r="C42" s="24" t="str">
        <f>'Informacion del AEP'!C83</f>
        <v>Facturación</v>
      </c>
      <c r="D42" s="131">
        <f>INDEX('Informacion del AEP'!$D$79:$N$102,MATCH('Costos aguas abajo'!$C42,'Informacion del AEP'!$C$79:$C$102,0),MATCH('Costos aguas abajo'!$C$37,'Informacion del AEP'!$D$78:$N$78,0))</f>
        <v>333333.33333333331</v>
      </c>
      <c r="F42" s="133">
        <f>D42*Supuestos!$C35</f>
        <v>33333.333333333336</v>
      </c>
      <c r="G42" s="133">
        <f>D42*(1-Supuestos!$C35)</f>
        <v>300000</v>
      </c>
      <c r="I42" s="133">
        <f t="shared" si="3"/>
        <v>33333.333333333336</v>
      </c>
      <c r="J42" s="133">
        <f>G42*Supuestos!$C$26</f>
        <v>529.18888279995008</v>
      </c>
      <c r="K42" s="133">
        <f>(I42+J42)*(1/Supuestos!$C$26)</f>
        <v>19196844.444444448</v>
      </c>
    </row>
    <row r="43" spans="3:11" x14ac:dyDescent="0.2">
      <c r="C43" s="24" t="str">
        <f>'Informacion del AEP'!C84</f>
        <v>Cobranza</v>
      </c>
      <c r="D43" s="131">
        <f>INDEX('Informacion del AEP'!$D$79:$N$102,MATCH('Costos aguas abajo'!$C43,'Informacion del AEP'!$C$79:$C$102,0),MATCH('Costos aguas abajo'!$C$37,'Informacion del AEP'!$D$78:$N$78,0))</f>
        <v>333333.33333333331</v>
      </c>
      <c r="F43" s="133">
        <f>D43*Supuestos!$C36</f>
        <v>33333.333333333336</v>
      </c>
      <c r="G43" s="133">
        <f>D43*(1-Supuestos!$C36)</f>
        <v>300000</v>
      </c>
      <c r="I43" s="133">
        <f t="shared" si="3"/>
        <v>33333.333333333336</v>
      </c>
      <c r="J43" s="133">
        <f>G43*Supuestos!$C$26</f>
        <v>529.18888279995008</v>
      </c>
      <c r="K43" s="133">
        <f>(I43+J43)*(1/Supuestos!$C$26)</f>
        <v>19196844.444444448</v>
      </c>
    </row>
    <row r="44" spans="3:11" x14ac:dyDescent="0.2">
      <c r="C44" s="24" t="str">
        <f>'Informacion del AEP'!C85</f>
        <v>Tasas e impuestos</v>
      </c>
      <c r="D44" s="131">
        <f>INDEX('Informacion del AEP'!$D$79:$N$102,MATCH('Costos aguas abajo'!$C44,'Informacion del AEP'!$C$79:$C$102,0),MATCH('Costos aguas abajo'!$C$37,'Informacion del AEP'!$D$78:$N$78,0))</f>
        <v>333333.33333333331</v>
      </c>
      <c r="F44" s="133">
        <f>D44*Supuestos!$C37</f>
        <v>33333.333333333336</v>
      </c>
      <c r="G44" s="133">
        <f>D44*(1-Supuestos!$C37)</f>
        <v>300000</v>
      </c>
      <c r="I44" s="133">
        <f t="shared" si="3"/>
        <v>33333.333333333336</v>
      </c>
      <c r="J44" s="133">
        <f>G44*Supuestos!$C$26</f>
        <v>529.18888279995008</v>
      </c>
      <c r="K44" s="133">
        <f>(I44+J44)*(1/Supuestos!$C$26)</f>
        <v>19196844.444444448</v>
      </c>
    </row>
    <row r="45" spans="3:11" x14ac:dyDescent="0.2">
      <c r="C45" s="24" t="str">
        <f>'Informacion del AEP'!C86</f>
        <v>Programas de fidelización</v>
      </c>
      <c r="D45" s="131">
        <f>INDEX('Informacion del AEP'!$D$79:$N$102,MATCH('Costos aguas abajo'!$C45,'Informacion del AEP'!$C$79:$C$102,0),MATCH('Costos aguas abajo'!$C$37,'Informacion del AEP'!$D$78:$N$78,0))</f>
        <v>333333.33333333331</v>
      </c>
      <c r="F45" s="133">
        <f>D45*Supuestos!$C38</f>
        <v>33333.333333333336</v>
      </c>
      <c r="G45" s="133">
        <f>D45*(1-Supuestos!$C38)</f>
        <v>300000</v>
      </c>
      <c r="I45" s="133">
        <f t="shared" si="3"/>
        <v>33333.333333333336</v>
      </c>
      <c r="J45" s="133">
        <f>G45*Supuestos!$C$26</f>
        <v>529.18888279995008</v>
      </c>
      <c r="K45" s="133">
        <f>(I45+J45)*(1/Supuestos!$C$26)</f>
        <v>19196844.444444448</v>
      </c>
    </row>
    <row r="46" spans="3:11" x14ac:dyDescent="0.2">
      <c r="C46" s="24" t="str">
        <f>'Informacion del AEP'!C87</f>
        <v>Acceso internet internacional</v>
      </c>
      <c r="D46" s="131">
        <f>INDEX('Informacion del AEP'!$D$79:$N$102,MATCH('Costos aguas abajo'!$C46,'Informacion del AEP'!$C$79:$C$102,0),MATCH('Costos aguas abajo'!$C$37,'Informacion del AEP'!$D$78:$N$78,0))</f>
        <v>333333.33333333331</v>
      </c>
      <c r="F46" s="133">
        <f>D46*Supuestos!$C39</f>
        <v>33333.333333333336</v>
      </c>
      <c r="G46" s="133">
        <f>D46*(1-Supuestos!$C39)</f>
        <v>300000</v>
      </c>
      <c r="I46" s="133">
        <f t="shared" si="3"/>
        <v>33333.333333333336</v>
      </c>
      <c r="J46" s="133">
        <f>G46*Supuestos!$C$26</f>
        <v>529.18888279995008</v>
      </c>
      <c r="K46" s="133">
        <f>(I46+J46)*(1/Supuestos!$C$26)</f>
        <v>19196844.444444448</v>
      </c>
    </row>
    <row r="47" spans="3:11" x14ac:dyDescent="0.2">
      <c r="C47" s="24" t="str">
        <f>'Informacion del AEP'!C88</f>
        <v>Terminación en destinos nacionales-fijo</v>
      </c>
      <c r="D47" s="131">
        <f>INDEX('Informacion del AEP'!$D$79:$N$102,MATCH('Costos aguas abajo'!$C47,'Informacion del AEP'!$C$79:$C$102,0),MATCH('Costos aguas abajo'!$C$37,'Informacion del AEP'!$D$78:$N$78,0))</f>
        <v>333333.33333333331</v>
      </c>
      <c r="F47" s="133">
        <f>D47*Supuestos!$C40</f>
        <v>33333.333333333336</v>
      </c>
      <c r="G47" s="133">
        <f>D47*(1-Supuestos!$C40)</f>
        <v>300000</v>
      </c>
      <c r="I47" s="133">
        <f t="shared" si="3"/>
        <v>33333.333333333336</v>
      </c>
      <c r="J47" s="133">
        <f>G47*Supuestos!$C$26</f>
        <v>529.18888279995008</v>
      </c>
      <c r="K47" s="133">
        <f>(I47+J47)*(1/Supuestos!$C$26)</f>
        <v>19196844.444444448</v>
      </c>
    </row>
    <row r="48" spans="3:11" x14ac:dyDescent="0.2">
      <c r="C48" s="24" t="str">
        <f>'Informacion del AEP'!C89</f>
        <v>Terminación en destinos nacionales-móvil</v>
      </c>
      <c r="D48" s="131">
        <f>INDEX('Informacion del AEP'!$D$79:$N$102,MATCH('Costos aguas abajo'!$C48,'Informacion del AEP'!$C$79:$C$102,0),MATCH('Costos aguas abajo'!$C$37,'Informacion del AEP'!$D$78:$N$78,0))</f>
        <v>333333.33333333331</v>
      </c>
      <c r="F48" s="133">
        <f>D48*Supuestos!$C41</f>
        <v>33333.333333333336</v>
      </c>
      <c r="G48" s="133">
        <f>D48*(1-Supuestos!$C41)</f>
        <v>300000</v>
      </c>
      <c r="I48" s="133">
        <f t="shared" si="3"/>
        <v>33333.333333333336</v>
      </c>
      <c r="J48" s="133">
        <f>G48*Supuestos!$C$26</f>
        <v>529.18888279995008</v>
      </c>
      <c r="K48" s="133">
        <f>(I48+J48)*(1/Supuestos!$C$26)</f>
        <v>19196844.444444448</v>
      </c>
    </row>
    <row r="49" spans="3:11" x14ac:dyDescent="0.2">
      <c r="C49" s="24" t="str">
        <f>'Informacion del AEP'!C90</f>
        <v>Terminación en destinos nacionales-mensajes</v>
      </c>
      <c r="D49" s="131">
        <f>INDEX('Informacion del AEP'!$D$79:$N$102,MATCH('Costos aguas abajo'!$C49,'Informacion del AEP'!$C$79:$C$102,0),MATCH('Costos aguas abajo'!$C$37,'Informacion del AEP'!$D$78:$N$78,0))</f>
        <v>1333333.3333333333</v>
      </c>
      <c r="F49" s="133">
        <f>D49*Supuestos!$C42</f>
        <v>133333.33333333334</v>
      </c>
      <c r="G49" s="133">
        <f>D49*(1-Supuestos!$C42)</f>
        <v>1200000</v>
      </c>
      <c r="I49" s="133">
        <f t="shared" si="3"/>
        <v>133333.33333333334</v>
      </c>
      <c r="J49" s="133">
        <f>G49*Supuestos!$C$26</f>
        <v>2116.7555311998003</v>
      </c>
      <c r="K49" s="133">
        <f>(I49+J49)*(1/Supuestos!$C$26)</f>
        <v>76787377.777777791</v>
      </c>
    </row>
    <row r="50" spans="3:11" x14ac:dyDescent="0.2">
      <c r="C50" s="24" t="str">
        <f>'Informacion del AEP'!C91</f>
        <v>Terminación en destinos internacionales</v>
      </c>
      <c r="D50" s="131">
        <f>INDEX('Informacion del AEP'!$D$79:$N$102,MATCH('Costos aguas abajo'!$C50,'Informacion del AEP'!$C$79:$C$102,0),MATCH('Costos aguas abajo'!$C$37,'Informacion del AEP'!$D$78:$N$78,0))</f>
        <v>200000</v>
      </c>
      <c r="F50" s="133">
        <f>D50*Supuestos!$C43</f>
        <v>20000</v>
      </c>
      <c r="G50" s="133">
        <f>D50*(1-Supuestos!$C43)</f>
        <v>180000</v>
      </c>
      <c r="I50" s="133">
        <f t="shared" si="3"/>
        <v>20000</v>
      </c>
      <c r="J50" s="133">
        <f>G50*Supuestos!$C$26</f>
        <v>317.51332967997007</v>
      </c>
      <c r="K50" s="133">
        <f>(I50+J50)*(1/Supuestos!$C$26)</f>
        <v>11518106.666666666</v>
      </c>
    </row>
    <row r="51" spans="3:11" x14ac:dyDescent="0.2">
      <c r="C51" s="24" t="str">
        <f>'Informacion del AEP'!C92</f>
        <v>Terminación en destinos internacionales-mensajes</v>
      </c>
      <c r="D51" s="131">
        <f>INDEX('Informacion del AEP'!$D$79:$N$102,MATCH('Costos aguas abajo'!$C51,'Informacion del AEP'!$C$79:$C$102,0),MATCH('Costos aguas abajo'!$C$37,'Informacion del AEP'!$D$78:$N$78,0))</f>
        <v>200000</v>
      </c>
      <c r="F51" s="133">
        <f>D51*Supuestos!$C44</f>
        <v>20000</v>
      </c>
      <c r="G51" s="133">
        <f>D51*(1-Supuestos!$C44)</f>
        <v>180000</v>
      </c>
      <c r="I51" s="133">
        <f t="shared" si="3"/>
        <v>20000</v>
      </c>
      <c r="J51" s="133">
        <f>G51*Supuestos!$C$26</f>
        <v>317.51332967997007</v>
      </c>
      <c r="K51" s="133">
        <f>(I51+J51)*(1/Supuestos!$C$26)</f>
        <v>11518106.666666666</v>
      </c>
    </row>
    <row r="52" spans="3:11" x14ac:dyDescent="0.2">
      <c r="C52" s="24" t="str">
        <f>'Informacion del AEP'!C93</f>
        <v>Roaming internacional - voz - outbound</v>
      </c>
      <c r="D52" s="131">
        <f>INDEX('Informacion del AEP'!$D$79:$N$102,MATCH('Costos aguas abajo'!$C52,'Informacion del AEP'!$C$79:$C$102,0),MATCH('Costos aguas abajo'!$C$37,'Informacion del AEP'!$D$78:$N$78,0))</f>
        <v>10000</v>
      </c>
      <c r="F52" s="133">
        <f>D52*Supuestos!$C45</f>
        <v>1000</v>
      </c>
      <c r="G52" s="133">
        <f>D52*(1-Supuestos!$C45)</f>
        <v>9000</v>
      </c>
      <c r="I52" s="133">
        <f t="shared" si="3"/>
        <v>1000</v>
      </c>
      <c r="J52" s="133">
        <f>G52*Supuestos!$C$26</f>
        <v>15.875666483998504</v>
      </c>
      <c r="K52" s="133">
        <f>(I52+J52)*(1/Supuestos!$C$26)</f>
        <v>575905.33333333337</v>
      </c>
    </row>
    <row r="53" spans="3:11" x14ac:dyDescent="0.2">
      <c r="C53" s="24" t="str">
        <f>'Informacion del AEP'!C94</f>
        <v>Roaming internacional - mensajes - outbound</v>
      </c>
      <c r="D53" s="131">
        <f>INDEX('Informacion del AEP'!$D$79:$N$102,MATCH('Costos aguas abajo'!$C53,'Informacion del AEP'!$C$79:$C$102,0),MATCH('Costos aguas abajo'!$C$37,'Informacion del AEP'!$D$78:$N$78,0))</f>
        <v>3333.3333333333335</v>
      </c>
      <c r="F53" s="133">
        <f>D53*Supuestos!$C46</f>
        <v>333.33333333333337</v>
      </c>
      <c r="G53" s="133">
        <f>D53*(1-Supuestos!$C46)</f>
        <v>3000</v>
      </c>
      <c r="I53" s="133">
        <f t="shared" si="3"/>
        <v>333.33333333333337</v>
      </c>
      <c r="J53" s="133">
        <f>G53*Supuestos!$C$26</f>
        <v>5.2918888279995011</v>
      </c>
      <c r="K53" s="133">
        <f>(I53+J53)*(1/Supuestos!$C$26)</f>
        <v>191968.4444444445</v>
      </c>
    </row>
    <row r="54" spans="3:11" x14ac:dyDescent="0.2">
      <c r="C54" s="24" t="str">
        <f>'Informacion del AEP'!C95</f>
        <v>Roaming internacional - datos - outbound</v>
      </c>
      <c r="D54" s="131">
        <f>INDEX('Informacion del AEP'!$D$79:$N$102,MATCH('Costos aguas abajo'!$C54,'Informacion del AEP'!$C$79:$C$102,0),MATCH('Costos aguas abajo'!$C$37,'Informacion del AEP'!$D$78:$N$78,0))</f>
        <v>166666.66666666666</v>
      </c>
      <c r="F54" s="133">
        <f>D54*Supuestos!$C47</f>
        <v>16666.666666666668</v>
      </c>
      <c r="G54" s="133">
        <f>D54*(1-Supuestos!$C47)</f>
        <v>150000</v>
      </c>
      <c r="I54" s="133">
        <f t="shared" si="3"/>
        <v>16666.666666666668</v>
      </c>
      <c r="J54" s="133">
        <f>G54*Supuestos!$C$26</f>
        <v>264.59444139997504</v>
      </c>
      <c r="K54" s="133">
        <f>(I54+J54)*(1/Supuestos!$C$26)</f>
        <v>9598422.2222222239</v>
      </c>
    </row>
    <row r="55" spans="3:11" x14ac:dyDescent="0.2">
      <c r="C55" s="24" t="str">
        <f>'Informacion del AEP'!C96</f>
        <v>Provisiones</v>
      </c>
      <c r="D55" s="131">
        <f>INDEX('Informacion del AEP'!$D$79:$N$102,MATCH('Costos aguas abajo'!$C55,'Informacion del AEP'!$C$79:$C$102,0),MATCH('Costos aguas abajo'!$C$37,'Informacion del AEP'!$D$78:$N$78,0))</f>
        <v>166666.66666666666</v>
      </c>
      <c r="F55" s="133">
        <f>D55*Supuestos!$C48</f>
        <v>16666.666666666668</v>
      </c>
      <c r="G55" s="133">
        <f>D55*(1-Supuestos!$C48)</f>
        <v>150000</v>
      </c>
      <c r="I55" s="133">
        <f t="shared" si="3"/>
        <v>16666.666666666668</v>
      </c>
      <c r="J55" s="133">
        <f>G55*Supuestos!$C$26</f>
        <v>264.59444139997504</v>
      </c>
      <c r="K55" s="133">
        <f>(I55+J55)*(1/Supuestos!$C$26)</f>
        <v>9598422.2222222239</v>
      </c>
    </row>
    <row r="56" spans="3:11" x14ac:dyDescent="0.2">
      <c r="C56" s="24" t="str">
        <f>'Informacion del AEP'!C97</f>
        <v>Costos directos de la venta de terminales</v>
      </c>
      <c r="D56" s="131">
        <f>INDEX('Informacion del AEP'!$D$79:$N$102,MATCH('Costos aguas abajo'!$C56,'Informacion del AEP'!$C$79:$C$102,0),MATCH('Costos aguas abajo'!$C$37,'Informacion del AEP'!$D$78:$N$78,0))</f>
        <v>333333.33333333331</v>
      </c>
      <c r="F56" s="133">
        <f>D56*Supuestos!$C49</f>
        <v>33333.333333333336</v>
      </c>
      <c r="G56" s="133">
        <f>D56*(1-Supuestos!$C49)</f>
        <v>300000</v>
      </c>
      <c r="I56" s="133">
        <f t="shared" si="3"/>
        <v>33333.333333333336</v>
      </c>
      <c r="J56" s="133">
        <f>G56*Supuestos!$C$26</f>
        <v>529.18888279995008</v>
      </c>
      <c r="K56" s="133">
        <f>(I56+J56)*(1/Supuestos!$C$26)</f>
        <v>19196844.444444448</v>
      </c>
    </row>
    <row r="57" spans="3:11" x14ac:dyDescent="0.2">
      <c r="C57" s="24" t="str">
        <f>'Informacion del AEP'!C98</f>
        <v>Servicios generales y de gestión - minoristas</v>
      </c>
      <c r="D57" s="131">
        <f>INDEX('Informacion del AEP'!$D$79:$N$102,MATCH('Costos aguas abajo'!$C57,'Informacion del AEP'!$C$79:$C$102,0),MATCH('Costos aguas abajo'!$C$37,'Informacion del AEP'!$D$78:$N$78,0))</f>
        <v>333333.33333333331</v>
      </c>
      <c r="F57" s="133">
        <f>D57*Supuestos!$C50</f>
        <v>33333.333333333336</v>
      </c>
      <c r="G57" s="133">
        <f>D57*(1-Supuestos!$C50)</f>
        <v>300000</v>
      </c>
      <c r="I57" s="133">
        <f t="shared" si="3"/>
        <v>33333.333333333336</v>
      </c>
      <c r="J57" s="133">
        <f>G57*Supuestos!$C$26</f>
        <v>529.18888279995008</v>
      </c>
      <c r="K57" s="133">
        <f>(I57+J57)*(1/Supuestos!$C$26)</f>
        <v>19196844.444444448</v>
      </c>
    </row>
    <row r="58" spans="3:11" x14ac:dyDescent="0.2">
      <c r="C58" s="24" t="str">
        <f>'Informacion del AEP'!C99</f>
        <v>Servicios generales y de gestión - red</v>
      </c>
      <c r="D58" s="131">
        <f>INDEX('Informacion del AEP'!$D$79:$N$102,MATCH('Costos aguas abajo'!$C58,'Informacion del AEP'!$C$79:$C$102,0),MATCH('Costos aguas abajo'!$C$37,'Informacion del AEP'!$D$78:$N$78,0))</f>
        <v>333333.33333333331</v>
      </c>
      <c r="F58" s="133">
        <f>D58*Supuestos!$C51</f>
        <v>33333.333333333336</v>
      </c>
      <c r="G58" s="133">
        <f>D58*(1-Supuestos!$C51)</f>
        <v>300000</v>
      </c>
      <c r="I58" s="133">
        <f t="shared" si="3"/>
        <v>33333.333333333336</v>
      </c>
      <c r="J58" s="133">
        <f>G58*Supuestos!$C$26</f>
        <v>529.18888279995008</v>
      </c>
      <c r="K58" s="133">
        <f>(I58+J58)*(1/Supuestos!$C$26)</f>
        <v>19196844.444444448</v>
      </c>
    </row>
    <row r="59" spans="3:11" x14ac:dyDescent="0.2">
      <c r="C59" s="24" t="str">
        <f>'Informacion del AEP'!C100</f>
        <v xml:space="preserve">Servicios generales y de gestión - negocio </v>
      </c>
      <c r="D59" s="131">
        <f>INDEX('Informacion del AEP'!$D$79:$N$102,MATCH('Costos aguas abajo'!$C59,'Informacion del AEP'!$C$79:$C$102,0),MATCH('Costos aguas abajo'!$C$37,'Informacion del AEP'!$D$78:$N$78,0))</f>
        <v>333333.33333333331</v>
      </c>
      <c r="F59" s="133">
        <f>D59*Supuestos!$C52</f>
        <v>33333.333333333336</v>
      </c>
      <c r="G59" s="133">
        <f>D59*(1-Supuestos!$C52)</f>
        <v>300000</v>
      </c>
      <c r="I59" s="133">
        <f t="shared" si="3"/>
        <v>33333.333333333336</v>
      </c>
      <c r="J59" s="133">
        <f>G59*Supuestos!$C$26</f>
        <v>529.18888279995008</v>
      </c>
      <c r="K59" s="133">
        <f>(I59+J59)*(1/Supuestos!$C$26)</f>
        <v>19196844.444444448</v>
      </c>
    </row>
    <row r="60" spans="3:11" x14ac:dyDescent="0.2">
      <c r="C60" s="24" t="str">
        <f>'Informacion del AEP'!C101</f>
        <v>Costo del Capital</v>
      </c>
      <c r="D60" s="131">
        <f>INDEX('Informacion del AEP'!$D$79:$N$102,MATCH('Costos aguas abajo'!$C60,'Informacion del AEP'!$C$79:$C$102,0),MATCH('Costos aguas abajo'!$C$37,'Informacion del AEP'!$D$78:$N$78,0))</f>
        <v>333333.33333333331</v>
      </c>
      <c r="F60" s="133">
        <f>D60*Supuestos!$C53</f>
        <v>33333.333333333336</v>
      </c>
      <c r="G60" s="133">
        <f>D60*(1-Supuestos!$C53)</f>
        <v>300000</v>
      </c>
      <c r="I60" s="133">
        <f t="shared" si="3"/>
        <v>33333.333333333336</v>
      </c>
      <c r="J60" s="133">
        <f>G60*Supuestos!$C$26</f>
        <v>529.18888279995008</v>
      </c>
      <c r="K60" s="133">
        <f>(I60+J60)*(1/Supuestos!$C$26)</f>
        <v>19196844.444444448</v>
      </c>
    </row>
    <row r="62" spans="3:11" x14ac:dyDescent="0.2">
      <c r="C62" s="134" t="s">
        <v>82</v>
      </c>
      <c r="D62" s="72" t="str">
        <f>IF(D37='Informacion del AEP'!G102,"Ok","Error")</f>
        <v>Ok</v>
      </c>
    </row>
    <row r="64" spans="3:11" x14ac:dyDescent="0.2">
      <c r="C64" s="135" t="str">
        <f>Supuestos!$B$86</f>
        <v>Segmento Pospago</v>
      </c>
      <c r="D64" s="136">
        <f>SUM(D65:D87)</f>
        <v>13499999.999999998</v>
      </c>
      <c r="E64" s="137"/>
      <c r="F64" s="136">
        <f t="shared" ref="F64:G64" si="4">SUM(F65:F87)</f>
        <v>1350000.0000000005</v>
      </c>
      <c r="G64" s="136">
        <f t="shared" si="4"/>
        <v>12150000</v>
      </c>
      <c r="H64" s="137"/>
      <c r="I64" s="136">
        <f>+F64</f>
        <v>1350000.0000000005</v>
      </c>
      <c r="J64" s="136">
        <f>SUM(J65:J87)</f>
        <v>21432.149753397978</v>
      </c>
      <c r="K64" s="136">
        <f>SUM(K65:K87)</f>
        <v>777472199.99999976</v>
      </c>
    </row>
    <row r="65" spans="3:11" x14ac:dyDescent="0.2">
      <c r="C65" s="24" t="str">
        <f>'Informacion del AEP'!C79</f>
        <v>Acceso a Internet</v>
      </c>
      <c r="D65" s="131">
        <f>INDEX('Informacion del AEP'!$D$79:$N$102,MATCH('Costos aguas abajo'!$C65,'Informacion del AEP'!$C$79:$C$102,0),MATCH('Costos aguas abajo'!$C$64,'Informacion del AEP'!$D$78:$N$78,0))</f>
        <v>6666.666666666667</v>
      </c>
      <c r="F65" s="133">
        <f>D65*Supuestos!$C31</f>
        <v>666.66666666666674</v>
      </c>
      <c r="G65" s="133">
        <f>D65*(1-Supuestos!$C31)</f>
        <v>6000</v>
      </c>
      <c r="I65" s="133">
        <f>+F65</f>
        <v>666.66666666666674</v>
      </c>
      <c r="J65" s="133">
        <f>G65*Supuestos!$C$26</f>
        <v>10.583777655999002</v>
      </c>
      <c r="K65" s="133">
        <f>(I65+J65)*(1/Supuestos!$C$26)</f>
        <v>383936.88888888899</v>
      </c>
    </row>
    <row r="66" spans="3:11" x14ac:dyDescent="0.2">
      <c r="C66" s="24" t="str">
        <f>'Informacion del AEP'!C80</f>
        <v>Servicios OTT de vídeo</v>
      </c>
      <c r="D66" s="131">
        <f>INDEX('Informacion del AEP'!$D$79:$N$102,MATCH('Costos aguas abajo'!$C66,'Informacion del AEP'!$C$79:$C$102,0),MATCH('Costos aguas abajo'!$C$64,'Informacion del AEP'!$D$78:$N$78,0))</f>
        <v>333333.33333333331</v>
      </c>
      <c r="F66" s="133">
        <f>D66*Supuestos!$C32</f>
        <v>33333.333333333336</v>
      </c>
      <c r="G66" s="133">
        <f>D66*(1-Supuestos!$C32)</f>
        <v>300000</v>
      </c>
      <c r="I66" s="133">
        <f t="shared" ref="I66:I87" si="5">+F66</f>
        <v>33333.333333333336</v>
      </c>
      <c r="J66" s="133">
        <f>G66*Supuestos!$C$26</f>
        <v>529.18888279995008</v>
      </c>
      <c r="K66" s="133">
        <f>(I66+J66)*(1/Supuestos!$C$26)</f>
        <v>19196844.444444448</v>
      </c>
    </row>
    <row r="67" spans="3:11" x14ac:dyDescent="0.2">
      <c r="C67" s="24" t="str">
        <f>'Informacion del AEP'!C81</f>
        <v>Servicios OTT de audio</v>
      </c>
      <c r="D67" s="131">
        <f>INDEX('Informacion del AEP'!$D$79:$N$102,MATCH('Costos aguas abajo'!$C67,'Informacion del AEP'!$C$79:$C$102,0),MATCH('Costos aguas abajo'!$C$64,'Informacion del AEP'!$D$78:$N$78,0))</f>
        <v>333333.33333333331</v>
      </c>
      <c r="F67" s="133">
        <f>D67*Supuestos!$C33</f>
        <v>33333.333333333336</v>
      </c>
      <c r="G67" s="133">
        <f>D67*(1-Supuestos!$C33)</f>
        <v>300000</v>
      </c>
      <c r="I67" s="133">
        <f t="shared" si="5"/>
        <v>33333.333333333336</v>
      </c>
      <c r="J67" s="133">
        <f>G67*Supuestos!$C$26</f>
        <v>529.18888279995008</v>
      </c>
      <c r="K67" s="133">
        <f>(I67+J67)*(1/Supuestos!$C$26)</f>
        <v>19196844.444444448</v>
      </c>
    </row>
    <row r="68" spans="3:11" x14ac:dyDescent="0.2">
      <c r="C68" s="24" t="str">
        <f>'Informacion del AEP'!C82</f>
        <v>Comerciales</v>
      </c>
      <c r="D68" s="131">
        <f>INDEX('Informacion del AEP'!$D$79:$N$102,MATCH('Costos aguas abajo'!$C68,'Informacion del AEP'!$C$79:$C$102,0),MATCH('Costos aguas abajo'!$C$64,'Informacion del AEP'!$D$78:$N$78,0))</f>
        <v>666666.66666666663</v>
      </c>
      <c r="F68" s="133">
        <f>D68*Supuestos!$C34</f>
        <v>66666.666666666672</v>
      </c>
      <c r="G68" s="133">
        <f>D68*(1-Supuestos!$C34)</f>
        <v>600000</v>
      </c>
      <c r="I68" s="133">
        <f t="shared" si="5"/>
        <v>66666.666666666672</v>
      </c>
      <c r="J68" s="133">
        <f>G68*Supuestos!$C$26</f>
        <v>1058.3777655999002</v>
      </c>
      <c r="K68" s="133">
        <f>(I68+J68)*(1/Supuestos!$C$26)</f>
        <v>38393688.888888896</v>
      </c>
    </row>
    <row r="69" spans="3:11" x14ac:dyDescent="0.2">
      <c r="C69" s="24" t="str">
        <f>'Informacion del AEP'!C83</f>
        <v>Facturación</v>
      </c>
      <c r="D69" s="131">
        <f>INDEX('Informacion del AEP'!$D$79:$N$102,MATCH('Costos aguas abajo'!$C69,'Informacion del AEP'!$C$79:$C$102,0),MATCH('Costos aguas abajo'!$C$64,'Informacion del AEP'!$D$78:$N$78,0))</f>
        <v>666666.66666666663</v>
      </c>
      <c r="F69" s="133">
        <f>D69*Supuestos!$C35</f>
        <v>66666.666666666672</v>
      </c>
      <c r="G69" s="133">
        <f>D69*(1-Supuestos!$C35)</f>
        <v>600000</v>
      </c>
      <c r="I69" s="133">
        <f t="shared" si="5"/>
        <v>66666.666666666672</v>
      </c>
      <c r="J69" s="133">
        <f>G69*Supuestos!$C$26</f>
        <v>1058.3777655999002</v>
      </c>
      <c r="K69" s="133">
        <f>(I69+J69)*(1/Supuestos!$C$26)</f>
        <v>38393688.888888896</v>
      </c>
    </row>
    <row r="70" spans="3:11" x14ac:dyDescent="0.2">
      <c r="C70" s="24" t="str">
        <f>'Informacion del AEP'!C84</f>
        <v>Cobranza</v>
      </c>
      <c r="D70" s="131">
        <f>INDEX('Informacion del AEP'!$D$79:$N$102,MATCH('Costos aguas abajo'!$C70,'Informacion del AEP'!$C$79:$C$102,0),MATCH('Costos aguas abajo'!$C$64,'Informacion del AEP'!$D$78:$N$78,0))</f>
        <v>666666.66666666663</v>
      </c>
      <c r="F70" s="133">
        <f>D70*Supuestos!$C36</f>
        <v>66666.666666666672</v>
      </c>
      <c r="G70" s="133">
        <f>D70*(1-Supuestos!$C36)</f>
        <v>600000</v>
      </c>
      <c r="I70" s="133">
        <f t="shared" si="5"/>
        <v>66666.666666666672</v>
      </c>
      <c r="J70" s="133">
        <f>G70*Supuestos!$C$26</f>
        <v>1058.3777655999002</v>
      </c>
      <c r="K70" s="133">
        <f>(I70+J70)*(1/Supuestos!$C$26)</f>
        <v>38393688.888888896</v>
      </c>
    </row>
    <row r="71" spans="3:11" x14ac:dyDescent="0.2">
      <c r="C71" s="24" t="str">
        <f>'Informacion del AEP'!C85</f>
        <v>Tasas e impuestos</v>
      </c>
      <c r="D71" s="131">
        <f>INDEX('Informacion del AEP'!$D$79:$N$102,MATCH('Costos aguas abajo'!$C71,'Informacion del AEP'!$C$79:$C$102,0),MATCH('Costos aguas abajo'!$C$64,'Informacion del AEP'!$D$78:$N$78,0))</f>
        <v>666666.66666666663</v>
      </c>
      <c r="F71" s="133">
        <f>D71*Supuestos!$C37</f>
        <v>66666.666666666672</v>
      </c>
      <c r="G71" s="133">
        <f>D71*(1-Supuestos!$C37)</f>
        <v>600000</v>
      </c>
      <c r="I71" s="133">
        <f t="shared" si="5"/>
        <v>66666.666666666672</v>
      </c>
      <c r="J71" s="133">
        <f>G71*Supuestos!$C$26</f>
        <v>1058.3777655999002</v>
      </c>
      <c r="K71" s="133">
        <f>(I71+J71)*(1/Supuestos!$C$26)</f>
        <v>38393688.888888896</v>
      </c>
    </row>
    <row r="72" spans="3:11" x14ac:dyDescent="0.2">
      <c r="C72" s="24" t="str">
        <f>'Informacion del AEP'!C86</f>
        <v>Programas de fidelización</v>
      </c>
      <c r="D72" s="131">
        <f>INDEX('Informacion del AEP'!$D$79:$N$102,MATCH('Costos aguas abajo'!$C72,'Informacion del AEP'!$C$79:$C$102,0),MATCH('Costos aguas abajo'!$C$64,'Informacion del AEP'!$D$78:$N$78,0))</f>
        <v>666666.66666666663</v>
      </c>
      <c r="F72" s="133">
        <f>D72*Supuestos!$C38</f>
        <v>66666.666666666672</v>
      </c>
      <c r="G72" s="133">
        <f>D72*(1-Supuestos!$C38)</f>
        <v>600000</v>
      </c>
      <c r="I72" s="133">
        <f t="shared" si="5"/>
        <v>66666.666666666672</v>
      </c>
      <c r="J72" s="133">
        <f>G72*Supuestos!$C$26</f>
        <v>1058.3777655999002</v>
      </c>
      <c r="K72" s="133">
        <f>(I72+J72)*(1/Supuestos!$C$26)</f>
        <v>38393688.888888896</v>
      </c>
    </row>
    <row r="73" spans="3:11" x14ac:dyDescent="0.2">
      <c r="C73" s="24" t="str">
        <f>'Informacion del AEP'!C87</f>
        <v>Acceso internet internacional</v>
      </c>
      <c r="D73" s="131">
        <f>INDEX('Informacion del AEP'!$D$79:$N$102,MATCH('Costos aguas abajo'!$C73,'Informacion del AEP'!$C$79:$C$102,0),MATCH('Costos aguas abajo'!$C$64,'Informacion del AEP'!$D$78:$N$78,0))</f>
        <v>666666.66666666663</v>
      </c>
      <c r="F73" s="133">
        <f>D73*Supuestos!$C39</f>
        <v>66666.666666666672</v>
      </c>
      <c r="G73" s="133">
        <f>D73*(1-Supuestos!$C39)</f>
        <v>600000</v>
      </c>
      <c r="I73" s="133">
        <f t="shared" si="5"/>
        <v>66666.666666666672</v>
      </c>
      <c r="J73" s="133">
        <f>G73*Supuestos!$C$26</f>
        <v>1058.3777655999002</v>
      </c>
      <c r="K73" s="133">
        <f>(I73+J73)*(1/Supuestos!$C$26)</f>
        <v>38393688.888888896</v>
      </c>
    </row>
    <row r="74" spans="3:11" x14ac:dyDescent="0.2">
      <c r="C74" s="24" t="str">
        <f>'Informacion del AEP'!C88</f>
        <v>Terminación en destinos nacionales-fijo</v>
      </c>
      <c r="D74" s="131">
        <f>INDEX('Informacion del AEP'!$D$79:$N$102,MATCH('Costos aguas abajo'!$C74,'Informacion del AEP'!$C$79:$C$102,0),MATCH('Costos aguas abajo'!$C$64,'Informacion del AEP'!$D$78:$N$78,0))</f>
        <v>666666.66666666663</v>
      </c>
      <c r="F74" s="133">
        <f>D74*Supuestos!$C40</f>
        <v>66666.666666666672</v>
      </c>
      <c r="G74" s="133">
        <f>D74*(1-Supuestos!$C40)</f>
        <v>600000</v>
      </c>
      <c r="I74" s="133">
        <f t="shared" si="5"/>
        <v>66666.666666666672</v>
      </c>
      <c r="J74" s="133">
        <f>G74*Supuestos!$C$26</f>
        <v>1058.3777655999002</v>
      </c>
      <c r="K74" s="133">
        <f>(I74+J74)*(1/Supuestos!$C$26)</f>
        <v>38393688.888888896</v>
      </c>
    </row>
    <row r="75" spans="3:11" x14ac:dyDescent="0.2">
      <c r="C75" s="24" t="str">
        <f>'Informacion del AEP'!C89</f>
        <v>Terminación en destinos nacionales-móvil</v>
      </c>
      <c r="D75" s="131">
        <f>INDEX('Informacion del AEP'!$D$79:$N$102,MATCH('Costos aguas abajo'!$C75,'Informacion del AEP'!$C$79:$C$102,0),MATCH('Costos aguas abajo'!$C$64,'Informacion del AEP'!$D$78:$N$78,0))</f>
        <v>666666.66666666663</v>
      </c>
      <c r="F75" s="133">
        <f>D75*Supuestos!$C41</f>
        <v>66666.666666666672</v>
      </c>
      <c r="G75" s="133">
        <f>D75*(1-Supuestos!$C41)</f>
        <v>600000</v>
      </c>
      <c r="I75" s="133">
        <f t="shared" si="5"/>
        <v>66666.666666666672</v>
      </c>
      <c r="J75" s="133">
        <f>G75*Supuestos!$C$26</f>
        <v>1058.3777655999002</v>
      </c>
      <c r="K75" s="133">
        <f>(I75+J75)*(1/Supuestos!$C$26)</f>
        <v>38393688.888888896</v>
      </c>
    </row>
    <row r="76" spans="3:11" x14ac:dyDescent="0.2">
      <c r="C76" s="24" t="str">
        <f>'Informacion del AEP'!C90</f>
        <v>Terminación en destinos nacionales-mensajes</v>
      </c>
      <c r="D76" s="131">
        <f>INDEX('Informacion del AEP'!$D$79:$N$102,MATCH('Costos aguas abajo'!$C76,'Informacion del AEP'!$C$79:$C$102,0),MATCH('Costos aguas abajo'!$C$64,'Informacion del AEP'!$D$78:$N$78,0))</f>
        <v>2666666.6666666665</v>
      </c>
      <c r="F76" s="133">
        <f>D76*Supuestos!$C42</f>
        <v>266666.66666666669</v>
      </c>
      <c r="G76" s="133">
        <f>D76*(1-Supuestos!$C42)</f>
        <v>2400000</v>
      </c>
      <c r="I76" s="133">
        <f t="shared" si="5"/>
        <v>266666.66666666669</v>
      </c>
      <c r="J76" s="133">
        <f>G76*Supuestos!$C$26</f>
        <v>4233.5110623996006</v>
      </c>
      <c r="K76" s="133">
        <f>(I76+J76)*(1/Supuestos!$C$26)</f>
        <v>153574755.55555558</v>
      </c>
    </row>
    <row r="77" spans="3:11" x14ac:dyDescent="0.2">
      <c r="C77" s="24" t="str">
        <f>'Informacion del AEP'!C91</f>
        <v>Terminación en destinos internacionales</v>
      </c>
      <c r="D77" s="131">
        <f>INDEX('Informacion del AEP'!$D$79:$N$102,MATCH('Costos aguas abajo'!$C77,'Informacion del AEP'!$C$79:$C$102,0),MATCH('Costos aguas abajo'!$C$64,'Informacion del AEP'!$D$78:$N$78,0))</f>
        <v>400000</v>
      </c>
      <c r="F77" s="133">
        <f>D77*Supuestos!$C43</f>
        <v>40000</v>
      </c>
      <c r="G77" s="133">
        <f>D77*(1-Supuestos!$C43)</f>
        <v>360000</v>
      </c>
      <c r="I77" s="133">
        <f t="shared" si="5"/>
        <v>40000</v>
      </c>
      <c r="J77" s="133">
        <f>G77*Supuestos!$C$26</f>
        <v>635.02665935994014</v>
      </c>
      <c r="K77" s="133">
        <f>(I77+J77)*(1/Supuestos!$C$26)</f>
        <v>23036213.333333332</v>
      </c>
    </row>
    <row r="78" spans="3:11" x14ac:dyDescent="0.2">
      <c r="C78" s="24" t="str">
        <f>'Informacion del AEP'!C92</f>
        <v>Terminación en destinos internacionales-mensajes</v>
      </c>
      <c r="D78" s="131">
        <f>INDEX('Informacion del AEP'!$D$79:$N$102,MATCH('Costos aguas abajo'!$C78,'Informacion del AEP'!$C$79:$C$102,0),MATCH('Costos aguas abajo'!$C$64,'Informacion del AEP'!$D$78:$N$78,0))</f>
        <v>400000</v>
      </c>
      <c r="F78" s="133">
        <f>D78*Supuestos!$C44</f>
        <v>40000</v>
      </c>
      <c r="G78" s="133">
        <f>D78*(1-Supuestos!$C44)</f>
        <v>360000</v>
      </c>
      <c r="I78" s="133">
        <f t="shared" si="5"/>
        <v>40000</v>
      </c>
      <c r="J78" s="133">
        <f>G78*Supuestos!$C$26</f>
        <v>635.02665935994014</v>
      </c>
      <c r="K78" s="133">
        <f>(I78+J78)*(1/Supuestos!$C$26)</f>
        <v>23036213.333333332</v>
      </c>
    </row>
    <row r="79" spans="3:11" x14ac:dyDescent="0.2">
      <c r="C79" s="24" t="str">
        <f>'Informacion del AEP'!C93</f>
        <v>Roaming internacional - voz - outbound</v>
      </c>
      <c r="D79" s="131">
        <f>INDEX('Informacion del AEP'!$D$79:$N$102,MATCH('Costos aguas abajo'!$C79,'Informacion del AEP'!$C$79:$C$102,0),MATCH('Costos aguas abajo'!$C$64,'Informacion del AEP'!$D$78:$N$78,0))</f>
        <v>20000</v>
      </c>
      <c r="F79" s="133">
        <f>D79*Supuestos!$C45</f>
        <v>2000</v>
      </c>
      <c r="G79" s="133">
        <f>D79*(1-Supuestos!$C45)</f>
        <v>18000</v>
      </c>
      <c r="I79" s="133">
        <f t="shared" si="5"/>
        <v>2000</v>
      </c>
      <c r="J79" s="133">
        <f>G79*Supuestos!$C$26</f>
        <v>31.751332967997008</v>
      </c>
      <c r="K79" s="133">
        <f>(I79+J79)*(1/Supuestos!$C$26)</f>
        <v>1151810.6666666667</v>
      </c>
    </row>
    <row r="80" spans="3:11" x14ac:dyDescent="0.2">
      <c r="C80" s="24" t="str">
        <f>'Informacion del AEP'!C94</f>
        <v>Roaming internacional - mensajes - outbound</v>
      </c>
      <c r="D80" s="131">
        <f>INDEX('Informacion del AEP'!$D$79:$N$102,MATCH('Costos aguas abajo'!$C80,'Informacion del AEP'!$C$79:$C$102,0),MATCH('Costos aguas abajo'!$C$64,'Informacion del AEP'!$D$78:$N$78,0))</f>
        <v>6666.666666666667</v>
      </c>
      <c r="F80" s="133">
        <f>D80*Supuestos!$C46</f>
        <v>666.66666666666674</v>
      </c>
      <c r="G80" s="133">
        <f>D80*(1-Supuestos!$C46)</f>
        <v>6000</v>
      </c>
      <c r="I80" s="133">
        <f t="shared" si="5"/>
        <v>666.66666666666674</v>
      </c>
      <c r="J80" s="133">
        <f>G80*Supuestos!$C$26</f>
        <v>10.583777655999002</v>
      </c>
      <c r="K80" s="133">
        <f>(I80+J80)*(1/Supuestos!$C$26)</f>
        <v>383936.88888888899</v>
      </c>
    </row>
    <row r="81" spans="3:11" x14ac:dyDescent="0.2">
      <c r="C81" s="24" t="str">
        <f>'Informacion del AEP'!C95</f>
        <v>Roaming internacional - datos - outbound</v>
      </c>
      <c r="D81" s="131">
        <f>INDEX('Informacion del AEP'!$D$79:$N$102,MATCH('Costos aguas abajo'!$C81,'Informacion del AEP'!$C$79:$C$102,0),MATCH('Costos aguas abajo'!$C$64,'Informacion del AEP'!$D$78:$N$78,0))</f>
        <v>333333.33333333331</v>
      </c>
      <c r="F81" s="133">
        <f>D81*Supuestos!$C47</f>
        <v>33333.333333333336</v>
      </c>
      <c r="G81" s="133">
        <f>D81*(1-Supuestos!$C47)</f>
        <v>300000</v>
      </c>
      <c r="I81" s="133">
        <f t="shared" si="5"/>
        <v>33333.333333333336</v>
      </c>
      <c r="J81" s="133">
        <f>G81*Supuestos!$C$26</f>
        <v>529.18888279995008</v>
      </c>
      <c r="K81" s="133">
        <f>(I81+J81)*(1/Supuestos!$C$26)</f>
        <v>19196844.444444448</v>
      </c>
    </row>
    <row r="82" spans="3:11" x14ac:dyDescent="0.2">
      <c r="C82" s="24" t="str">
        <f>'Informacion del AEP'!C96</f>
        <v>Provisiones</v>
      </c>
      <c r="D82" s="131">
        <f>INDEX('Informacion del AEP'!$D$79:$N$102,MATCH('Costos aguas abajo'!$C82,'Informacion del AEP'!$C$79:$C$102,0),MATCH('Costos aguas abajo'!$C$64,'Informacion del AEP'!$D$78:$N$78,0))</f>
        <v>333333.33333333331</v>
      </c>
      <c r="F82" s="133">
        <f>D82*Supuestos!$C48</f>
        <v>33333.333333333336</v>
      </c>
      <c r="G82" s="133">
        <f>D82*(1-Supuestos!$C48)</f>
        <v>300000</v>
      </c>
      <c r="I82" s="133">
        <f t="shared" si="5"/>
        <v>33333.333333333336</v>
      </c>
      <c r="J82" s="133">
        <f>G82*Supuestos!$C$26</f>
        <v>529.18888279995008</v>
      </c>
      <c r="K82" s="133">
        <f>(I82+J82)*(1/Supuestos!$C$26)</f>
        <v>19196844.444444448</v>
      </c>
    </row>
    <row r="83" spans="3:11" x14ac:dyDescent="0.2">
      <c r="C83" s="24" t="str">
        <f>'Informacion del AEP'!C97</f>
        <v>Costos directos de la venta de terminales</v>
      </c>
      <c r="D83" s="131">
        <f>INDEX('Informacion del AEP'!$D$79:$N$102,MATCH('Costos aguas abajo'!$C83,'Informacion del AEP'!$C$79:$C$102,0),MATCH('Costos aguas abajo'!$C$64,'Informacion del AEP'!$D$78:$N$78,0))</f>
        <v>666666.66666666663</v>
      </c>
      <c r="F83" s="133">
        <f>D83*Supuestos!$C49</f>
        <v>66666.666666666672</v>
      </c>
      <c r="G83" s="133">
        <f>D83*(1-Supuestos!$C49)</f>
        <v>600000</v>
      </c>
      <c r="I83" s="133">
        <f t="shared" si="5"/>
        <v>66666.666666666672</v>
      </c>
      <c r="J83" s="133">
        <f>G83*Supuestos!$C$26</f>
        <v>1058.3777655999002</v>
      </c>
      <c r="K83" s="133">
        <f>(I83+J83)*(1/Supuestos!$C$26)</f>
        <v>38393688.888888896</v>
      </c>
    </row>
    <row r="84" spans="3:11" x14ac:dyDescent="0.2">
      <c r="C84" s="24" t="str">
        <f>'Informacion del AEP'!C98</f>
        <v>Servicios generales y de gestión - minoristas</v>
      </c>
      <c r="D84" s="131">
        <f>INDEX('Informacion del AEP'!$D$79:$N$102,MATCH('Costos aguas abajo'!$C84,'Informacion del AEP'!$C$79:$C$102,0),MATCH('Costos aguas abajo'!$C$64,'Informacion del AEP'!$D$78:$N$78,0))</f>
        <v>666666.66666666663</v>
      </c>
      <c r="F84" s="133">
        <f>D84*Supuestos!$C50</f>
        <v>66666.666666666672</v>
      </c>
      <c r="G84" s="133">
        <f>D84*(1-Supuestos!$C50)</f>
        <v>600000</v>
      </c>
      <c r="I84" s="133">
        <f t="shared" si="5"/>
        <v>66666.666666666672</v>
      </c>
      <c r="J84" s="133">
        <f>G84*Supuestos!$C$26</f>
        <v>1058.3777655999002</v>
      </c>
      <c r="K84" s="133">
        <f>(I84+J84)*(1/Supuestos!$C$26)</f>
        <v>38393688.888888896</v>
      </c>
    </row>
    <row r="85" spans="3:11" x14ac:dyDescent="0.2">
      <c r="C85" s="24" t="str">
        <f>'Informacion del AEP'!C99</f>
        <v>Servicios generales y de gestión - red</v>
      </c>
      <c r="D85" s="131">
        <f>INDEX('Informacion del AEP'!$D$79:$N$102,MATCH('Costos aguas abajo'!$C85,'Informacion del AEP'!$C$79:$C$102,0),MATCH('Costos aguas abajo'!$C$64,'Informacion del AEP'!$D$78:$N$78,0))</f>
        <v>666666.66666666663</v>
      </c>
      <c r="F85" s="133">
        <f>D85*Supuestos!$C51</f>
        <v>66666.666666666672</v>
      </c>
      <c r="G85" s="133">
        <f>D85*(1-Supuestos!$C51)</f>
        <v>600000</v>
      </c>
      <c r="I85" s="133">
        <f t="shared" si="5"/>
        <v>66666.666666666672</v>
      </c>
      <c r="J85" s="133">
        <f>G85*Supuestos!$C$26</f>
        <v>1058.3777655999002</v>
      </c>
      <c r="K85" s="133">
        <f>(I85+J85)*(1/Supuestos!$C$26)</f>
        <v>38393688.888888896</v>
      </c>
    </row>
    <row r="86" spans="3:11" x14ac:dyDescent="0.2">
      <c r="C86" s="24" t="str">
        <f>'Informacion del AEP'!C100</f>
        <v xml:space="preserve">Servicios generales y de gestión - negocio </v>
      </c>
      <c r="D86" s="131">
        <f>INDEX('Informacion del AEP'!$D$79:$N$102,MATCH('Costos aguas abajo'!$C86,'Informacion del AEP'!$C$79:$C$102,0),MATCH('Costos aguas abajo'!$C$64,'Informacion del AEP'!$D$78:$N$78,0))</f>
        <v>666666.66666666663</v>
      </c>
      <c r="F86" s="133">
        <f>D86*Supuestos!$C52</f>
        <v>66666.666666666672</v>
      </c>
      <c r="G86" s="133">
        <f>D86*(1-Supuestos!$C52)</f>
        <v>600000</v>
      </c>
      <c r="I86" s="133">
        <f t="shared" si="5"/>
        <v>66666.666666666672</v>
      </c>
      <c r="J86" s="133">
        <f>G86*Supuestos!$C$26</f>
        <v>1058.3777655999002</v>
      </c>
      <c r="K86" s="133">
        <f>(I86+J86)*(1/Supuestos!$C$26)</f>
        <v>38393688.888888896</v>
      </c>
    </row>
    <row r="87" spans="3:11" x14ac:dyDescent="0.2">
      <c r="C87" s="24" t="str">
        <f>'Informacion del AEP'!C101</f>
        <v>Costo del Capital</v>
      </c>
      <c r="D87" s="131">
        <f>INDEX('Informacion del AEP'!$D$79:$N$102,MATCH('Costos aguas abajo'!$C87,'Informacion del AEP'!$C$79:$C$102,0),MATCH('Costos aguas abajo'!$C$64,'Informacion del AEP'!$D$78:$N$78,0))</f>
        <v>666666.66666666663</v>
      </c>
      <c r="F87" s="133">
        <f>D87*Supuestos!$C53</f>
        <v>66666.666666666672</v>
      </c>
      <c r="G87" s="133">
        <f>D87*(1-Supuestos!$C53)</f>
        <v>600000</v>
      </c>
      <c r="I87" s="133">
        <f t="shared" si="5"/>
        <v>66666.666666666672</v>
      </c>
      <c r="J87" s="133">
        <f>G87*Supuestos!$C$26</f>
        <v>1058.3777655999002</v>
      </c>
      <c r="K87" s="133">
        <f>(I87+J87)*(1/Supuestos!$C$26)</f>
        <v>38393688.888888896</v>
      </c>
    </row>
    <row r="89" spans="3:11" x14ac:dyDescent="0.2">
      <c r="C89" s="134" t="s">
        <v>82</v>
      </c>
      <c r="D89" s="72" t="str">
        <f>IF(D64='Informacion del AEP'!H102,"Ok","Error")</f>
        <v>Ok</v>
      </c>
    </row>
    <row r="91" spans="3:11" x14ac:dyDescent="0.2">
      <c r="C91" s="135" t="str">
        <f>Supuestos!$B$87</f>
        <v>Oferta 1</v>
      </c>
      <c r="D91" s="136">
        <f>SUM(D92:D114)</f>
        <v>1350000</v>
      </c>
      <c r="E91" s="137"/>
      <c r="F91" s="136">
        <f t="shared" ref="F91:G91" si="6">SUM(F92:F114)</f>
        <v>135000</v>
      </c>
      <c r="G91" s="136">
        <f t="shared" si="6"/>
        <v>1214999.9999999998</v>
      </c>
      <c r="H91" s="137"/>
      <c r="I91" s="136">
        <f>+F91</f>
        <v>135000</v>
      </c>
      <c r="J91" s="136">
        <f>SUM(J92:J114)</f>
        <v>2143.214975339798</v>
      </c>
      <c r="K91" s="136">
        <f>SUM(K92:K114)</f>
        <v>77747220.00000003</v>
      </c>
    </row>
    <row r="92" spans="3:11" x14ac:dyDescent="0.2">
      <c r="C92" s="24" t="str">
        <f>'Informacion del AEP'!C79</f>
        <v>Acceso a Internet</v>
      </c>
      <c r="D92" s="131">
        <f>INDEX('Informacion del AEP'!$D$79:$N$102,MATCH('Costos aguas abajo'!$C92,'Informacion del AEP'!$C$79:$C$102,0),MATCH('Costos aguas abajo'!$C$91,'Informacion del AEP'!$D$78:$N$78,0))</f>
        <v>666.66666666666674</v>
      </c>
      <c r="F92" s="133">
        <f>D92*Supuestos!$C31</f>
        <v>66.666666666666671</v>
      </c>
      <c r="G92" s="133">
        <f>D92*(1-Supuestos!$C31)</f>
        <v>600.00000000000011</v>
      </c>
      <c r="I92" s="133">
        <f>+F92</f>
        <v>66.666666666666671</v>
      </c>
      <c r="J92" s="133">
        <f>G92*Supuestos!$C$26</f>
        <v>1.0583777655999005</v>
      </c>
      <c r="K92" s="133">
        <f>(I92+J92)*(1/Supuestos!$C$26)</f>
        <v>38393.688888888893</v>
      </c>
    </row>
    <row r="93" spans="3:11" x14ac:dyDescent="0.2">
      <c r="C93" s="24" t="str">
        <f>'Informacion del AEP'!C80</f>
        <v>Servicios OTT de vídeo</v>
      </c>
      <c r="D93" s="131">
        <f>INDEX('Informacion del AEP'!$D$79:$N$102,MATCH('Costos aguas abajo'!$C93,'Informacion del AEP'!$C$79:$C$102,0),MATCH('Costos aguas abajo'!$C$91,'Informacion del AEP'!$D$78:$N$78,0))</f>
        <v>33333.333333333328</v>
      </c>
      <c r="F93" s="133">
        <f>D93*Supuestos!$C32</f>
        <v>3333.333333333333</v>
      </c>
      <c r="G93" s="133">
        <f>D93*(1-Supuestos!$C32)</f>
        <v>29999.999999999996</v>
      </c>
      <c r="I93" s="133">
        <f t="shared" ref="I93:I114" si="7">+F93</f>
        <v>3333.333333333333</v>
      </c>
      <c r="J93" s="133">
        <f>G93*Supuestos!$C$26</f>
        <v>52.918888279995009</v>
      </c>
      <c r="K93" s="133">
        <f>(I93+J93)*(1/Supuestos!$C$26)</f>
        <v>1919684.4444444443</v>
      </c>
    </row>
    <row r="94" spans="3:11" x14ac:dyDescent="0.2">
      <c r="C94" s="24" t="str">
        <f>'Informacion del AEP'!C81</f>
        <v>Servicios OTT de audio</v>
      </c>
      <c r="D94" s="131">
        <f>INDEX('Informacion del AEP'!$D$79:$N$102,MATCH('Costos aguas abajo'!$C94,'Informacion del AEP'!$C$79:$C$102,0),MATCH('Costos aguas abajo'!$C$91,'Informacion del AEP'!$D$78:$N$78,0))</f>
        <v>33333.333333333328</v>
      </c>
      <c r="F94" s="133">
        <f>D94*Supuestos!$C33</f>
        <v>3333.333333333333</v>
      </c>
      <c r="G94" s="133">
        <f>D94*(1-Supuestos!$C33)</f>
        <v>29999.999999999996</v>
      </c>
      <c r="I94" s="133">
        <f t="shared" si="7"/>
        <v>3333.333333333333</v>
      </c>
      <c r="J94" s="133">
        <f>G94*Supuestos!$C$26</f>
        <v>52.918888279995009</v>
      </c>
      <c r="K94" s="133">
        <f>(I94+J94)*(1/Supuestos!$C$26)</f>
        <v>1919684.4444444443</v>
      </c>
    </row>
    <row r="95" spans="3:11" x14ac:dyDescent="0.2">
      <c r="C95" s="24" t="str">
        <f>'Informacion del AEP'!C82</f>
        <v>Comerciales</v>
      </c>
      <c r="D95" s="131">
        <f>INDEX('Informacion del AEP'!$D$79:$N$102,MATCH('Costos aguas abajo'!$C95,'Informacion del AEP'!$C$79:$C$102,0),MATCH('Costos aguas abajo'!$C$91,'Informacion del AEP'!$D$78:$N$78,0))</f>
        <v>66666.666666666657</v>
      </c>
      <c r="F95" s="133">
        <f>D95*Supuestos!$C34</f>
        <v>6666.6666666666661</v>
      </c>
      <c r="G95" s="133">
        <f>D95*(1-Supuestos!$C34)</f>
        <v>59999.999999999993</v>
      </c>
      <c r="I95" s="133">
        <f t="shared" si="7"/>
        <v>6666.6666666666661</v>
      </c>
      <c r="J95" s="133">
        <f>G95*Supuestos!$C$26</f>
        <v>105.83777655999002</v>
      </c>
      <c r="K95" s="133">
        <f>(I95+J95)*(1/Supuestos!$C$26)</f>
        <v>3839368.8888888885</v>
      </c>
    </row>
    <row r="96" spans="3:11" x14ac:dyDescent="0.2">
      <c r="C96" s="24" t="str">
        <f>'Informacion del AEP'!C83</f>
        <v>Facturación</v>
      </c>
      <c r="D96" s="131">
        <f>INDEX('Informacion del AEP'!$D$79:$N$102,MATCH('Costos aguas abajo'!$C96,'Informacion del AEP'!$C$79:$C$102,0),MATCH('Costos aguas abajo'!$C$91,'Informacion del AEP'!$D$78:$N$78,0))</f>
        <v>66666.666666666657</v>
      </c>
      <c r="F96" s="133">
        <f>D96*Supuestos!$C35</f>
        <v>6666.6666666666661</v>
      </c>
      <c r="G96" s="133">
        <f>D96*(1-Supuestos!$C35)</f>
        <v>59999.999999999993</v>
      </c>
      <c r="I96" s="133">
        <f t="shared" si="7"/>
        <v>6666.6666666666661</v>
      </c>
      <c r="J96" s="133">
        <f>G96*Supuestos!$C$26</f>
        <v>105.83777655999002</v>
      </c>
      <c r="K96" s="133">
        <f>(I96+J96)*(1/Supuestos!$C$26)</f>
        <v>3839368.8888888885</v>
      </c>
    </row>
    <row r="97" spans="3:11" x14ac:dyDescent="0.2">
      <c r="C97" s="24" t="str">
        <f>'Informacion del AEP'!C84</f>
        <v>Cobranza</v>
      </c>
      <c r="D97" s="131">
        <f>INDEX('Informacion del AEP'!$D$79:$N$102,MATCH('Costos aguas abajo'!$C97,'Informacion del AEP'!$C$79:$C$102,0),MATCH('Costos aguas abajo'!$C$91,'Informacion del AEP'!$D$78:$N$78,0))</f>
        <v>66666.666666666657</v>
      </c>
      <c r="F97" s="133">
        <f>D97*Supuestos!$C36</f>
        <v>6666.6666666666661</v>
      </c>
      <c r="G97" s="133">
        <f>D97*(1-Supuestos!$C36)</f>
        <v>59999.999999999993</v>
      </c>
      <c r="I97" s="133">
        <f t="shared" si="7"/>
        <v>6666.6666666666661</v>
      </c>
      <c r="J97" s="133">
        <f>G97*Supuestos!$C$26</f>
        <v>105.83777655999002</v>
      </c>
      <c r="K97" s="133">
        <f>(I97+J97)*(1/Supuestos!$C$26)</f>
        <v>3839368.8888888885</v>
      </c>
    </row>
    <row r="98" spans="3:11" x14ac:dyDescent="0.2">
      <c r="C98" s="24" t="str">
        <f>'Informacion del AEP'!C85</f>
        <v>Tasas e impuestos</v>
      </c>
      <c r="D98" s="131">
        <f>INDEX('Informacion del AEP'!$D$79:$N$102,MATCH('Costos aguas abajo'!$C98,'Informacion del AEP'!$C$79:$C$102,0),MATCH('Costos aguas abajo'!$C$91,'Informacion del AEP'!$D$78:$N$78,0))</f>
        <v>66666.666666666657</v>
      </c>
      <c r="F98" s="133">
        <f>D98*Supuestos!$C37</f>
        <v>6666.6666666666661</v>
      </c>
      <c r="G98" s="133">
        <f>D98*(1-Supuestos!$C37)</f>
        <v>59999.999999999993</v>
      </c>
      <c r="I98" s="133">
        <f t="shared" si="7"/>
        <v>6666.6666666666661</v>
      </c>
      <c r="J98" s="133">
        <f>G98*Supuestos!$C$26</f>
        <v>105.83777655999002</v>
      </c>
      <c r="K98" s="133">
        <f>(I98+J98)*(1/Supuestos!$C$26)</f>
        <v>3839368.8888888885</v>
      </c>
    </row>
    <row r="99" spans="3:11" x14ac:dyDescent="0.2">
      <c r="C99" s="24" t="str">
        <f>'Informacion del AEP'!C86</f>
        <v>Programas de fidelización</v>
      </c>
      <c r="D99" s="131">
        <f>INDEX('Informacion del AEP'!$D$79:$N$102,MATCH('Costos aguas abajo'!$C99,'Informacion del AEP'!$C$79:$C$102,0),MATCH('Costos aguas abajo'!$C$91,'Informacion del AEP'!$D$78:$N$78,0))</f>
        <v>66666.666666666657</v>
      </c>
      <c r="F99" s="133">
        <f>D99*Supuestos!$C38</f>
        <v>6666.6666666666661</v>
      </c>
      <c r="G99" s="133">
        <f>D99*(1-Supuestos!$C38)</f>
        <v>59999.999999999993</v>
      </c>
      <c r="I99" s="133">
        <f t="shared" si="7"/>
        <v>6666.6666666666661</v>
      </c>
      <c r="J99" s="133">
        <f>G99*Supuestos!$C$26</f>
        <v>105.83777655999002</v>
      </c>
      <c r="K99" s="133">
        <f>(I99+J99)*(1/Supuestos!$C$26)</f>
        <v>3839368.8888888885</v>
      </c>
    </row>
    <row r="100" spans="3:11" x14ac:dyDescent="0.2">
      <c r="C100" s="24" t="str">
        <f>'Informacion del AEP'!C87</f>
        <v>Acceso internet internacional</v>
      </c>
      <c r="D100" s="131">
        <f>INDEX('Informacion del AEP'!$D$79:$N$102,MATCH('Costos aguas abajo'!$C100,'Informacion del AEP'!$C$79:$C$102,0),MATCH('Costos aguas abajo'!$C$91,'Informacion del AEP'!$D$78:$N$78,0))</f>
        <v>66666.666666666657</v>
      </c>
      <c r="F100" s="133">
        <f>D100*Supuestos!$C39</f>
        <v>6666.6666666666661</v>
      </c>
      <c r="G100" s="133">
        <f>D100*(1-Supuestos!$C39)</f>
        <v>59999.999999999993</v>
      </c>
      <c r="I100" s="133">
        <f t="shared" si="7"/>
        <v>6666.6666666666661</v>
      </c>
      <c r="J100" s="133">
        <f>G100*Supuestos!$C$26</f>
        <v>105.83777655999002</v>
      </c>
      <c r="K100" s="133">
        <f>(I100+J100)*(1/Supuestos!$C$26)</f>
        <v>3839368.8888888885</v>
      </c>
    </row>
    <row r="101" spans="3:11" x14ac:dyDescent="0.2">
      <c r="C101" s="24" t="str">
        <f>'Informacion del AEP'!C88</f>
        <v>Terminación en destinos nacionales-fijo</v>
      </c>
      <c r="D101" s="131">
        <f>INDEX('Informacion del AEP'!$D$79:$N$102,MATCH('Costos aguas abajo'!$C101,'Informacion del AEP'!$C$79:$C$102,0),MATCH('Costos aguas abajo'!$C$91,'Informacion del AEP'!$D$78:$N$78,0))</f>
        <v>66666.666666666657</v>
      </c>
      <c r="F101" s="133">
        <f>D101*Supuestos!$C40</f>
        <v>6666.6666666666661</v>
      </c>
      <c r="G101" s="133">
        <f>D101*(1-Supuestos!$C40)</f>
        <v>59999.999999999993</v>
      </c>
      <c r="I101" s="133">
        <f t="shared" si="7"/>
        <v>6666.6666666666661</v>
      </c>
      <c r="J101" s="133">
        <f>G101*Supuestos!$C$26</f>
        <v>105.83777655999002</v>
      </c>
      <c r="K101" s="133">
        <f>(I101+J101)*(1/Supuestos!$C$26)</f>
        <v>3839368.8888888885</v>
      </c>
    </row>
    <row r="102" spans="3:11" x14ac:dyDescent="0.2">
      <c r="C102" s="24" t="str">
        <f>'Informacion del AEP'!C89</f>
        <v>Terminación en destinos nacionales-móvil</v>
      </c>
      <c r="D102" s="131">
        <f>INDEX('Informacion del AEP'!$D$79:$N$102,MATCH('Costos aguas abajo'!$C102,'Informacion del AEP'!$C$79:$C$102,0),MATCH('Costos aguas abajo'!$C$91,'Informacion del AEP'!$D$78:$N$78,0))</f>
        <v>66666.666666666657</v>
      </c>
      <c r="F102" s="133">
        <f>D102*Supuestos!$C41</f>
        <v>6666.6666666666661</v>
      </c>
      <c r="G102" s="133">
        <f>D102*(1-Supuestos!$C41)</f>
        <v>59999.999999999993</v>
      </c>
      <c r="I102" s="133">
        <f t="shared" si="7"/>
        <v>6666.6666666666661</v>
      </c>
      <c r="J102" s="133">
        <f>G102*Supuestos!$C$26</f>
        <v>105.83777655999002</v>
      </c>
      <c r="K102" s="133">
        <f>(I102+J102)*(1/Supuestos!$C$26)</f>
        <v>3839368.8888888885</v>
      </c>
    </row>
    <row r="103" spans="3:11" x14ac:dyDescent="0.2">
      <c r="C103" s="24" t="str">
        <f>'Informacion del AEP'!C90</f>
        <v>Terminación en destinos nacionales-mensajes</v>
      </c>
      <c r="D103" s="131">
        <f>INDEX('Informacion del AEP'!$D$79:$N$102,MATCH('Costos aguas abajo'!$C103,'Informacion del AEP'!$C$79:$C$102,0),MATCH('Costos aguas abajo'!$C$91,'Informacion del AEP'!$D$78:$N$78,0))</f>
        <v>266666.66666666663</v>
      </c>
      <c r="F103" s="133">
        <f>D103*Supuestos!$C42</f>
        <v>26666.666666666664</v>
      </c>
      <c r="G103" s="133">
        <f>D103*(1-Supuestos!$C42)</f>
        <v>239999.99999999997</v>
      </c>
      <c r="I103" s="133">
        <f t="shared" si="7"/>
        <v>26666.666666666664</v>
      </c>
      <c r="J103" s="133">
        <f>G103*Supuestos!$C$26</f>
        <v>423.35110623996007</v>
      </c>
      <c r="K103" s="133">
        <f>(I103+J103)*(1/Supuestos!$C$26)</f>
        <v>15357475.555555554</v>
      </c>
    </row>
    <row r="104" spans="3:11" x14ac:dyDescent="0.2">
      <c r="C104" s="24" t="str">
        <f>'Informacion del AEP'!C91</f>
        <v>Terminación en destinos internacionales</v>
      </c>
      <c r="D104" s="131">
        <f>INDEX('Informacion del AEP'!$D$79:$N$102,MATCH('Costos aguas abajo'!$C104,'Informacion del AEP'!$C$79:$C$102,0),MATCH('Costos aguas abajo'!$C$91,'Informacion del AEP'!$D$78:$N$78,0))</f>
        <v>40000</v>
      </c>
      <c r="F104" s="133">
        <f>D104*Supuestos!$C43</f>
        <v>4000</v>
      </c>
      <c r="G104" s="133">
        <f>D104*(1-Supuestos!$C43)</f>
        <v>36000</v>
      </c>
      <c r="I104" s="133">
        <f t="shared" si="7"/>
        <v>4000</v>
      </c>
      <c r="J104" s="133">
        <f>G104*Supuestos!$C$26</f>
        <v>63.502665935994017</v>
      </c>
      <c r="K104" s="133">
        <f>(I104+J104)*(1/Supuestos!$C$26)</f>
        <v>2303621.3333333335</v>
      </c>
    </row>
    <row r="105" spans="3:11" x14ac:dyDescent="0.2">
      <c r="C105" s="24" t="str">
        <f>'Informacion del AEP'!C92</f>
        <v>Terminación en destinos internacionales-mensajes</v>
      </c>
      <c r="D105" s="131">
        <f>INDEX('Informacion del AEP'!$D$79:$N$102,MATCH('Costos aguas abajo'!$C105,'Informacion del AEP'!$C$79:$C$102,0),MATCH('Costos aguas abajo'!$C$91,'Informacion del AEP'!$D$78:$N$78,0))</f>
        <v>40000</v>
      </c>
      <c r="F105" s="133">
        <f>D105*Supuestos!$C44</f>
        <v>4000</v>
      </c>
      <c r="G105" s="133">
        <f>D105*(1-Supuestos!$C44)</f>
        <v>36000</v>
      </c>
      <c r="I105" s="133">
        <f t="shared" si="7"/>
        <v>4000</v>
      </c>
      <c r="J105" s="133">
        <f>G105*Supuestos!$C$26</f>
        <v>63.502665935994017</v>
      </c>
      <c r="K105" s="133">
        <f>(I105+J105)*(1/Supuestos!$C$26)</f>
        <v>2303621.3333333335</v>
      </c>
    </row>
    <row r="106" spans="3:11" x14ac:dyDescent="0.2">
      <c r="C106" s="24" t="str">
        <f>'Informacion del AEP'!C93</f>
        <v>Roaming internacional - voz - outbound</v>
      </c>
      <c r="D106" s="131">
        <f>INDEX('Informacion del AEP'!$D$79:$N$102,MATCH('Costos aguas abajo'!$C106,'Informacion del AEP'!$C$79:$C$102,0),MATCH('Costos aguas abajo'!$C$91,'Informacion del AEP'!$D$78:$N$78,0))</f>
        <v>2000</v>
      </c>
      <c r="F106" s="133">
        <f>D106*Supuestos!$C45</f>
        <v>200</v>
      </c>
      <c r="G106" s="133">
        <f>D106*(1-Supuestos!$C45)</f>
        <v>1800</v>
      </c>
      <c r="I106" s="133">
        <f t="shared" si="7"/>
        <v>200</v>
      </c>
      <c r="J106" s="133">
        <f>G106*Supuestos!$C$26</f>
        <v>3.1751332967997006</v>
      </c>
      <c r="K106" s="133">
        <f>(I106+J106)*(1/Supuestos!$C$26)</f>
        <v>115181.06666666668</v>
      </c>
    </row>
    <row r="107" spans="3:11" x14ac:dyDescent="0.2">
      <c r="C107" s="24" t="str">
        <f>'Informacion del AEP'!C94</f>
        <v>Roaming internacional - mensajes - outbound</v>
      </c>
      <c r="D107" s="131">
        <f>INDEX('Informacion del AEP'!$D$79:$N$102,MATCH('Costos aguas abajo'!$C107,'Informacion del AEP'!$C$79:$C$102,0),MATCH('Costos aguas abajo'!$C$91,'Informacion del AEP'!$D$78:$N$78,0))</f>
        <v>666.66666666666674</v>
      </c>
      <c r="F107" s="133">
        <f>D107*Supuestos!$C46</f>
        <v>66.666666666666671</v>
      </c>
      <c r="G107" s="133">
        <f>D107*(1-Supuestos!$C46)</f>
        <v>600.00000000000011</v>
      </c>
      <c r="I107" s="133">
        <f t="shared" si="7"/>
        <v>66.666666666666671</v>
      </c>
      <c r="J107" s="133">
        <f>G107*Supuestos!$C$26</f>
        <v>1.0583777655999005</v>
      </c>
      <c r="K107" s="133">
        <f>(I107+J107)*(1/Supuestos!$C$26)</f>
        <v>38393.688888888893</v>
      </c>
    </row>
    <row r="108" spans="3:11" x14ac:dyDescent="0.2">
      <c r="C108" s="24" t="str">
        <f>'Informacion del AEP'!C95</f>
        <v>Roaming internacional - datos - outbound</v>
      </c>
      <c r="D108" s="131">
        <f>INDEX('Informacion del AEP'!$D$79:$N$102,MATCH('Costos aguas abajo'!$C108,'Informacion del AEP'!$C$79:$C$102,0),MATCH('Costos aguas abajo'!$C$91,'Informacion del AEP'!$D$78:$N$78,0))</f>
        <v>33333.333333333328</v>
      </c>
      <c r="F108" s="133">
        <f>D108*Supuestos!$C47</f>
        <v>3333.333333333333</v>
      </c>
      <c r="G108" s="133">
        <f>D108*(1-Supuestos!$C47)</f>
        <v>29999.999999999996</v>
      </c>
      <c r="I108" s="133">
        <f t="shared" si="7"/>
        <v>3333.333333333333</v>
      </c>
      <c r="J108" s="133">
        <f>G108*Supuestos!$C$26</f>
        <v>52.918888279995009</v>
      </c>
      <c r="K108" s="133">
        <f>(I108+J108)*(1/Supuestos!$C$26)</f>
        <v>1919684.4444444443</v>
      </c>
    </row>
    <row r="109" spans="3:11" x14ac:dyDescent="0.2">
      <c r="C109" s="24" t="str">
        <f>'Informacion del AEP'!C96</f>
        <v>Provisiones</v>
      </c>
      <c r="D109" s="131">
        <f>INDEX('Informacion del AEP'!$D$79:$N$102,MATCH('Costos aguas abajo'!$C109,'Informacion del AEP'!$C$79:$C$102,0),MATCH('Costos aguas abajo'!$C$91,'Informacion del AEP'!$D$78:$N$78,0))</f>
        <v>33333.333333333328</v>
      </c>
      <c r="F109" s="133">
        <f>D109*Supuestos!$C48</f>
        <v>3333.333333333333</v>
      </c>
      <c r="G109" s="133">
        <f>D109*(1-Supuestos!$C48)</f>
        <v>29999.999999999996</v>
      </c>
      <c r="I109" s="133">
        <f t="shared" si="7"/>
        <v>3333.333333333333</v>
      </c>
      <c r="J109" s="133">
        <f>G109*Supuestos!$C$26</f>
        <v>52.918888279995009</v>
      </c>
      <c r="K109" s="133">
        <f>(I109+J109)*(1/Supuestos!$C$26)</f>
        <v>1919684.4444444443</v>
      </c>
    </row>
    <row r="110" spans="3:11" x14ac:dyDescent="0.2">
      <c r="C110" s="24" t="str">
        <f>'Informacion del AEP'!C97</f>
        <v>Costos directos de la venta de terminales</v>
      </c>
      <c r="D110" s="131">
        <f>INDEX('Informacion del AEP'!$D$79:$N$102,MATCH('Costos aguas abajo'!$C110,'Informacion del AEP'!$C$79:$C$102,0),MATCH('Costos aguas abajo'!$C$91,'Informacion del AEP'!$D$78:$N$78,0))</f>
        <v>66666.666666666657</v>
      </c>
      <c r="F110" s="133">
        <f>D110*Supuestos!$C49</f>
        <v>6666.6666666666661</v>
      </c>
      <c r="G110" s="133">
        <f>D110*(1-Supuestos!$C49)</f>
        <v>59999.999999999993</v>
      </c>
      <c r="I110" s="133">
        <f t="shared" si="7"/>
        <v>6666.6666666666661</v>
      </c>
      <c r="J110" s="133">
        <f>G110*Supuestos!$C$26</f>
        <v>105.83777655999002</v>
      </c>
      <c r="K110" s="133">
        <f>(I110+J110)*(1/Supuestos!$C$26)</f>
        <v>3839368.8888888885</v>
      </c>
    </row>
    <row r="111" spans="3:11" x14ac:dyDescent="0.2">
      <c r="C111" s="24" t="str">
        <f>'Informacion del AEP'!C98</f>
        <v>Servicios generales y de gestión - minoristas</v>
      </c>
      <c r="D111" s="131">
        <f>INDEX('Informacion del AEP'!$D$79:$N$102,MATCH('Costos aguas abajo'!$C111,'Informacion del AEP'!$C$79:$C$102,0),MATCH('Costos aguas abajo'!$C$91,'Informacion del AEP'!$D$78:$N$78,0))</f>
        <v>66666.666666666657</v>
      </c>
      <c r="F111" s="133">
        <f>D111*Supuestos!$C50</f>
        <v>6666.6666666666661</v>
      </c>
      <c r="G111" s="133">
        <f>D111*(1-Supuestos!$C50)</f>
        <v>59999.999999999993</v>
      </c>
      <c r="I111" s="133">
        <f t="shared" si="7"/>
        <v>6666.6666666666661</v>
      </c>
      <c r="J111" s="133">
        <f>G111*Supuestos!$C$26</f>
        <v>105.83777655999002</v>
      </c>
      <c r="K111" s="133">
        <f>(I111+J111)*(1/Supuestos!$C$26)</f>
        <v>3839368.8888888885</v>
      </c>
    </row>
    <row r="112" spans="3:11" x14ac:dyDescent="0.2">
      <c r="C112" s="24" t="str">
        <f>'Informacion del AEP'!C99</f>
        <v>Servicios generales y de gestión - red</v>
      </c>
      <c r="D112" s="131">
        <f>INDEX('Informacion del AEP'!$D$79:$N$102,MATCH('Costos aguas abajo'!$C112,'Informacion del AEP'!$C$79:$C$102,0),MATCH('Costos aguas abajo'!$C$91,'Informacion del AEP'!$D$78:$N$78,0))</f>
        <v>66666.666666666657</v>
      </c>
      <c r="F112" s="133">
        <f>D112*Supuestos!$C51</f>
        <v>6666.6666666666661</v>
      </c>
      <c r="G112" s="133">
        <f>D112*(1-Supuestos!$C51)</f>
        <v>59999.999999999993</v>
      </c>
      <c r="I112" s="133">
        <f t="shared" si="7"/>
        <v>6666.6666666666661</v>
      </c>
      <c r="J112" s="133">
        <f>G112*Supuestos!$C$26</f>
        <v>105.83777655999002</v>
      </c>
      <c r="K112" s="133">
        <f>(I112+J112)*(1/Supuestos!$C$26)</f>
        <v>3839368.8888888885</v>
      </c>
    </row>
    <row r="113" spans="3:11" x14ac:dyDescent="0.2">
      <c r="C113" s="24" t="str">
        <f>'Informacion del AEP'!C100</f>
        <v xml:space="preserve">Servicios generales y de gestión - negocio </v>
      </c>
      <c r="D113" s="131">
        <f>INDEX('Informacion del AEP'!$D$79:$N$102,MATCH('Costos aguas abajo'!$C113,'Informacion del AEP'!$C$79:$C$102,0),MATCH('Costos aguas abajo'!$C$91,'Informacion del AEP'!$D$78:$N$78,0))</f>
        <v>66666.666666666657</v>
      </c>
      <c r="F113" s="133">
        <f>D113*Supuestos!$C52</f>
        <v>6666.6666666666661</v>
      </c>
      <c r="G113" s="133">
        <f>D113*(1-Supuestos!$C52)</f>
        <v>59999.999999999993</v>
      </c>
      <c r="I113" s="133">
        <f t="shared" si="7"/>
        <v>6666.6666666666661</v>
      </c>
      <c r="J113" s="133">
        <f>G113*Supuestos!$C$26</f>
        <v>105.83777655999002</v>
      </c>
      <c r="K113" s="133">
        <f>(I113+J113)*(1/Supuestos!$C$26)</f>
        <v>3839368.8888888885</v>
      </c>
    </row>
    <row r="114" spans="3:11" x14ac:dyDescent="0.2">
      <c r="C114" s="24" t="str">
        <f>'Informacion del AEP'!C101</f>
        <v>Costo del Capital</v>
      </c>
      <c r="D114" s="131">
        <f>INDEX('Informacion del AEP'!$D$79:$N$102,MATCH('Costos aguas abajo'!$C114,'Informacion del AEP'!$C$79:$C$102,0),MATCH('Costos aguas abajo'!$C$91,'Informacion del AEP'!$D$78:$N$78,0))</f>
        <v>66666.666666666657</v>
      </c>
      <c r="F114" s="133">
        <f>D114*Supuestos!$C53</f>
        <v>6666.6666666666661</v>
      </c>
      <c r="G114" s="133">
        <f>D114*(1-Supuestos!$C53)</f>
        <v>59999.999999999993</v>
      </c>
      <c r="I114" s="133">
        <f t="shared" si="7"/>
        <v>6666.6666666666661</v>
      </c>
      <c r="J114" s="133">
        <f>G114*Supuestos!$C$26</f>
        <v>105.83777655999002</v>
      </c>
      <c r="K114" s="133">
        <f>(I114+J114)*(1/Supuestos!$C$26)</f>
        <v>3839368.8888888885</v>
      </c>
    </row>
    <row r="115" spans="3:11" x14ac:dyDescent="0.2">
      <c r="D115" s="131"/>
    </row>
    <row r="116" spans="3:11" x14ac:dyDescent="0.2">
      <c r="C116" s="134" t="s">
        <v>82</v>
      </c>
      <c r="D116" s="72" t="str">
        <f>IF(D91='Informacion del AEP'!I102,"Ok","Error")</f>
        <v>Ok</v>
      </c>
    </row>
    <row r="117" spans="3:11" x14ac:dyDescent="0.2">
      <c r="D117" s="131"/>
    </row>
    <row r="118" spans="3:11" x14ac:dyDescent="0.2">
      <c r="C118" s="135" t="str">
        <f>Supuestos!$B$88</f>
        <v>Oferta 2</v>
      </c>
      <c r="D118" s="136">
        <f>SUM(D119:D141)</f>
        <v>1350000</v>
      </c>
      <c r="E118" s="137"/>
      <c r="F118" s="136">
        <f t="shared" ref="F118:G118" si="8">SUM(F119:F141)</f>
        <v>135000</v>
      </c>
      <c r="G118" s="136">
        <f t="shared" si="8"/>
        <v>1214999.9999999998</v>
      </c>
      <c r="H118" s="137"/>
      <c r="I118" s="136">
        <f>+F118</f>
        <v>135000</v>
      </c>
      <c r="J118" s="136">
        <f>SUM(J119:J141)</f>
        <v>2143.214975339798</v>
      </c>
      <c r="K118" s="136">
        <f>SUM(K119:K141)</f>
        <v>77747220.00000003</v>
      </c>
    </row>
    <row r="119" spans="3:11" x14ac:dyDescent="0.2">
      <c r="C119" s="24" t="str">
        <f>'Informacion del AEP'!C79</f>
        <v>Acceso a Internet</v>
      </c>
      <c r="D119" s="131">
        <f>INDEX('Informacion del AEP'!$D$79:$N$102,MATCH('Costos aguas abajo'!$C119,'Informacion del AEP'!$C$79:$C$102,0),MATCH('Costos aguas abajo'!$C$118,'Informacion del AEP'!$D$78:$N$78,0))</f>
        <v>666.66666666666674</v>
      </c>
      <c r="F119" s="133">
        <f>D119*Supuestos!$C31</f>
        <v>66.666666666666671</v>
      </c>
      <c r="G119" s="133">
        <f>D119*(1-Supuestos!$C31)</f>
        <v>600.00000000000011</v>
      </c>
      <c r="I119" s="133">
        <f>+F119</f>
        <v>66.666666666666671</v>
      </c>
      <c r="J119" s="133">
        <f>G119*Supuestos!$C$26</f>
        <v>1.0583777655999005</v>
      </c>
      <c r="K119" s="133">
        <f>(I119+J119)*(1/Supuestos!$C$26)</f>
        <v>38393.688888888893</v>
      </c>
    </row>
    <row r="120" spans="3:11" x14ac:dyDescent="0.2">
      <c r="C120" s="24" t="str">
        <f>'Informacion del AEP'!C80</f>
        <v>Servicios OTT de vídeo</v>
      </c>
      <c r="D120" s="131">
        <f>INDEX('Informacion del AEP'!$D$79:$N$102,MATCH('Costos aguas abajo'!$C120,'Informacion del AEP'!$C$79:$C$102,0),MATCH('Costos aguas abajo'!$C$118,'Informacion del AEP'!$D$78:$N$78,0))</f>
        <v>33333.333333333328</v>
      </c>
      <c r="F120" s="133">
        <f>D120*Supuestos!$C32</f>
        <v>3333.333333333333</v>
      </c>
      <c r="G120" s="133">
        <f>D120*(1-Supuestos!$C32)</f>
        <v>29999.999999999996</v>
      </c>
      <c r="I120" s="133">
        <f t="shared" ref="I120:I141" si="9">+F120</f>
        <v>3333.333333333333</v>
      </c>
      <c r="J120" s="133">
        <f>G120*Supuestos!$C$26</f>
        <v>52.918888279995009</v>
      </c>
      <c r="K120" s="133">
        <f>(I120+J120)*(1/Supuestos!$C$26)</f>
        <v>1919684.4444444443</v>
      </c>
    </row>
    <row r="121" spans="3:11" x14ac:dyDescent="0.2">
      <c r="C121" s="24" t="str">
        <f>'Informacion del AEP'!C81</f>
        <v>Servicios OTT de audio</v>
      </c>
      <c r="D121" s="131">
        <f>INDEX('Informacion del AEP'!$D$79:$N$102,MATCH('Costos aguas abajo'!$C121,'Informacion del AEP'!$C$79:$C$102,0),MATCH('Costos aguas abajo'!$C$118,'Informacion del AEP'!$D$78:$N$78,0))</f>
        <v>33333.333333333328</v>
      </c>
      <c r="F121" s="133">
        <f>D121*Supuestos!$C33</f>
        <v>3333.333333333333</v>
      </c>
      <c r="G121" s="133">
        <f>D121*(1-Supuestos!$C33)</f>
        <v>29999.999999999996</v>
      </c>
      <c r="I121" s="133">
        <f t="shared" si="9"/>
        <v>3333.333333333333</v>
      </c>
      <c r="J121" s="133">
        <f>G121*Supuestos!$C$26</f>
        <v>52.918888279995009</v>
      </c>
      <c r="K121" s="133">
        <f>(I121+J121)*(1/Supuestos!$C$26)</f>
        <v>1919684.4444444443</v>
      </c>
    </row>
    <row r="122" spans="3:11" x14ac:dyDescent="0.2">
      <c r="C122" s="24" t="str">
        <f>'Informacion del AEP'!C82</f>
        <v>Comerciales</v>
      </c>
      <c r="D122" s="131">
        <f>INDEX('Informacion del AEP'!$D$79:$N$102,MATCH('Costos aguas abajo'!$C122,'Informacion del AEP'!$C$79:$C$102,0),MATCH('Costos aguas abajo'!$C$118,'Informacion del AEP'!$D$78:$N$78,0))</f>
        <v>66666.666666666657</v>
      </c>
      <c r="F122" s="133">
        <f>D122*Supuestos!$C34</f>
        <v>6666.6666666666661</v>
      </c>
      <c r="G122" s="133">
        <f>D122*(1-Supuestos!$C34)</f>
        <v>59999.999999999993</v>
      </c>
      <c r="I122" s="133">
        <f t="shared" si="9"/>
        <v>6666.6666666666661</v>
      </c>
      <c r="J122" s="133">
        <f>G122*Supuestos!$C$26</f>
        <v>105.83777655999002</v>
      </c>
      <c r="K122" s="133">
        <f>(I122+J122)*(1/Supuestos!$C$26)</f>
        <v>3839368.8888888885</v>
      </c>
    </row>
    <row r="123" spans="3:11" x14ac:dyDescent="0.2">
      <c r="C123" s="24" t="str">
        <f>'Informacion del AEP'!C83</f>
        <v>Facturación</v>
      </c>
      <c r="D123" s="131">
        <f>INDEX('Informacion del AEP'!$D$79:$N$102,MATCH('Costos aguas abajo'!$C123,'Informacion del AEP'!$C$79:$C$102,0),MATCH('Costos aguas abajo'!$C$118,'Informacion del AEP'!$D$78:$N$78,0))</f>
        <v>66666.666666666657</v>
      </c>
      <c r="F123" s="133">
        <f>D123*Supuestos!$C35</f>
        <v>6666.6666666666661</v>
      </c>
      <c r="G123" s="133">
        <f>D123*(1-Supuestos!$C35)</f>
        <v>59999.999999999993</v>
      </c>
      <c r="I123" s="133">
        <f t="shared" si="9"/>
        <v>6666.6666666666661</v>
      </c>
      <c r="J123" s="133">
        <f>G123*Supuestos!$C$26</f>
        <v>105.83777655999002</v>
      </c>
      <c r="K123" s="133">
        <f>(I123+J123)*(1/Supuestos!$C$26)</f>
        <v>3839368.8888888885</v>
      </c>
    </row>
    <row r="124" spans="3:11" x14ac:dyDescent="0.2">
      <c r="C124" s="24" t="str">
        <f>'Informacion del AEP'!C84</f>
        <v>Cobranza</v>
      </c>
      <c r="D124" s="131">
        <f>INDEX('Informacion del AEP'!$D$79:$N$102,MATCH('Costos aguas abajo'!$C124,'Informacion del AEP'!$C$79:$C$102,0),MATCH('Costos aguas abajo'!$C$118,'Informacion del AEP'!$D$78:$N$78,0))</f>
        <v>66666.666666666657</v>
      </c>
      <c r="F124" s="133">
        <f>D124*Supuestos!$C36</f>
        <v>6666.6666666666661</v>
      </c>
      <c r="G124" s="133">
        <f>D124*(1-Supuestos!$C36)</f>
        <v>59999.999999999993</v>
      </c>
      <c r="I124" s="133">
        <f t="shared" si="9"/>
        <v>6666.6666666666661</v>
      </c>
      <c r="J124" s="133">
        <f>G124*Supuestos!$C$26</f>
        <v>105.83777655999002</v>
      </c>
      <c r="K124" s="133">
        <f>(I124+J124)*(1/Supuestos!$C$26)</f>
        <v>3839368.8888888885</v>
      </c>
    </row>
    <row r="125" spans="3:11" x14ac:dyDescent="0.2">
      <c r="C125" s="24" t="str">
        <f>'Informacion del AEP'!C85</f>
        <v>Tasas e impuestos</v>
      </c>
      <c r="D125" s="131">
        <f>INDEX('Informacion del AEP'!$D$79:$N$102,MATCH('Costos aguas abajo'!$C125,'Informacion del AEP'!$C$79:$C$102,0),MATCH('Costos aguas abajo'!$C$118,'Informacion del AEP'!$D$78:$N$78,0))</f>
        <v>66666.666666666657</v>
      </c>
      <c r="F125" s="133">
        <f>D125*Supuestos!$C37</f>
        <v>6666.6666666666661</v>
      </c>
      <c r="G125" s="133">
        <f>D125*(1-Supuestos!$C37)</f>
        <v>59999.999999999993</v>
      </c>
      <c r="I125" s="133">
        <f t="shared" si="9"/>
        <v>6666.6666666666661</v>
      </c>
      <c r="J125" s="133">
        <f>G125*Supuestos!$C$26</f>
        <v>105.83777655999002</v>
      </c>
      <c r="K125" s="133">
        <f>(I125+J125)*(1/Supuestos!$C$26)</f>
        <v>3839368.8888888885</v>
      </c>
    </row>
    <row r="126" spans="3:11" x14ac:dyDescent="0.2">
      <c r="C126" s="24" t="str">
        <f>'Informacion del AEP'!C86</f>
        <v>Programas de fidelización</v>
      </c>
      <c r="D126" s="131">
        <f>INDEX('Informacion del AEP'!$D$79:$N$102,MATCH('Costos aguas abajo'!$C126,'Informacion del AEP'!$C$79:$C$102,0),MATCH('Costos aguas abajo'!$C$118,'Informacion del AEP'!$D$78:$N$78,0))</f>
        <v>66666.666666666657</v>
      </c>
      <c r="F126" s="133">
        <f>D126*Supuestos!$C38</f>
        <v>6666.6666666666661</v>
      </c>
      <c r="G126" s="133">
        <f>D126*(1-Supuestos!$C38)</f>
        <v>59999.999999999993</v>
      </c>
      <c r="I126" s="133">
        <f t="shared" si="9"/>
        <v>6666.6666666666661</v>
      </c>
      <c r="J126" s="133">
        <f>G126*Supuestos!$C$26</f>
        <v>105.83777655999002</v>
      </c>
      <c r="K126" s="133">
        <f>(I126+J126)*(1/Supuestos!$C$26)</f>
        <v>3839368.8888888885</v>
      </c>
    </row>
    <row r="127" spans="3:11" x14ac:dyDescent="0.2">
      <c r="C127" s="24" t="str">
        <f>'Informacion del AEP'!C87</f>
        <v>Acceso internet internacional</v>
      </c>
      <c r="D127" s="131">
        <f>INDEX('Informacion del AEP'!$D$79:$N$102,MATCH('Costos aguas abajo'!$C127,'Informacion del AEP'!$C$79:$C$102,0),MATCH('Costos aguas abajo'!$C$118,'Informacion del AEP'!$D$78:$N$78,0))</f>
        <v>66666.666666666657</v>
      </c>
      <c r="F127" s="133">
        <f>D127*Supuestos!$C39</f>
        <v>6666.6666666666661</v>
      </c>
      <c r="G127" s="133">
        <f>D127*(1-Supuestos!$C39)</f>
        <v>59999.999999999993</v>
      </c>
      <c r="I127" s="133">
        <f t="shared" si="9"/>
        <v>6666.6666666666661</v>
      </c>
      <c r="J127" s="133">
        <f>G127*Supuestos!$C$26</f>
        <v>105.83777655999002</v>
      </c>
      <c r="K127" s="133">
        <f>(I127+J127)*(1/Supuestos!$C$26)</f>
        <v>3839368.8888888885</v>
      </c>
    </row>
    <row r="128" spans="3:11" x14ac:dyDescent="0.2">
      <c r="C128" s="24" t="str">
        <f>'Informacion del AEP'!C88</f>
        <v>Terminación en destinos nacionales-fijo</v>
      </c>
      <c r="D128" s="131">
        <f>INDEX('Informacion del AEP'!$D$79:$N$102,MATCH('Costos aguas abajo'!$C128,'Informacion del AEP'!$C$79:$C$102,0),MATCH('Costos aguas abajo'!$C$118,'Informacion del AEP'!$D$78:$N$78,0))</f>
        <v>66666.666666666657</v>
      </c>
      <c r="F128" s="133">
        <f>D128*Supuestos!$C40</f>
        <v>6666.6666666666661</v>
      </c>
      <c r="G128" s="133">
        <f>D128*(1-Supuestos!$C40)</f>
        <v>59999.999999999993</v>
      </c>
      <c r="I128" s="133">
        <f t="shared" si="9"/>
        <v>6666.6666666666661</v>
      </c>
      <c r="J128" s="133">
        <f>G128*Supuestos!$C$26</f>
        <v>105.83777655999002</v>
      </c>
      <c r="K128" s="133">
        <f>(I128+J128)*(1/Supuestos!$C$26)</f>
        <v>3839368.8888888885</v>
      </c>
    </row>
    <row r="129" spans="3:11" x14ac:dyDescent="0.2">
      <c r="C129" s="24" t="str">
        <f>'Informacion del AEP'!C89</f>
        <v>Terminación en destinos nacionales-móvil</v>
      </c>
      <c r="D129" s="131">
        <f>INDEX('Informacion del AEP'!$D$79:$N$102,MATCH('Costos aguas abajo'!$C129,'Informacion del AEP'!$C$79:$C$102,0),MATCH('Costos aguas abajo'!$C$118,'Informacion del AEP'!$D$78:$N$78,0))</f>
        <v>66666.666666666657</v>
      </c>
      <c r="F129" s="133">
        <f>D129*Supuestos!$C41</f>
        <v>6666.6666666666661</v>
      </c>
      <c r="G129" s="133">
        <f>D129*(1-Supuestos!$C41)</f>
        <v>59999.999999999993</v>
      </c>
      <c r="I129" s="133">
        <f t="shared" si="9"/>
        <v>6666.6666666666661</v>
      </c>
      <c r="J129" s="133">
        <f>G129*Supuestos!$C$26</f>
        <v>105.83777655999002</v>
      </c>
      <c r="K129" s="133">
        <f>(I129+J129)*(1/Supuestos!$C$26)</f>
        <v>3839368.8888888885</v>
      </c>
    </row>
    <row r="130" spans="3:11" x14ac:dyDescent="0.2">
      <c r="C130" s="24" t="str">
        <f>'Informacion del AEP'!C90</f>
        <v>Terminación en destinos nacionales-mensajes</v>
      </c>
      <c r="D130" s="131">
        <f>INDEX('Informacion del AEP'!$D$79:$N$102,MATCH('Costos aguas abajo'!$C130,'Informacion del AEP'!$C$79:$C$102,0),MATCH('Costos aguas abajo'!$C$118,'Informacion del AEP'!$D$78:$N$78,0))</f>
        <v>266666.66666666663</v>
      </c>
      <c r="F130" s="133">
        <f>D130*Supuestos!$C42</f>
        <v>26666.666666666664</v>
      </c>
      <c r="G130" s="133">
        <f>D130*(1-Supuestos!$C42)</f>
        <v>239999.99999999997</v>
      </c>
      <c r="I130" s="133">
        <f t="shared" si="9"/>
        <v>26666.666666666664</v>
      </c>
      <c r="J130" s="133">
        <f>G130*Supuestos!$C$26</f>
        <v>423.35110623996007</v>
      </c>
      <c r="K130" s="133">
        <f>(I130+J130)*(1/Supuestos!$C$26)</f>
        <v>15357475.555555554</v>
      </c>
    </row>
    <row r="131" spans="3:11" x14ac:dyDescent="0.2">
      <c r="C131" s="24" t="str">
        <f>'Informacion del AEP'!C91</f>
        <v>Terminación en destinos internacionales</v>
      </c>
      <c r="D131" s="131">
        <f>INDEX('Informacion del AEP'!$D$79:$N$102,MATCH('Costos aguas abajo'!$C131,'Informacion del AEP'!$C$79:$C$102,0),MATCH('Costos aguas abajo'!$C$118,'Informacion del AEP'!$D$78:$N$78,0))</f>
        <v>40000</v>
      </c>
      <c r="F131" s="133">
        <f>D131*Supuestos!$C43</f>
        <v>4000</v>
      </c>
      <c r="G131" s="133">
        <f>D131*(1-Supuestos!$C43)</f>
        <v>36000</v>
      </c>
      <c r="I131" s="133">
        <f t="shared" si="9"/>
        <v>4000</v>
      </c>
      <c r="J131" s="133">
        <f>G131*Supuestos!$C$26</f>
        <v>63.502665935994017</v>
      </c>
      <c r="K131" s="133">
        <f>(I131+J131)*(1/Supuestos!$C$26)</f>
        <v>2303621.3333333335</v>
      </c>
    </row>
    <row r="132" spans="3:11" x14ac:dyDescent="0.2">
      <c r="C132" s="24" t="str">
        <f>'Informacion del AEP'!C92</f>
        <v>Terminación en destinos internacionales-mensajes</v>
      </c>
      <c r="D132" s="131">
        <f>INDEX('Informacion del AEP'!$D$79:$N$102,MATCH('Costos aguas abajo'!$C132,'Informacion del AEP'!$C$79:$C$102,0),MATCH('Costos aguas abajo'!$C$118,'Informacion del AEP'!$D$78:$N$78,0))</f>
        <v>40000</v>
      </c>
      <c r="F132" s="133">
        <f>D132*Supuestos!$C44</f>
        <v>4000</v>
      </c>
      <c r="G132" s="133">
        <f>D132*(1-Supuestos!$C44)</f>
        <v>36000</v>
      </c>
      <c r="I132" s="133">
        <f t="shared" si="9"/>
        <v>4000</v>
      </c>
      <c r="J132" s="133">
        <f>G132*Supuestos!$C$26</f>
        <v>63.502665935994017</v>
      </c>
      <c r="K132" s="133">
        <f>(I132+J132)*(1/Supuestos!$C$26)</f>
        <v>2303621.3333333335</v>
      </c>
    </row>
    <row r="133" spans="3:11" x14ac:dyDescent="0.2">
      <c r="C133" s="24" t="str">
        <f>'Informacion del AEP'!C93</f>
        <v>Roaming internacional - voz - outbound</v>
      </c>
      <c r="D133" s="131">
        <f>INDEX('Informacion del AEP'!$D$79:$N$102,MATCH('Costos aguas abajo'!$C133,'Informacion del AEP'!$C$79:$C$102,0),MATCH('Costos aguas abajo'!$C$118,'Informacion del AEP'!$D$78:$N$78,0))</f>
        <v>2000</v>
      </c>
      <c r="F133" s="133">
        <f>D133*Supuestos!$C45</f>
        <v>200</v>
      </c>
      <c r="G133" s="133">
        <f>D133*(1-Supuestos!$C45)</f>
        <v>1800</v>
      </c>
      <c r="I133" s="133">
        <f t="shared" si="9"/>
        <v>200</v>
      </c>
      <c r="J133" s="133">
        <f>G133*Supuestos!$C$26</f>
        <v>3.1751332967997006</v>
      </c>
      <c r="K133" s="133">
        <f>(I133+J133)*(1/Supuestos!$C$26)</f>
        <v>115181.06666666668</v>
      </c>
    </row>
    <row r="134" spans="3:11" x14ac:dyDescent="0.2">
      <c r="C134" s="24" t="str">
        <f>'Informacion del AEP'!C94</f>
        <v>Roaming internacional - mensajes - outbound</v>
      </c>
      <c r="D134" s="131">
        <f>INDEX('Informacion del AEP'!$D$79:$N$102,MATCH('Costos aguas abajo'!$C134,'Informacion del AEP'!$C$79:$C$102,0),MATCH('Costos aguas abajo'!$C$118,'Informacion del AEP'!$D$78:$N$78,0))</f>
        <v>666.66666666666674</v>
      </c>
      <c r="F134" s="133">
        <f>D134*Supuestos!$C46</f>
        <v>66.666666666666671</v>
      </c>
      <c r="G134" s="133">
        <f>D134*(1-Supuestos!$C46)</f>
        <v>600.00000000000011</v>
      </c>
      <c r="I134" s="133">
        <f t="shared" si="9"/>
        <v>66.666666666666671</v>
      </c>
      <c r="J134" s="133">
        <f>G134*Supuestos!$C$26</f>
        <v>1.0583777655999005</v>
      </c>
      <c r="K134" s="133">
        <f>(I134+J134)*(1/Supuestos!$C$26)</f>
        <v>38393.688888888893</v>
      </c>
    </row>
    <row r="135" spans="3:11" x14ac:dyDescent="0.2">
      <c r="C135" s="24" t="str">
        <f>'Informacion del AEP'!C95</f>
        <v>Roaming internacional - datos - outbound</v>
      </c>
      <c r="D135" s="131">
        <f>INDEX('Informacion del AEP'!$D$79:$N$102,MATCH('Costos aguas abajo'!$C135,'Informacion del AEP'!$C$79:$C$102,0),MATCH('Costos aguas abajo'!$C$118,'Informacion del AEP'!$D$78:$N$78,0))</f>
        <v>33333.333333333328</v>
      </c>
      <c r="F135" s="133">
        <f>D135*Supuestos!$C47</f>
        <v>3333.333333333333</v>
      </c>
      <c r="G135" s="133">
        <f>D135*(1-Supuestos!$C47)</f>
        <v>29999.999999999996</v>
      </c>
      <c r="I135" s="133">
        <f t="shared" si="9"/>
        <v>3333.333333333333</v>
      </c>
      <c r="J135" s="133">
        <f>G135*Supuestos!$C$26</f>
        <v>52.918888279995009</v>
      </c>
      <c r="K135" s="133">
        <f>(I135+J135)*(1/Supuestos!$C$26)</f>
        <v>1919684.4444444443</v>
      </c>
    </row>
    <row r="136" spans="3:11" x14ac:dyDescent="0.2">
      <c r="C136" s="24" t="str">
        <f>'Informacion del AEP'!C96</f>
        <v>Provisiones</v>
      </c>
      <c r="D136" s="131">
        <f>INDEX('Informacion del AEP'!$D$79:$N$102,MATCH('Costos aguas abajo'!$C136,'Informacion del AEP'!$C$79:$C$102,0),MATCH('Costos aguas abajo'!$C$118,'Informacion del AEP'!$D$78:$N$78,0))</f>
        <v>33333.333333333328</v>
      </c>
      <c r="F136" s="133">
        <f>D136*Supuestos!$C48</f>
        <v>3333.333333333333</v>
      </c>
      <c r="G136" s="133">
        <f>D136*(1-Supuestos!$C48)</f>
        <v>29999.999999999996</v>
      </c>
      <c r="I136" s="133">
        <f t="shared" si="9"/>
        <v>3333.333333333333</v>
      </c>
      <c r="J136" s="133">
        <f>G136*Supuestos!$C$26</f>
        <v>52.918888279995009</v>
      </c>
      <c r="K136" s="133">
        <f>(I136+J136)*(1/Supuestos!$C$26)</f>
        <v>1919684.4444444443</v>
      </c>
    </row>
    <row r="137" spans="3:11" x14ac:dyDescent="0.2">
      <c r="C137" s="24" t="str">
        <f>'Informacion del AEP'!C97</f>
        <v>Costos directos de la venta de terminales</v>
      </c>
      <c r="D137" s="131">
        <f>INDEX('Informacion del AEP'!$D$79:$N$102,MATCH('Costos aguas abajo'!$C137,'Informacion del AEP'!$C$79:$C$102,0),MATCH('Costos aguas abajo'!$C$118,'Informacion del AEP'!$D$78:$N$78,0))</f>
        <v>66666.666666666657</v>
      </c>
      <c r="F137" s="133">
        <f>D137*Supuestos!$C49</f>
        <v>6666.6666666666661</v>
      </c>
      <c r="G137" s="133">
        <f>D137*(1-Supuestos!$C49)</f>
        <v>59999.999999999993</v>
      </c>
      <c r="I137" s="133">
        <f t="shared" si="9"/>
        <v>6666.6666666666661</v>
      </c>
      <c r="J137" s="133">
        <f>G137*Supuestos!$C$26</f>
        <v>105.83777655999002</v>
      </c>
      <c r="K137" s="133">
        <f>(I137+J137)*(1/Supuestos!$C$26)</f>
        <v>3839368.8888888885</v>
      </c>
    </row>
    <row r="138" spans="3:11" x14ac:dyDescent="0.2">
      <c r="C138" s="24" t="str">
        <f>'Informacion del AEP'!C98</f>
        <v>Servicios generales y de gestión - minoristas</v>
      </c>
      <c r="D138" s="131">
        <f>INDEX('Informacion del AEP'!$D$79:$N$102,MATCH('Costos aguas abajo'!$C138,'Informacion del AEP'!$C$79:$C$102,0),MATCH('Costos aguas abajo'!$C$118,'Informacion del AEP'!$D$78:$N$78,0))</f>
        <v>66666.666666666657</v>
      </c>
      <c r="F138" s="133">
        <f>D138*Supuestos!$C50</f>
        <v>6666.6666666666661</v>
      </c>
      <c r="G138" s="133">
        <f>D138*(1-Supuestos!$C50)</f>
        <v>59999.999999999993</v>
      </c>
      <c r="I138" s="133">
        <f t="shared" si="9"/>
        <v>6666.6666666666661</v>
      </c>
      <c r="J138" s="133">
        <f>G138*Supuestos!$C$26</f>
        <v>105.83777655999002</v>
      </c>
      <c r="K138" s="133">
        <f>(I138+J138)*(1/Supuestos!$C$26)</f>
        <v>3839368.8888888885</v>
      </c>
    </row>
    <row r="139" spans="3:11" x14ac:dyDescent="0.2">
      <c r="C139" s="24" t="str">
        <f>'Informacion del AEP'!C99</f>
        <v>Servicios generales y de gestión - red</v>
      </c>
      <c r="D139" s="131">
        <f>INDEX('Informacion del AEP'!$D$79:$N$102,MATCH('Costos aguas abajo'!$C139,'Informacion del AEP'!$C$79:$C$102,0),MATCH('Costos aguas abajo'!$C$118,'Informacion del AEP'!$D$78:$N$78,0))</f>
        <v>66666.666666666657</v>
      </c>
      <c r="F139" s="133">
        <f>D139*Supuestos!$C51</f>
        <v>6666.6666666666661</v>
      </c>
      <c r="G139" s="133">
        <f>D139*(1-Supuestos!$C51)</f>
        <v>59999.999999999993</v>
      </c>
      <c r="I139" s="133">
        <f t="shared" si="9"/>
        <v>6666.6666666666661</v>
      </c>
      <c r="J139" s="133">
        <f>G139*Supuestos!$C$26</f>
        <v>105.83777655999002</v>
      </c>
      <c r="K139" s="133">
        <f>(I139+J139)*(1/Supuestos!$C$26)</f>
        <v>3839368.8888888885</v>
      </c>
    </row>
    <row r="140" spans="3:11" x14ac:dyDescent="0.2">
      <c r="C140" s="24" t="str">
        <f>'Informacion del AEP'!C100</f>
        <v xml:space="preserve">Servicios generales y de gestión - negocio </v>
      </c>
      <c r="D140" s="131">
        <f>INDEX('Informacion del AEP'!$D$79:$N$102,MATCH('Costos aguas abajo'!$C140,'Informacion del AEP'!$C$79:$C$102,0),MATCH('Costos aguas abajo'!$C$118,'Informacion del AEP'!$D$78:$N$78,0))</f>
        <v>66666.666666666657</v>
      </c>
      <c r="F140" s="133">
        <f>D140*Supuestos!$C52</f>
        <v>6666.6666666666661</v>
      </c>
      <c r="G140" s="133">
        <f>D140*(1-Supuestos!$C52)</f>
        <v>59999.999999999993</v>
      </c>
      <c r="I140" s="133">
        <f t="shared" si="9"/>
        <v>6666.6666666666661</v>
      </c>
      <c r="J140" s="133">
        <f>G140*Supuestos!$C$26</f>
        <v>105.83777655999002</v>
      </c>
      <c r="K140" s="133">
        <f>(I140+J140)*(1/Supuestos!$C$26)</f>
        <v>3839368.8888888885</v>
      </c>
    </row>
    <row r="141" spans="3:11" x14ac:dyDescent="0.2">
      <c r="C141" s="24" t="str">
        <f>'Informacion del AEP'!C101</f>
        <v>Costo del Capital</v>
      </c>
      <c r="D141" s="131">
        <f>INDEX('Informacion del AEP'!$D$79:$N$102,MATCH('Costos aguas abajo'!$C141,'Informacion del AEP'!$C$79:$C$102,0),MATCH('Costos aguas abajo'!$C$118,'Informacion del AEP'!$D$78:$N$78,0))</f>
        <v>66666.666666666657</v>
      </c>
      <c r="F141" s="133">
        <f>D141*Supuestos!$C53</f>
        <v>6666.6666666666661</v>
      </c>
      <c r="G141" s="133">
        <f>D141*(1-Supuestos!$C53)</f>
        <v>59999.999999999993</v>
      </c>
      <c r="I141" s="133">
        <f t="shared" si="9"/>
        <v>6666.6666666666661</v>
      </c>
      <c r="J141" s="133">
        <f>G141*Supuestos!$C$26</f>
        <v>105.83777655999002</v>
      </c>
      <c r="K141" s="133">
        <f>(I141+J141)*(1/Supuestos!$C$26)</f>
        <v>3839368.8888888885</v>
      </c>
    </row>
    <row r="143" spans="3:11" x14ac:dyDescent="0.2">
      <c r="C143" s="134" t="s">
        <v>82</v>
      </c>
      <c r="D143" s="72" t="str">
        <f>IF(D118='Informacion del AEP'!J102,"Ok","Error")</f>
        <v>Ok</v>
      </c>
    </row>
    <row r="145" spans="3:11" x14ac:dyDescent="0.2">
      <c r="C145" s="135" t="str">
        <f>Supuestos!$B$89</f>
        <v>Oferta 3</v>
      </c>
      <c r="D145" s="136">
        <f>SUM(D146:D168)</f>
        <v>1350000</v>
      </c>
      <c r="E145" s="137"/>
      <c r="F145" s="136">
        <f t="shared" ref="F145:G145" si="10">SUM(F146:F168)</f>
        <v>135000</v>
      </c>
      <c r="G145" s="136">
        <f t="shared" si="10"/>
        <v>1214999.9999999998</v>
      </c>
      <c r="H145" s="137"/>
      <c r="I145" s="136">
        <f>+F145</f>
        <v>135000</v>
      </c>
      <c r="J145" s="136">
        <f>SUM(J146:J168)</f>
        <v>2143.214975339798</v>
      </c>
      <c r="K145" s="136">
        <f>SUM(K146:K168)</f>
        <v>77747220.00000003</v>
      </c>
    </row>
    <row r="146" spans="3:11" x14ac:dyDescent="0.2">
      <c r="C146" s="24" t="str">
        <f>'Informacion del AEP'!C79</f>
        <v>Acceso a Internet</v>
      </c>
      <c r="D146" s="131">
        <f>INDEX('Informacion del AEP'!$D$79:$N$102,MATCH('Costos aguas abajo'!$C146,'Informacion del AEP'!$C$79:$C$102,0),MATCH('Costos aguas abajo'!$C$145,'Informacion del AEP'!$D$78:$N$78,0))</f>
        <v>666.66666666666674</v>
      </c>
      <c r="F146" s="133">
        <f>D146*Supuestos!$C31</f>
        <v>66.666666666666671</v>
      </c>
      <c r="G146" s="133">
        <f>D146*(1-Supuestos!$C31)</f>
        <v>600.00000000000011</v>
      </c>
      <c r="I146" s="133">
        <f>+F146</f>
        <v>66.666666666666671</v>
      </c>
      <c r="J146" s="133">
        <f>G146*Supuestos!$C$26</f>
        <v>1.0583777655999005</v>
      </c>
      <c r="K146" s="133">
        <f>(I146+J146)*(1/Supuestos!$C$26)</f>
        <v>38393.688888888893</v>
      </c>
    </row>
    <row r="147" spans="3:11" x14ac:dyDescent="0.2">
      <c r="C147" s="24" t="str">
        <f>'Informacion del AEP'!C80</f>
        <v>Servicios OTT de vídeo</v>
      </c>
      <c r="D147" s="131">
        <f>INDEX('Informacion del AEP'!$D$79:$N$102,MATCH('Costos aguas abajo'!$C147,'Informacion del AEP'!$C$79:$C$102,0),MATCH('Costos aguas abajo'!$C$145,'Informacion del AEP'!$D$78:$N$78,0))</f>
        <v>33333.333333333328</v>
      </c>
      <c r="F147" s="133">
        <f>D147*Supuestos!$C32</f>
        <v>3333.333333333333</v>
      </c>
      <c r="G147" s="133">
        <f>D147*(1-Supuestos!$C32)</f>
        <v>29999.999999999996</v>
      </c>
      <c r="I147" s="133">
        <f t="shared" ref="I147:I168" si="11">+F147</f>
        <v>3333.333333333333</v>
      </c>
      <c r="J147" s="133">
        <f>G147*Supuestos!$C$26</f>
        <v>52.918888279995009</v>
      </c>
      <c r="K147" s="133">
        <f>(I147+J147)*(1/Supuestos!$C$26)</f>
        <v>1919684.4444444443</v>
      </c>
    </row>
    <row r="148" spans="3:11" x14ac:dyDescent="0.2">
      <c r="C148" s="24" t="str">
        <f>'Informacion del AEP'!C81</f>
        <v>Servicios OTT de audio</v>
      </c>
      <c r="D148" s="131">
        <f>INDEX('Informacion del AEP'!$D$79:$N$102,MATCH('Costos aguas abajo'!$C148,'Informacion del AEP'!$C$79:$C$102,0),MATCH('Costos aguas abajo'!$C$145,'Informacion del AEP'!$D$78:$N$78,0))</f>
        <v>33333.333333333328</v>
      </c>
      <c r="F148" s="133">
        <f>D148*Supuestos!$C33</f>
        <v>3333.333333333333</v>
      </c>
      <c r="G148" s="133">
        <f>D148*(1-Supuestos!$C33)</f>
        <v>29999.999999999996</v>
      </c>
      <c r="I148" s="133">
        <f t="shared" si="11"/>
        <v>3333.333333333333</v>
      </c>
      <c r="J148" s="133">
        <f>G148*Supuestos!$C$26</f>
        <v>52.918888279995009</v>
      </c>
      <c r="K148" s="133">
        <f>(I148+J148)*(1/Supuestos!$C$26)</f>
        <v>1919684.4444444443</v>
      </c>
    </row>
    <row r="149" spans="3:11" x14ac:dyDescent="0.2">
      <c r="C149" s="24" t="str">
        <f>'Informacion del AEP'!C82</f>
        <v>Comerciales</v>
      </c>
      <c r="D149" s="131">
        <f>INDEX('Informacion del AEP'!$D$79:$N$102,MATCH('Costos aguas abajo'!$C149,'Informacion del AEP'!$C$79:$C$102,0),MATCH('Costos aguas abajo'!$C$145,'Informacion del AEP'!$D$78:$N$78,0))</f>
        <v>66666.666666666657</v>
      </c>
      <c r="F149" s="133">
        <f>D149*Supuestos!$C34</f>
        <v>6666.6666666666661</v>
      </c>
      <c r="G149" s="133">
        <f>D149*(1-Supuestos!$C34)</f>
        <v>59999.999999999993</v>
      </c>
      <c r="I149" s="133">
        <f t="shared" si="11"/>
        <v>6666.6666666666661</v>
      </c>
      <c r="J149" s="133">
        <f>G149*Supuestos!$C$26</f>
        <v>105.83777655999002</v>
      </c>
      <c r="K149" s="133">
        <f>(I149+J149)*(1/Supuestos!$C$26)</f>
        <v>3839368.8888888885</v>
      </c>
    </row>
    <row r="150" spans="3:11" x14ac:dyDescent="0.2">
      <c r="C150" s="24" t="str">
        <f>'Informacion del AEP'!C83</f>
        <v>Facturación</v>
      </c>
      <c r="D150" s="131">
        <f>INDEX('Informacion del AEP'!$D$79:$N$102,MATCH('Costos aguas abajo'!$C150,'Informacion del AEP'!$C$79:$C$102,0),MATCH('Costos aguas abajo'!$C$145,'Informacion del AEP'!$D$78:$N$78,0))</f>
        <v>66666.666666666657</v>
      </c>
      <c r="F150" s="133">
        <f>D150*Supuestos!$C35</f>
        <v>6666.6666666666661</v>
      </c>
      <c r="G150" s="133">
        <f>D150*(1-Supuestos!$C35)</f>
        <v>59999.999999999993</v>
      </c>
      <c r="I150" s="133">
        <f t="shared" si="11"/>
        <v>6666.6666666666661</v>
      </c>
      <c r="J150" s="133">
        <f>G150*Supuestos!$C$26</f>
        <v>105.83777655999002</v>
      </c>
      <c r="K150" s="133">
        <f>(I150+J150)*(1/Supuestos!$C$26)</f>
        <v>3839368.8888888885</v>
      </c>
    </row>
    <row r="151" spans="3:11" x14ac:dyDescent="0.2">
      <c r="C151" s="24" t="str">
        <f>'Informacion del AEP'!C84</f>
        <v>Cobranza</v>
      </c>
      <c r="D151" s="131">
        <f>INDEX('Informacion del AEP'!$D$79:$N$102,MATCH('Costos aguas abajo'!$C151,'Informacion del AEP'!$C$79:$C$102,0),MATCH('Costos aguas abajo'!$C$145,'Informacion del AEP'!$D$78:$N$78,0))</f>
        <v>66666.666666666657</v>
      </c>
      <c r="F151" s="133">
        <f>D151*Supuestos!$C36</f>
        <v>6666.6666666666661</v>
      </c>
      <c r="G151" s="133">
        <f>D151*(1-Supuestos!$C36)</f>
        <v>59999.999999999993</v>
      </c>
      <c r="I151" s="133">
        <f t="shared" si="11"/>
        <v>6666.6666666666661</v>
      </c>
      <c r="J151" s="133">
        <f>G151*Supuestos!$C$26</f>
        <v>105.83777655999002</v>
      </c>
      <c r="K151" s="133">
        <f>(I151+J151)*(1/Supuestos!$C$26)</f>
        <v>3839368.8888888885</v>
      </c>
    </row>
    <row r="152" spans="3:11" x14ac:dyDescent="0.2">
      <c r="C152" s="24" t="str">
        <f>'Informacion del AEP'!C85</f>
        <v>Tasas e impuestos</v>
      </c>
      <c r="D152" s="131">
        <f>INDEX('Informacion del AEP'!$D$79:$N$102,MATCH('Costos aguas abajo'!$C152,'Informacion del AEP'!$C$79:$C$102,0),MATCH('Costos aguas abajo'!$C$145,'Informacion del AEP'!$D$78:$N$78,0))</f>
        <v>66666.666666666657</v>
      </c>
      <c r="F152" s="133">
        <f>D152*Supuestos!$C37</f>
        <v>6666.6666666666661</v>
      </c>
      <c r="G152" s="133">
        <f>D152*(1-Supuestos!$C37)</f>
        <v>59999.999999999993</v>
      </c>
      <c r="I152" s="133">
        <f t="shared" si="11"/>
        <v>6666.6666666666661</v>
      </c>
      <c r="J152" s="133">
        <f>G152*Supuestos!$C$26</f>
        <v>105.83777655999002</v>
      </c>
      <c r="K152" s="133">
        <f>(I152+J152)*(1/Supuestos!$C$26)</f>
        <v>3839368.8888888885</v>
      </c>
    </row>
    <row r="153" spans="3:11" x14ac:dyDescent="0.2">
      <c r="C153" s="24" t="str">
        <f>'Informacion del AEP'!C86</f>
        <v>Programas de fidelización</v>
      </c>
      <c r="D153" s="131">
        <f>INDEX('Informacion del AEP'!$D$79:$N$102,MATCH('Costos aguas abajo'!$C153,'Informacion del AEP'!$C$79:$C$102,0),MATCH('Costos aguas abajo'!$C$145,'Informacion del AEP'!$D$78:$N$78,0))</f>
        <v>66666.666666666657</v>
      </c>
      <c r="F153" s="133">
        <f>D153*Supuestos!$C38</f>
        <v>6666.6666666666661</v>
      </c>
      <c r="G153" s="133">
        <f>D153*(1-Supuestos!$C38)</f>
        <v>59999.999999999993</v>
      </c>
      <c r="I153" s="133">
        <f t="shared" si="11"/>
        <v>6666.6666666666661</v>
      </c>
      <c r="J153" s="133">
        <f>G153*Supuestos!$C$26</f>
        <v>105.83777655999002</v>
      </c>
      <c r="K153" s="133">
        <f>(I153+J153)*(1/Supuestos!$C$26)</f>
        <v>3839368.8888888885</v>
      </c>
    </row>
    <row r="154" spans="3:11" x14ac:dyDescent="0.2">
      <c r="C154" s="24" t="str">
        <f>'Informacion del AEP'!C87</f>
        <v>Acceso internet internacional</v>
      </c>
      <c r="D154" s="131">
        <f>INDEX('Informacion del AEP'!$D$79:$N$102,MATCH('Costos aguas abajo'!$C154,'Informacion del AEP'!$C$79:$C$102,0),MATCH('Costos aguas abajo'!$C$145,'Informacion del AEP'!$D$78:$N$78,0))</f>
        <v>66666.666666666657</v>
      </c>
      <c r="F154" s="133">
        <f>D154*Supuestos!$C39</f>
        <v>6666.6666666666661</v>
      </c>
      <c r="G154" s="133">
        <f>D154*(1-Supuestos!$C39)</f>
        <v>59999.999999999993</v>
      </c>
      <c r="I154" s="133">
        <f t="shared" si="11"/>
        <v>6666.6666666666661</v>
      </c>
      <c r="J154" s="133">
        <f>G154*Supuestos!$C$26</f>
        <v>105.83777655999002</v>
      </c>
      <c r="K154" s="133">
        <f>(I154+J154)*(1/Supuestos!$C$26)</f>
        <v>3839368.8888888885</v>
      </c>
    </row>
    <row r="155" spans="3:11" x14ac:dyDescent="0.2">
      <c r="C155" s="24" t="str">
        <f>'Informacion del AEP'!C88</f>
        <v>Terminación en destinos nacionales-fijo</v>
      </c>
      <c r="D155" s="131">
        <f>INDEX('Informacion del AEP'!$D$79:$N$102,MATCH('Costos aguas abajo'!$C155,'Informacion del AEP'!$C$79:$C$102,0),MATCH('Costos aguas abajo'!$C$145,'Informacion del AEP'!$D$78:$N$78,0))</f>
        <v>66666.666666666657</v>
      </c>
      <c r="F155" s="133">
        <f>D155*Supuestos!$C40</f>
        <v>6666.6666666666661</v>
      </c>
      <c r="G155" s="133">
        <f>D155*(1-Supuestos!$C40)</f>
        <v>59999.999999999993</v>
      </c>
      <c r="I155" s="133">
        <f t="shared" si="11"/>
        <v>6666.6666666666661</v>
      </c>
      <c r="J155" s="133">
        <f>G155*Supuestos!$C$26</f>
        <v>105.83777655999002</v>
      </c>
      <c r="K155" s="133">
        <f>(I155+J155)*(1/Supuestos!$C$26)</f>
        <v>3839368.8888888885</v>
      </c>
    </row>
    <row r="156" spans="3:11" x14ac:dyDescent="0.2">
      <c r="C156" s="24" t="str">
        <f>'Informacion del AEP'!C89</f>
        <v>Terminación en destinos nacionales-móvil</v>
      </c>
      <c r="D156" s="131">
        <f>INDEX('Informacion del AEP'!$D$79:$N$102,MATCH('Costos aguas abajo'!$C156,'Informacion del AEP'!$C$79:$C$102,0),MATCH('Costos aguas abajo'!$C$145,'Informacion del AEP'!$D$78:$N$78,0))</f>
        <v>66666.666666666657</v>
      </c>
      <c r="F156" s="133">
        <f>D156*Supuestos!$C41</f>
        <v>6666.6666666666661</v>
      </c>
      <c r="G156" s="133">
        <f>D156*(1-Supuestos!$C41)</f>
        <v>59999.999999999993</v>
      </c>
      <c r="I156" s="133">
        <f t="shared" si="11"/>
        <v>6666.6666666666661</v>
      </c>
      <c r="J156" s="133">
        <f>G156*Supuestos!$C$26</f>
        <v>105.83777655999002</v>
      </c>
      <c r="K156" s="133">
        <f>(I156+J156)*(1/Supuestos!$C$26)</f>
        <v>3839368.8888888885</v>
      </c>
    </row>
    <row r="157" spans="3:11" x14ac:dyDescent="0.2">
      <c r="C157" s="24" t="str">
        <f>'Informacion del AEP'!C90</f>
        <v>Terminación en destinos nacionales-mensajes</v>
      </c>
      <c r="D157" s="131">
        <f>INDEX('Informacion del AEP'!$D$79:$N$102,MATCH('Costos aguas abajo'!$C157,'Informacion del AEP'!$C$79:$C$102,0),MATCH('Costos aguas abajo'!$C$145,'Informacion del AEP'!$D$78:$N$78,0))</f>
        <v>266666.66666666663</v>
      </c>
      <c r="F157" s="133">
        <f>D157*Supuestos!$C42</f>
        <v>26666.666666666664</v>
      </c>
      <c r="G157" s="133">
        <f>D157*(1-Supuestos!$C42)</f>
        <v>239999.99999999997</v>
      </c>
      <c r="I157" s="133">
        <f t="shared" si="11"/>
        <v>26666.666666666664</v>
      </c>
      <c r="J157" s="133">
        <f>G157*Supuestos!$C$26</f>
        <v>423.35110623996007</v>
      </c>
      <c r="K157" s="133">
        <f>(I157+J157)*(1/Supuestos!$C$26)</f>
        <v>15357475.555555554</v>
      </c>
    </row>
    <row r="158" spans="3:11" x14ac:dyDescent="0.2">
      <c r="C158" s="24" t="str">
        <f>'Informacion del AEP'!C91</f>
        <v>Terminación en destinos internacionales</v>
      </c>
      <c r="D158" s="131">
        <f>INDEX('Informacion del AEP'!$D$79:$N$102,MATCH('Costos aguas abajo'!$C158,'Informacion del AEP'!$C$79:$C$102,0),MATCH('Costos aguas abajo'!$C$145,'Informacion del AEP'!$D$78:$N$78,0))</f>
        <v>40000</v>
      </c>
      <c r="F158" s="133">
        <f>D158*Supuestos!$C43</f>
        <v>4000</v>
      </c>
      <c r="G158" s="133">
        <f>D158*(1-Supuestos!$C43)</f>
        <v>36000</v>
      </c>
      <c r="I158" s="133">
        <f t="shared" si="11"/>
        <v>4000</v>
      </c>
      <c r="J158" s="133">
        <f>G158*Supuestos!$C$26</f>
        <v>63.502665935994017</v>
      </c>
      <c r="K158" s="133">
        <f>(I158+J158)*(1/Supuestos!$C$26)</f>
        <v>2303621.3333333335</v>
      </c>
    </row>
    <row r="159" spans="3:11" x14ac:dyDescent="0.2">
      <c r="C159" s="24" t="str">
        <f>'Informacion del AEP'!C92</f>
        <v>Terminación en destinos internacionales-mensajes</v>
      </c>
      <c r="D159" s="131">
        <f>INDEX('Informacion del AEP'!$D$79:$N$102,MATCH('Costos aguas abajo'!$C159,'Informacion del AEP'!$C$79:$C$102,0),MATCH('Costos aguas abajo'!$C$145,'Informacion del AEP'!$D$78:$N$78,0))</f>
        <v>40000</v>
      </c>
      <c r="F159" s="133">
        <f>D159*Supuestos!$C44</f>
        <v>4000</v>
      </c>
      <c r="G159" s="133">
        <f>D159*(1-Supuestos!$C44)</f>
        <v>36000</v>
      </c>
      <c r="I159" s="133">
        <f t="shared" si="11"/>
        <v>4000</v>
      </c>
      <c r="J159" s="133">
        <f>G159*Supuestos!$C$26</f>
        <v>63.502665935994017</v>
      </c>
      <c r="K159" s="133">
        <f>(I159+J159)*(1/Supuestos!$C$26)</f>
        <v>2303621.3333333335</v>
      </c>
    </row>
    <row r="160" spans="3:11" x14ac:dyDescent="0.2">
      <c r="C160" s="24" t="str">
        <f>'Informacion del AEP'!C93</f>
        <v>Roaming internacional - voz - outbound</v>
      </c>
      <c r="D160" s="131">
        <f>INDEX('Informacion del AEP'!$D$79:$N$102,MATCH('Costos aguas abajo'!$C160,'Informacion del AEP'!$C$79:$C$102,0),MATCH('Costos aguas abajo'!$C$145,'Informacion del AEP'!$D$78:$N$78,0))</f>
        <v>2000</v>
      </c>
      <c r="F160" s="133">
        <f>D160*Supuestos!$C45</f>
        <v>200</v>
      </c>
      <c r="G160" s="133">
        <f>D160*(1-Supuestos!$C45)</f>
        <v>1800</v>
      </c>
      <c r="I160" s="133">
        <f t="shared" si="11"/>
        <v>200</v>
      </c>
      <c r="J160" s="133">
        <f>G160*Supuestos!$C$26</f>
        <v>3.1751332967997006</v>
      </c>
      <c r="K160" s="133">
        <f>(I160+J160)*(1/Supuestos!$C$26)</f>
        <v>115181.06666666668</v>
      </c>
    </row>
    <row r="161" spans="3:11" x14ac:dyDescent="0.2">
      <c r="C161" s="24" t="str">
        <f>'Informacion del AEP'!C94</f>
        <v>Roaming internacional - mensajes - outbound</v>
      </c>
      <c r="D161" s="131">
        <f>INDEX('Informacion del AEP'!$D$79:$N$102,MATCH('Costos aguas abajo'!$C161,'Informacion del AEP'!$C$79:$C$102,0),MATCH('Costos aguas abajo'!$C$145,'Informacion del AEP'!$D$78:$N$78,0))</f>
        <v>666.66666666666674</v>
      </c>
      <c r="F161" s="133">
        <f>D161*Supuestos!$C46</f>
        <v>66.666666666666671</v>
      </c>
      <c r="G161" s="133">
        <f>D161*(1-Supuestos!$C46)</f>
        <v>600.00000000000011</v>
      </c>
      <c r="I161" s="133">
        <f t="shared" si="11"/>
        <v>66.666666666666671</v>
      </c>
      <c r="J161" s="133">
        <f>G161*Supuestos!$C$26</f>
        <v>1.0583777655999005</v>
      </c>
      <c r="K161" s="133">
        <f>(I161+J161)*(1/Supuestos!$C$26)</f>
        <v>38393.688888888893</v>
      </c>
    </row>
    <row r="162" spans="3:11" x14ac:dyDescent="0.2">
      <c r="C162" s="24" t="str">
        <f>'Informacion del AEP'!C95</f>
        <v>Roaming internacional - datos - outbound</v>
      </c>
      <c r="D162" s="131">
        <f>INDEX('Informacion del AEP'!$D$79:$N$102,MATCH('Costos aguas abajo'!$C162,'Informacion del AEP'!$C$79:$C$102,0),MATCH('Costos aguas abajo'!$C$145,'Informacion del AEP'!$D$78:$N$78,0))</f>
        <v>33333.333333333328</v>
      </c>
      <c r="F162" s="133">
        <f>D162*Supuestos!$C47</f>
        <v>3333.333333333333</v>
      </c>
      <c r="G162" s="133">
        <f>D162*(1-Supuestos!$C47)</f>
        <v>29999.999999999996</v>
      </c>
      <c r="I162" s="133">
        <f t="shared" si="11"/>
        <v>3333.333333333333</v>
      </c>
      <c r="J162" s="133">
        <f>G162*Supuestos!$C$26</f>
        <v>52.918888279995009</v>
      </c>
      <c r="K162" s="133">
        <f>(I162+J162)*(1/Supuestos!$C$26)</f>
        <v>1919684.4444444443</v>
      </c>
    </row>
    <row r="163" spans="3:11" x14ac:dyDescent="0.2">
      <c r="C163" s="24" t="str">
        <f>'Informacion del AEP'!C96</f>
        <v>Provisiones</v>
      </c>
      <c r="D163" s="131">
        <f>INDEX('Informacion del AEP'!$D$79:$N$102,MATCH('Costos aguas abajo'!$C163,'Informacion del AEP'!$C$79:$C$102,0),MATCH('Costos aguas abajo'!$C$145,'Informacion del AEP'!$D$78:$N$78,0))</f>
        <v>33333.333333333328</v>
      </c>
      <c r="F163" s="133">
        <f>D163*Supuestos!$C48</f>
        <v>3333.333333333333</v>
      </c>
      <c r="G163" s="133">
        <f>D163*(1-Supuestos!$C48)</f>
        <v>29999.999999999996</v>
      </c>
      <c r="I163" s="133">
        <f t="shared" si="11"/>
        <v>3333.333333333333</v>
      </c>
      <c r="J163" s="133">
        <f>G163*Supuestos!$C$26</f>
        <v>52.918888279995009</v>
      </c>
      <c r="K163" s="133">
        <f>(I163+J163)*(1/Supuestos!$C$26)</f>
        <v>1919684.4444444443</v>
      </c>
    </row>
    <row r="164" spans="3:11" x14ac:dyDescent="0.2">
      <c r="C164" s="24" t="str">
        <f>'Informacion del AEP'!C97</f>
        <v>Costos directos de la venta de terminales</v>
      </c>
      <c r="D164" s="131">
        <f>INDEX('Informacion del AEP'!$D$79:$N$102,MATCH('Costos aguas abajo'!$C164,'Informacion del AEP'!$C$79:$C$102,0),MATCH('Costos aguas abajo'!$C$145,'Informacion del AEP'!$D$78:$N$78,0))</f>
        <v>66666.666666666657</v>
      </c>
      <c r="F164" s="133">
        <f>D164*Supuestos!$C49</f>
        <v>6666.6666666666661</v>
      </c>
      <c r="G164" s="133">
        <f>D164*(1-Supuestos!$C49)</f>
        <v>59999.999999999993</v>
      </c>
      <c r="I164" s="133">
        <f t="shared" si="11"/>
        <v>6666.6666666666661</v>
      </c>
      <c r="J164" s="133">
        <f>G164*Supuestos!$C$26</f>
        <v>105.83777655999002</v>
      </c>
      <c r="K164" s="133">
        <f>(I164+J164)*(1/Supuestos!$C$26)</f>
        <v>3839368.8888888885</v>
      </c>
    </row>
    <row r="165" spans="3:11" x14ac:dyDescent="0.2">
      <c r="C165" s="24" t="str">
        <f>'Informacion del AEP'!C98</f>
        <v>Servicios generales y de gestión - minoristas</v>
      </c>
      <c r="D165" s="131">
        <f>INDEX('Informacion del AEP'!$D$79:$N$102,MATCH('Costos aguas abajo'!$C165,'Informacion del AEP'!$C$79:$C$102,0),MATCH('Costos aguas abajo'!$C$145,'Informacion del AEP'!$D$78:$N$78,0))</f>
        <v>66666.666666666657</v>
      </c>
      <c r="F165" s="133">
        <f>D165*Supuestos!$C50</f>
        <v>6666.6666666666661</v>
      </c>
      <c r="G165" s="133">
        <f>D165*(1-Supuestos!$C50)</f>
        <v>59999.999999999993</v>
      </c>
      <c r="I165" s="133">
        <f t="shared" si="11"/>
        <v>6666.6666666666661</v>
      </c>
      <c r="J165" s="133">
        <f>G165*Supuestos!$C$26</f>
        <v>105.83777655999002</v>
      </c>
      <c r="K165" s="133">
        <f>(I165+J165)*(1/Supuestos!$C$26)</f>
        <v>3839368.8888888885</v>
      </c>
    </row>
    <row r="166" spans="3:11" x14ac:dyDescent="0.2">
      <c r="C166" s="24" t="str">
        <f>'Informacion del AEP'!C99</f>
        <v>Servicios generales y de gestión - red</v>
      </c>
      <c r="D166" s="131">
        <f>INDEX('Informacion del AEP'!$D$79:$N$102,MATCH('Costos aguas abajo'!$C166,'Informacion del AEP'!$C$79:$C$102,0),MATCH('Costos aguas abajo'!$C$145,'Informacion del AEP'!$D$78:$N$78,0))</f>
        <v>66666.666666666657</v>
      </c>
      <c r="F166" s="133">
        <f>D166*Supuestos!$C51</f>
        <v>6666.6666666666661</v>
      </c>
      <c r="G166" s="133">
        <f>D166*(1-Supuestos!$C51)</f>
        <v>59999.999999999993</v>
      </c>
      <c r="I166" s="133">
        <f t="shared" si="11"/>
        <v>6666.6666666666661</v>
      </c>
      <c r="J166" s="133">
        <f>G166*Supuestos!$C$26</f>
        <v>105.83777655999002</v>
      </c>
      <c r="K166" s="133">
        <f>(I166+J166)*(1/Supuestos!$C$26)</f>
        <v>3839368.8888888885</v>
      </c>
    </row>
    <row r="167" spans="3:11" x14ac:dyDescent="0.2">
      <c r="C167" s="24" t="str">
        <f>'Informacion del AEP'!C100</f>
        <v xml:space="preserve">Servicios generales y de gestión - negocio </v>
      </c>
      <c r="D167" s="131">
        <f>INDEX('Informacion del AEP'!$D$79:$N$102,MATCH('Costos aguas abajo'!$C167,'Informacion del AEP'!$C$79:$C$102,0),MATCH('Costos aguas abajo'!$C$145,'Informacion del AEP'!$D$78:$N$78,0))</f>
        <v>66666.666666666657</v>
      </c>
      <c r="F167" s="133">
        <f>D167*Supuestos!$C52</f>
        <v>6666.6666666666661</v>
      </c>
      <c r="G167" s="133">
        <f>D167*(1-Supuestos!$C52)</f>
        <v>59999.999999999993</v>
      </c>
      <c r="I167" s="133">
        <f t="shared" si="11"/>
        <v>6666.6666666666661</v>
      </c>
      <c r="J167" s="133">
        <f>G167*Supuestos!$C$26</f>
        <v>105.83777655999002</v>
      </c>
      <c r="K167" s="133">
        <f>(I167+J167)*(1/Supuestos!$C$26)</f>
        <v>3839368.8888888885</v>
      </c>
    </row>
    <row r="168" spans="3:11" x14ac:dyDescent="0.2">
      <c r="C168" s="24" t="str">
        <f>'Informacion del AEP'!C101</f>
        <v>Costo del Capital</v>
      </c>
      <c r="D168" s="131">
        <f>INDEX('Informacion del AEP'!$D$79:$N$102,MATCH('Costos aguas abajo'!$C168,'Informacion del AEP'!$C$79:$C$102,0),MATCH('Costos aguas abajo'!$C$145,'Informacion del AEP'!$D$78:$N$78,0))</f>
        <v>66666.666666666657</v>
      </c>
      <c r="F168" s="133">
        <f>D168*Supuestos!$C53</f>
        <v>6666.6666666666661</v>
      </c>
      <c r="G168" s="133">
        <f>D168*(1-Supuestos!$C53)</f>
        <v>59999.999999999993</v>
      </c>
      <c r="I168" s="133">
        <f t="shared" si="11"/>
        <v>6666.6666666666661</v>
      </c>
      <c r="J168" s="133">
        <f>G168*Supuestos!$C$26</f>
        <v>105.83777655999002</v>
      </c>
      <c r="K168" s="133">
        <f>(I168+J168)*(1/Supuestos!$C$26)</f>
        <v>3839368.8888888885</v>
      </c>
    </row>
    <row r="170" spans="3:11" x14ac:dyDescent="0.2">
      <c r="C170" s="134" t="s">
        <v>82</v>
      </c>
      <c r="D170" s="72" t="str">
        <f>IF(D145='Informacion del AEP'!K102,"Ok","Error")</f>
        <v>Ok</v>
      </c>
    </row>
    <row r="172" spans="3:11" x14ac:dyDescent="0.2">
      <c r="C172" s="135" t="str">
        <f>Supuestos!$B$90</f>
        <v>Oferta 4</v>
      </c>
      <c r="D172" s="136">
        <f>SUM(D173:D195)</f>
        <v>2700000</v>
      </c>
      <c r="E172" s="137"/>
      <c r="F172" s="136">
        <f t="shared" ref="F172:G172" si="12">SUM(F173:F195)</f>
        <v>270000</v>
      </c>
      <c r="G172" s="136">
        <f t="shared" si="12"/>
        <v>2429999.9999999995</v>
      </c>
      <c r="H172" s="137"/>
      <c r="I172" s="136">
        <f>+F172</f>
        <v>270000</v>
      </c>
      <c r="J172" s="136">
        <f>SUM(J173:J195)</f>
        <v>4286.429950679596</v>
      </c>
      <c r="K172" s="136">
        <f>SUM(K173:K195)</f>
        <v>155494440.00000006</v>
      </c>
    </row>
    <row r="173" spans="3:11" x14ac:dyDescent="0.2">
      <c r="C173" s="24" t="str">
        <f>'Informacion del AEP'!C79</f>
        <v>Acceso a Internet</v>
      </c>
      <c r="D173" s="131">
        <f>INDEX('Informacion del AEP'!$D$79:$N$102,MATCH('Costos aguas abajo'!$C173,'Informacion del AEP'!$C$79:$C$102,0),MATCH('Costos aguas abajo'!$C$172,'Informacion del AEP'!$D$78:$N$78,0))</f>
        <v>1333.3333333333335</v>
      </c>
      <c r="F173" s="133">
        <f>D173*Supuestos!$C31</f>
        <v>133.33333333333334</v>
      </c>
      <c r="G173" s="133">
        <f>D173*(1-Supuestos!$C31)</f>
        <v>1200.0000000000002</v>
      </c>
      <c r="I173" s="133">
        <f>+F173</f>
        <v>133.33333333333334</v>
      </c>
      <c r="J173" s="133">
        <f>G173*Supuestos!$C$26</f>
        <v>2.116755531199801</v>
      </c>
      <c r="K173" s="133">
        <f>(I173+J173)*(1/Supuestos!$C$26)</f>
        <v>76787.377777777787</v>
      </c>
    </row>
    <row r="174" spans="3:11" x14ac:dyDescent="0.2">
      <c r="C174" s="24" t="str">
        <f>'Informacion del AEP'!C80</f>
        <v>Servicios OTT de vídeo</v>
      </c>
      <c r="D174" s="131">
        <f>INDEX('Informacion del AEP'!$D$79:$N$102,MATCH('Costos aguas abajo'!$C174,'Informacion del AEP'!$C$79:$C$102,0),MATCH('Costos aguas abajo'!$C$172,'Informacion del AEP'!$D$78:$N$78,0))</f>
        <v>66666.666666666657</v>
      </c>
      <c r="F174" s="133">
        <f>D174*Supuestos!$C32</f>
        <v>6666.6666666666661</v>
      </c>
      <c r="G174" s="133">
        <f>D174*(1-Supuestos!$C32)</f>
        <v>59999.999999999993</v>
      </c>
      <c r="I174" s="133">
        <f t="shared" ref="I174:I195" si="13">+F174</f>
        <v>6666.6666666666661</v>
      </c>
      <c r="J174" s="133">
        <f>G174*Supuestos!$C$26</f>
        <v>105.83777655999002</v>
      </c>
      <c r="K174" s="133">
        <f>(I174+J174)*(1/Supuestos!$C$26)</f>
        <v>3839368.8888888885</v>
      </c>
    </row>
    <row r="175" spans="3:11" x14ac:dyDescent="0.2">
      <c r="C175" s="24" t="str">
        <f>'Informacion del AEP'!C81</f>
        <v>Servicios OTT de audio</v>
      </c>
      <c r="D175" s="131">
        <f>INDEX('Informacion del AEP'!$D$79:$N$102,MATCH('Costos aguas abajo'!$C175,'Informacion del AEP'!$C$79:$C$102,0),MATCH('Costos aguas abajo'!$C$172,'Informacion del AEP'!$D$78:$N$78,0))</f>
        <v>66666.666666666657</v>
      </c>
      <c r="F175" s="133">
        <f>D175*Supuestos!$C33</f>
        <v>6666.6666666666661</v>
      </c>
      <c r="G175" s="133">
        <f>D175*(1-Supuestos!$C33)</f>
        <v>59999.999999999993</v>
      </c>
      <c r="I175" s="133">
        <f t="shared" si="13"/>
        <v>6666.6666666666661</v>
      </c>
      <c r="J175" s="133">
        <f>G175*Supuestos!$C$26</f>
        <v>105.83777655999002</v>
      </c>
      <c r="K175" s="133">
        <f>(I175+J175)*(1/Supuestos!$C$26)</f>
        <v>3839368.8888888885</v>
      </c>
    </row>
    <row r="176" spans="3:11" x14ac:dyDescent="0.2">
      <c r="C176" s="24" t="str">
        <f>'Informacion del AEP'!C82</f>
        <v>Comerciales</v>
      </c>
      <c r="D176" s="131">
        <f>INDEX('Informacion del AEP'!$D$79:$N$102,MATCH('Costos aguas abajo'!$C176,'Informacion del AEP'!$C$79:$C$102,0),MATCH('Costos aguas abajo'!$C$172,'Informacion del AEP'!$D$78:$N$78,0))</f>
        <v>133333.33333333331</v>
      </c>
      <c r="F176" s="133">
        <f>D176*Supuestos!$C34</f>
        <v>13333.333333333332</v>
      </c>
      <c r="G176" s="133">
        <f>D176*(1-Supuestos!$C34)</f>
        <v>119999.99999999999</v>
      </c>
      <c r="I176" s="133">
        <f t="shared" si="13"/>
        <v>13333.333333333332</v>
      </c>
      <c r="J176" s="133">
        <f>G176*Supuestos!$C$26</f>
        <v>211.67555311998004</v>
      </c>
      <c r="K176" s="133">
        <f>(I176+J176)*(1/Supuestos!$C$26)</f>
        <v>7678737.7777777771</v>
      </c>
    </row>
    <row r="177" spans="3:11" x14ac:dyDescent="0.2">
      <c r="C177" s="24" t="str">
        <f>'Informacion del AEP'!C83</f>
        <v>Facturación</v>
      </c>
      <c r="D177" s="131">
        <f>INDEX('Informacion del AEP'!$D$79:$N$102,MATCH('Costos aguas abajo'!$C177,'Informacion del AEP'!$C$79:$C$102,0),MATCH('Costos aguas abajo'!$C$172,'Informacion del AEP'!$D$78:$N$78,0))</f>
        <v>133333.33333333331</v>
      </c>
      <c r="F177" s="133">
        <f>D177*Supuestos!$C35</f>
        <v>13333.333333333332</v>
      </c>
      <c r="G177" s="133">
        <f>D177*(1-Supuestos!$C35)</f>
        <v>119999.99999999999</v>
      </c>
      <c r="I177" s="133">
        <f t="shared" si="13"/>
        <v>13333.333333333332</v>
      </c>
      <c r="J177" s="133">
        <f>G177*Supuestos!$C$26</f>
        <v>211.67555311998004</v>
      </c>
      <c r="K177" s="133">
        <f>(I177+J177)*(1/Supuestos!$C$26)</f>
        <v>7678737.7777777771</v>
      </c>
    </row>
    <row r="178" spans="3:11" x14ac:dyDescent="0.2">
      <c r="C178" s="24" t="str">
        <f>'Informacion del AEP'!C84</f>
        <v>Cobranza</v>
      </c>
      <c r="D178" s="131">
        <f>INDEX('Informacion del AEP'!$D$79:$N$102,MATCH('Costos aguas abajo'!$C178,'Informacion del AEP'!$C$79:$C$102,0),MATCH('Costos aguas abajo'!$C$172,'Informacion del AEP'!$D$78:$N$78,0))</f>
        <v>133333.33333333331</v>
      </c>
      <c r="F178" s="133">
        <f>D178*Supuestos!$C36</f>
        <v>13333.333333333332</v>
      </c>
      <c r="G178" s="133">
        <f>D178*(1-Supuestos!$C36)</f>
        <v>119999.99999999999</v>
      </c>
      <c r="I178" s="133">
        <f t="shared" si="13"/>
        <v>13333.333333333332</v>
      </c>
      <c r="J178" s="133">
        <f>G178*Supuestos!$C$26</f>
        <v>211.67555311998004</v>
      </c>
      <c r="K178" s="133">
        <f>(I178+J178)*(1/Supuestos!$C$26)</f>
        <v>7678737.7777777771</v>
      </c>
    </row>
    <row r="179" spans="3:11" x14ac:dyDescent="0.2">
      <c r="C179" s="24" t="str">
        <f>'Informacion del AEP'!C85</f>
        <v>Tasas e impuestos</v>
      </c>
      <c r="D179" s="131">
        <f>INDEX('Informacion del AEP'!$D$79:$N$102,MATCH('Costos aguas abajo'!$C179,'Informacion del AEP'!$C$79:$C$102,0),MATCH('Costos aguas abajo'!$C$172,'Informacion del AEP'!$D$78:$N$78,0))</f>
        <v>133333.33333333331</v>
      </c>
      <c r="F179" s="133">
        <f>D179*Supuestos!$C37</f>
        <v>13333.333333333332</v>
      </c>
      <c r="G179" s="133">
        <f>D179*(1-Supuestos!$C37)</f>
        <v>119999.99999999999</v>
      </c>
      <c r="I179" s="133">
        <f t="shared" si="13"/>
        <v>13333.333333333332</v>
      </c>
      <c r="J179" s="133">
        <f>G179*Supuestos!$C$26</f>
        <v>211.67555311998004</v>
      </c>
      <c r="K179" s="133">
        <f>(I179+J179)*(1/Supuestos!$C$26)</f>
        <v>7678737.7777777771</v>
      </c>
    </row>
    <row r="180" spans="3:11" x14ac:dyDescent="0.2">
      <c r="C180" s="24" t="str">
        <f>'Informacion del AEP'!C86</f>
        <v>Programas de fidelización</v>
      </c>
      <c r="D180" s="131">
        <f>INDEX('Informacion del AEP'!$D$79:$N$102,MATCH('Costos aguas abajo'!$C180,'Informacion del AEP'!$C$79:$C$102,0),MATCH('Costos aguas abajo'!$C$172,'Informacion del AEP'!$D$78:$N$78,0))</f>
        <v>133333.33333333331</v>
      </c>
      <c r="F180" s="133">
        <f>D180*Supuestos!$C38</f>
        <v>13333.333333333332</v>
      </c>
      <c r="G180" s="133">
        <f>D180*(1-Supuestos!$C38)</f>
        <v>119999.99999999999</v>
      </c>
      <c r="I180" s="133">
        <f t="shared" si="13"/>
        <v>13333.333333333332</v>
      </c>
      <c r="J180" s="133">
        <f>G180*Supuestos!$C$26</f>
        <v>211.67555311998004</v>
      </c>
      <c r="K180" s="133">
        <f>(I180+J180)*(1/Supuestos!$C$26)</f>
        <v>7678737.7777777771</v>
      </c>
    </row>
    <row r="181" spans="3:11" x14ac:dyDescent="0.2">
      <c r="C181" s="24" t="str">
        <f>'Informacion del AEP'!C87</f>
        <v>Acceso internet internacional</v>
      </c>
      <c r="D181" s="131">
        <f>INDEX('Informacion del AEP'!$D$79:$N$102,MATCH('Costos aguas abajo'!$C181,'Informacion del AEP'!$C$79:$C$102,0),MATCH('Costos aguas abajo'!$C$172,'Informacion del AEP'!$D$78:$N$78,0))</f>
        <v>133333.33333333331</v>
      </c>
      <c r="F181" s="133">
        <f>D181*Supuestos!$C39</f>
        <v>13333.333333333332</v>
      </c>
      <c r="G181" s="133">
        <f>D181*(1-Supuestos!$C39)</f>
        <v>119999.99999999999</v>
      </c>
      <c r="I181" s="133">
        <f t="shared" si="13"/>
        <v>13333.333333333332</v>
      </c>
      <c r="J181" s="133">
        <f>G181*Supuestos!$C$26</f>
        <v>211.67555311998004</v>
      </c>
      <c r="K181" s="133">
        <f>(I181+J181)*(1/Supuestos!$C$26)</f>
        <v>7678737.7777777771</v>
      </c>
    </row>
    <row r="182" spans="3:11" x14ac:dyDescent="0.2">
      <c r="C182" s="24" t="str">
        <f>'Informacion del AEP'!C88</f>
        <v>Terminación en destinos nacionales-fijo</v>
      </c>
      <c r="D182" s="131">
        <f>INDEX('Informacion del AEP'!$D$79:$N$102,MATCH('Costos aguas abajo'!$C182,'Informacion del AEP'!$C$79:$C$102,0),MATCH('Costos aguas abajo'!$C$172,'Informacion del AEP'!$D$78:$N$78,0))</f>
        <v>133333.33333333331</v>
      </c>
      <c r="F182" s="133">
        <f>D182*Supuestos!$C40</f>
        <v>13333.333333333332</v>
      </c>
      <c r="G182" s="133">
        <f>D182*(1-Supuestos!$C40)</f>
        <v>119999.99999999999</v>
      </c>
      <c r="I182" s="133">
        <f t="shared" si="13"/>
        <v>13333.333333333332</v>
      </c>
      <c r="J182" s="133">
        <f>G182*Supuestos!$C$26</f>
        <v>211.67555311998004</v>
      </c>
      <c r="K182" s="133">
        <f>(I182+J182)*(1/Supuestos!$C$26)</f>
        <v>7678737.7777777771</v>
      </c>
    </row>
    <row r="183" spans="3:11" x14ac:dyDescent="0.2">
      <c r="C183" s="24" t="str">
        <f>'Informacion del AEP'!C89</f>
        <v>Terminación en destinos nacionales-móvil</v>
      </c>
      <c r="D183" s="131">
        <f>INDEX('Informacion del AEP'!$D$79:$N$102,MATCH('Costos aguas abajo'!$C183,'Informacion del AEP'!$C$79:$C$102,0),MATCH('Costos aguas abajo'!$C$172,'Informacion del AEP'!$D$78:$N$78,0))</f>
        <v>133333.33333333331</v>
      </c>
      <c r="F183" s="133">
        <f>D183*Supuestos!$C41</f>
        <v>13333.333333333332</v>
      </c>
      <c r="G183" s="133">
        <f>D183*(1-Supuestos!$C41)</f>
        <v>119999.99999999999</v>
      </c>
      <c r="I183" s="133">
        <f t="shared" si="13"/>
        <v>13333.333333333332</v>
      </c>
      <c r="J183" s="133">
        <f>G183*Supuestos!$C$26</f>
        <v>211.67555311998004</v>
      </c>
      <c r="K183" s="133">
        <f>(I183+J183)*(1/Supuestos!$C$26)</f>
        <v>7678737.7777777771</v>
      </c>
    </row>
    <row r="184" spans="3:11" x14ac:dyDescent="0.2">
      <c r="C184" s="24" t="str">
        <f>'Informacion del AEP'!C90</f>
        <v>Terminación en destinos nacionales-mensajes</v>
      </c>
      <c r="D184" s="131">
        <f>INDEX('Informacion del AEP'!$D$79:$N$102,MATCH('Costos aguas abajo'!$C184,'Informacion del AEP'!$C$79:$C$102,0),MATCH('Costos aguas abajo'!$C$172,'Informacion del AEP'!$D$78:$N$78,0))</f>
        <v>533333.33333333326</v>
      </c>
      <c r="F184" s="133">
        <f>D184*Supuestos!$C42</f>
        <v>53333.333333333328</v>
      </c>
      <c r="G184" s="133">
        <f>D184*(1-Supuestos!$C42)</f>
        <v>479999.99999999994</v>
      </c>
      <c r="I184" s="133">
        <f t="shared" si="13"/>
        <v>53333.333333333328</v>
      </c>
      <c r="J184" s="133">
        <f>G184*Supuestos!$C$26</f>
        <v>846.70221247992015</v>
      </c>
      <c r="K184" s="133">
        <f>(I184+J184)*(1/Supuestos!$C$26)</f>
        <v>30714951.111111108</v>
      </c>
    </row>
    <row r="185" spans="3:11" x14ac:dyDescent="0.2">
      <c r="C185" s="24" t="str">
        <f>'Informacion del AEP'!C91</f>
        <v>Terminación en destinos internacionales</v>
      </c>
      <c r="D185" s="131">
        <f>INDEX('Informacion del AEP'!$D$79:$N$102,MATCH('Costos aguas abajo'!$C185,'Informacion del AEP'!$C$79:$C$102,0),MATCH('Costos aguas abajo'!$C$172,'Informacion del AEP'!$D$78:$N$78,0))</f>
        <v>80000</v>
      </c>
      <c r="F185" s="133">
        <f>D185*Supuestos!$C43</f>
        <v>8000</v>
      </c>
      <c r="G185" s="133">
        <f>D185*(1-Supuestos!$C43)</f>
        <v>72000</v>
      </c>
      <c r="I185" s="133">
        <f t="shared" si="13"/>
        <v>8000</v>
      </c>
      <c r="J185" s="133">
        <f>G185*Supuestos!$C$26</f>
        <v>127.00533187198803</v>
      </c>
      <c r="K185" s="133">
        <f>(I185+J185)*(1/Supuestos!$C$26)</f>
        <v>4607242.666666667</v>
      </c>
    </row>
    <row r="186" spans="3:11" x14ac:dyDescent="0.2">
      <c r="C186" s="24" t="str">
        <f>'Informacion del AEP'!C92</f>
        <v>Terminación en destinos internacionales-mensajes</v>
      </c>
      <c r="D186" s="131">
        <f>INDEX('Informacion del AEP'!$D$79:$N$102,MATCH('Costos aguas abajo'!$C186,'Informacion del AEP'!$C$79:$C$102,0),MATCH('Costos aguas abajo'!$C$172,'Informacion del AEP'!$D$78:$N$78,0))</f>
        <v>80000</v>
      </c>
      <c r="F186" s="133">
        <f>D186*Supuestos!$C44</f>
        <v>8000</v>
      </c>
      <c r="G186" s="133">
        <f>D186*(1-Supuestos!$C44)</f>
        <v>72000</v>
      </c>
      <c r="I186" s="133">
        <f t="shared" si="13"/>
        <v>8000</v>
      </c>
      <c r="J186" s="133">
        <f>G186*Supuestos!$C$26</f>
        <v>127.00533187198803</v>
      </c>
      <c r="K186" s="133">
        <f>(I186+J186)*(1/Supuestos!$C$26)</f>
        <v>4607242.666666667</v>
      </c>
    </row>
    <row r="187" spans="3:11" x14ac:dyDescent="0.2">
      <c r="C187" s="24" t="str">
        <f>'Informacion del AEP'!C93</f>
        <v>Roaming internacional - voz - outbound</v>
      </c>
      <c r="D187" s="131">
        <f>INDEX('Informacion del AEP'!$D$79:$N$102,MATCH('Costos aguas abajo'!$C187,'Informacion del AEP'!$C$79:$C$102,0),MATCH('Costos aguas abajo'!$C$172,'Informacion del AEP'!$D$78:$N$78,0))</f>
        <v>4000</v>
      </c>
      <c r="F187" s="133">
        <f>D187*Supuestos!$C45</f>
        <v>400</v>
      </c>
      <c r="G187" s="133">
        <f>D187*(1-Supuestos!$C45)</f>
        <v>3600</v>
      </c>
      <c r="I187" s="133">
        <f t="shared" si="13"/>
        <v>400</v>
      </c>
      <c r="J187" s="133">
        <f>G187*Supuestos!$C$26</f>
        <v>6.3502665935994012</v>
      </c>
      <c r="K187" s="133">
        <f>(I187+J187)*(1/Supuestos!$C$26)</f>
        <v>230362.13333333336</v>
      </c>
    </row>
    <row r="188" spans="3:11" x14ac:dyDescent="0.2">
      <c r="C188" s="24" t="str">
        <f>'Informacion del AEP'!C94</f>
        <v>Roaming internacional - mensajes - outbound</v>
      </c>
      <c r="D188" s="131">
        <f>INDEX('Informacion del AEP'!$D$79:$N$102,MATCH('Costos aguas abajo'!$C188,'Informacion del AEP'!$C$79:$C$102,0),MATCH('Costos aguas abajo'!$C$172,'Informacion del AEP'!$D$78:$N$78,0))</f>
        <v>1333.3333333333335</v>
      </c>
      <c r="F188" s="133">
        <f>D188*Supuestos!$C46</f>
        <v>133.33333333333334</v>
      </c>
      <c r="G188" s="133">
        <f>D188*(1-Supuestos!$C46)</f>
        <v>1200.0000000000002</v>
      </c>
      <c r="I188" s="133">
        <f t="shared" si="13"/>
        <v>133.33333333333334</v>
      </c>
      <c r="J188" s="133">
        <f>G188*Supuestos!$C$26</f>
        <v>2.116755531199801</v>
      </c>
      <c r="K188" s="133">
        <f>(I188+J188)*(1/Supuestos!$C$26)</f>
        <v>76787.377777777787</v>
      </c>
    </row>
    <row r="189" spans="3:11" x14ac:dyDescent="0.2">
      <c r="C189" s="24" t="str">
        <f>'Informacion del AEP'!C95</f>
        <v>Roaming internacional - datos - outbound</v>
      </c>
      <c r="D189" s="131">
        <f>INDEX('Informacion del AEP'!$D$79:$N$102,MATCH('Costos aguas abajo'!$C189,'Informacion del AEP'!$C$79:$C$102,0),MATCH('Costos aguas abajo'!$C$172,'Informacion del AEP'!$D$78:$N$78,0))</f>
        <v>66666.666666666657</v>
      </c>
      <c r="F189" s="133">
        <f>D189*Supuestos!$C47</f>
        <v>6666.6666666666661</v>
      </c>
      <c r="G189" s="133">
        <f>D189*(1-Supuestos!$C47)</f>
        <v>59999.999999999993</v>
      </c>
      <c r="I189" s="133">
        <f t="shared" si="13"/>
        <v>6666.6666666666661</v>
      </c>
      <c r="J189" s="133">
        <f>G189*Supuestos!$C$26</f>
        <v>105.83777655999002</v>
      </c>
      <c r="K189" s="133">
        <f>(I189+J189)*(1/Supuestos!$C$26)</f>
        <v>3839368.8888888885</v>
      </c>
    </row>
    <row r="190" spans="3:11" x14ac:dyDescent="0.2">
      <c r="C190" s="24" t="str">
        <f>'Informacion del AEP'!C96</f>
        <v>Provisiones</v>
      </c>
      <c r="D190" s="131">
        <f>INDEX('Informacion del AEP'!$D$79:$N$102,MATCH('Costos aguas abajo'!$C190,'Informacion del AEP'!$C$79:$C$102,0),MATCH('Costos aguas abajo'!$C$172,'Informacion del AEP'!$D$78:$N$78,0))</f>
        <v>66666.666666666657</v>
      </c>
      <c r="F190" s="133">
        <f>D190*Supuestos!$C48</f>
        <v>6666.6666666666661</v>
      </c>
      <c r="G190" s="133">
        <f>D190*(1-Supuestos!$C48)</f>
        <v>59999.999999999993</v>
      </c>
      <c r="I190" s="133">
        <f t="shared" si="13"/>
        <v>6666.6666666666661</v>
      </c>
      <c r="J190" s="133">
        <f>G190*Supuestos!$C$26</f>
        <v>105.83777655999002</v>
      </c>
      <c r="K190" s="133">
        <f>(I190+J190)*(1/Supuestos!$C$26)</f>
        <v>3839368.8888888885</v>
      </c>
    </row>
    <row r="191" spans="3:11" x14ac:dyDescent="0.2">
      <c r="C191" s="24" t="str">
        <f>'Informacion del AEP'!C97</f>
        <v>Costos directos de la venta de terminales</v>
      </c>
      <c r="D191" s="131">
        <f>INDEX('Informacion del AEP'!$D$79:$N$102,MATCH('Costos aguas abajo'!$C191,'Informacion del AEP'!$C$79:$C$102,0),MATCH('Costos aguas abajo'!$C$172,'Informacion del AEP'!$D$78:$N$78,0))</f>
        <v>133333.33333333331</v>
      </c>
      <c r="F191" s="133">
        <f>D191*Supuestos!$C49</f>
        <v>13333.333333333332</v>
      </c>
      <c r="G191" s="133">
        <f>D191*(1-Supuestos!$C49)</f>
        <v>119999.99999999999</v>
      </c>
      <c r="I191" s="133">
        <f t="shared" si="13"/>
        <v>13333.333333333332</v>
      </c>
      <c r="J191" s="133">
        <f>G191*Supuestos!$C$26</f>
        <v>211.67555311998004</v>
      </c>
      <c r="K191" s="133">
        <f>(I191+J191)*(1/Supuestos!$C$26)</f>
        <v>7678737.7777777771</v>
      </c>
    </row>
    <row r="192" spans="3:11" x14ac:dyDescent="0.2">
      <c r="C192" s="24" t="str">
        <f>'Informacion del AEP'!C98</f>
        <v>Servicios generales y de gestión - minoristas</v>
      </c>
      <c r="D192" s="131">
        <f>INDEX('Informacion del AEP'!$D$79:$N$102,MATCH('Costos aguas abajo'!$C192,'Informacion del AEP'!$C$79:$C$102,0),MATCH('Costos aguas abajo'!$C$172,'Informacion del AEP'!$D$78:$N$78,0))</f>
        <v>133333.33333333331</v>
      </c>
      <c r="F192" s="133">
        <f>D192*Supuestos!$C50</f>
        <v>13333.333333333332</v>
      </c>
      <c r="G192" s="133">
        <f>D192*(1-Supuestos!$C50)</f>
        <v>119999.99999999999</v>
      </c>
      <c r="I192" s="133">
        <f t="shared" si="13"/>
        <v>13333.333333333332</v>
      </c>
      <c r="J192" s="133">
        <f>G192*Supuestos!$C$26</f>
        <v>211.67555311998004</v>
      </c>
      <c r="K192" s="133">
        <f>(I192+J192)*(1/Supuestos!$C$26)</f>
        <v>7678737.7777777771</v>
      </c>
    </row>
    <row r="193" spans="3:11" x14ac:dyDescent="0.2">
      <c r="C193" s="24" t="str">
        <f>'Informacion del AEP'!C99</f>
        <v>Servicios generales y de gestión - red</v>
      </c>
      <c r="D193" s="131">
        <f>INDEX('Informacion del AEP'!$D$79:$N$102,MATCH('Costos aguas abajo'!$C193,'Informacion del AEP'!$C$79:$C$102,0),MATCH('Costos aguas abajo'!$C$172,'Informacion del AEP'!$D$78:$N$78,0))</f>
        <v>133333.33333333331</v>
      </c>
      <c r="F193" s="133">
        <f>D193*Supuestos!$C51</f>
        <v>13333.333333333332</v>
      </c>
      <c r="G193" s="133">
        <f>D193*(1-Supuestos!$C51)</f>
        <v>119999.99999999999</v>
      </c>
      <c r="I193" s="133">
        <f t="shared" si="13"/>
        <v>13333.333333333332</v>
      </c>
      <c r="J193" s="133">
        <f>G193*Supuestos!$C$26</f>
        <v>211.67555311998004</v>
      </c>
      <c r="K193" s="133">
        <f>(I193+J193)*(1/Supuestos!$C$26)</f>
        <v>7678737.7777777771</v>
      </c>
    </row>
    <row r="194" spans="3:11" x14ac:dyDescent="0.2">
      <c r="C194" s="24" t="str">
        <f>'Informacion del AEP'!C100</f>
        <v xml:space="preserve">Servicios generales y de gestión - negocio </v>
      </c>
      <c r="D194" s="131">
        <f>INDEX('Informacion del AEP'!$D$79:$N$102,MATCH('Costos aguas abajo'!$C194,'Informacion del AEP'!$C$79:$C$102,0),MATCH('Costos aguas abajo'!$C$172,'Informacion del AEP'!$D$78:$N$78,0))</f>
        <v>133333.33333333331</v>
      </c>
      <c r="F194" s="133">
        <f>D194*Supuestos!$C52</f>
        <v>13333.333333333332</v>
      </c>
      <c r="G194" s="133">
        <f>D194*(1-Supuestos!$C52)</f>
        <v>119999.99999999999</v>
      </c>
      <c r="I194" s="133">
        <f t="shared" si="13"/>
        <v>13333.333333333332</v>
      </c>
      <c r="J194" s="133">
        <f>G194*Supuestos!$C$26</f>
        <v>211.67555311998004</v>
      </c>
      <c r="K194" s="133">
        <f>(I194+J194)*(1/Supuestos!$C$26)</f>
        <v>7678737.7777777771</v>
      </c>
    </row>
    <row r="195" spans="3:11" x14ac:dyDescent="0.2">
      <c r="C195" s="24" t="str">
        <f>'Informacion del AEP'!C101</f>
        <v>Costo del Capital</v>
      </c>
      <c r="D195" s="131">
        <f>INDEX('Informacion del AEP'!$D$79:$N$102,MATCH('Costos aguas abajo'!$C195,'Informacion del AEP'!$C$79:$C$102,0),MATCH('Costos aguas abajo'!$C$172,'Informacion del AEP'!$D$78:$N$78,0))</f>
        <v>133333.33333333331</v>
      </c>
      <c r="F195" s="133">
        <f>D195*Supuestos!$C53</f>
        <v>13333.333333333332</v>
      </c>
      <c r="G195" s="133">
        <f>D195*(1-Supuestos!$C53)</f>
        <v>119999.99999999999</v>
      </c>
      <c r="I195" s="133">
        <f t="shared" si="13"/>
        <v>13333.333333333332</v>
      </c>
      <c r="J195" s="133">
        <f>G195*Supuestos!$C$26</f>
        <v>211.67555311998004</v>
      </c>
      <c r="K195" s="133">
        <f>(I195+J195)*(1/Supuestos!$C$26)</f>
        <v>7678737.7777777771</v>
      </c>
    </row>
    <row r="197" spans="3:11" x14ac:dyDescent="0.2">
      <c r="C197" s="134" t="s">
        <v>82</v>
      </c>
      <c r="D197" s="72" t="str">
        <f>IF(D172='Informacion del AEP'!L102,"Ok","Error")</f>
        <v>Ok</v>
      </c>
    </row>
    <row r="199" spans="3:11" x14ac:dyDescent="0.2">
      <c r="C199" s="135" t="str">
        <f>Supuestos!$B$91</f>
        <v>Oferta 5</v>
      </c>
      <c r="D199" s="136">
        <f>SUM(D200:D222)</f>
        <v>2700000</v>
      </c>
      <c r="E199" s="137"/>
      <c r="F199" s="136">
        <f t="shared" ref="F199:G199" si="14">SUM(F200:F222)</f>
        <v>270000</v>
      </c>
      <c r="G199" s="136">
        <f t="shared" si="14"/>
        <v>2429999.9999999995</v>
      </c>
      <c r="H199" s="137"/>
      <c r="I199" s="136">
        <f>+F199</f>
        <v>270000</v>
      </c>
      <c r="J199" s="136">
        <f>SUM(J200:J222)</f>
        <v>4286.429950679596</v>
      </c>
      <c r="K199" s="136">
        <f>SUM(K200:K222)</f>
        <v>155494440.00000006</v>
      </c>
    </row>
    <row r="200" spans="3:11" x14ac:dyDescent="0.2">
      <c r="C200" s="24" t="str">
        <f>'Informacion del AEP'!C79</f>
        <v>Acceso a Internet</v>
      </c>
      <c r="D200" s="131">
        <f>INDEX('Informacion del AEP'!$D$79:$N$102,MATCH('Costos aguas abajo'!$C200,'Informacion del AEP'!$C$79:$C$102,0),MATCH('Costos aguas abajo'!$C$199,'Informacion del AEP'!$D$78:$N$78,0))</f>
        <v>1333.3333333333335</v>
      </c>
      <c r="F200" s="133">
        <f>D200*Supuestos!$C31</f>
        <v>133.33333333333334</v>
      </c>
      <c r="G200" s="133">
        <f>D200*(1-Supuestos!$C31)</f>
        <v>1200.0000000000002</v>
      </c>
      <c r="I200" s="133">
        <f>+F200</f>
        <v>133.33333333333334</v>
      </c>
      <c r="J200" s="133">
        <f>G200*Supuestos!$C$26</f>
        <v>2.116755531199801</v>
      </c>
      <c r="K200" s="133">
        <f>(I200+J200)*(1/Supuestos!$C$26)</f>
        <v>76787.377777777787</v>
      </c>
    </row>
    <row r="201" spans="3:11" x14ac:dyDescent="0.2">
      <c r="C201" s="24" t="str">
        <f>'Informacion del AEP'!C80</f>
        <v>Servicios OTT de vídeo</v>
      </c>
      <c r="D201" s="131">
        <f>INDEX('Informacion del AEP'!$D$79:$N$102,MATCH('Costos aguas abajo'!$C201,'Informacion del AEP'!$C$79:$C$102,0),MATCH('Costos aguas abajo'!$C$199,'Informacion del AEP'!$D$78:$N$78,0))</f>
        <v>66666.666666666657</v>
      </c>
      <c r="F201" s="133">
        <f>D201*Supuestos!$C32</f>
        <v>6666.6666666666661</v>
      </c>
      <c r="G201" s="133">
        <f>D201*(1-Supuestos!$C32)</f>
        <v>59999.999999999993</v>
      </c>
      <c r="I201" s="133">
        <f t="shared" ref="I201:I222" si="15">+F201</f>
        <v>6666.6666666666661</v>
      </c>
      <c r="J201" s="133">
        <f>G201*Supuestos!$C$26</f>
        <v>105.83777655999002</v>
      </c>
      <c r="K201" s="133">
        <f>(I201+J201)*(1/Supuestos!$C$26)</f>
        <v>3839368.8888888885</v>
      </c>
    </row>
    <row r="202" spans="3:11" x14ac:dyDescent="0.2">
      <c r="C202" s="24" t="str">
        <f>'Informacion del AEP'!C81</f>
        <v>Servicios OTT de audio</v>
      </c>
      <c r="D202" s="131">
        <f>INDEX('Informacion del AEP'!$D$79:$N$102,MATCH('Costos aguas abajo'!$C202,'Informacion del AEP'!$C$79:$C$102,0),MATCH('Costos aguas abajo'!$C$199,'Informacion del AEP'!$D$78:$N$78,0))</f>
        <v>66666.666666666657</v>
      </c>
      <c r="F202" s="133">
        <f>D202*Supuestos!$C33</f>
        <v>6666.6666666666661</v>
      </c>
      <c r="G202" s="133">
        <f>D202*(1-Supuestos!$C33)</f>
        <v>59999.999999999993</v>
      </c>
      <c r="I202" s="133">
        <f t="shared" si="15"/>
        <v>6666.6666666666661</v>
      </c>
      <c r="J202" s="133">
        <f>G202*Supuestos!$C$26</f>
        <v>105.83777655999002</v>
      </c>
      <c r="K202" s="133">
        <f>(I202+J202)*(1/Supuestos!$C$26)</f>
        <v>3839368.8888888885</v>
      </c>
    </row>
    <row r="203" spans="3:11" x14ac:dyDescent="0.2">
      <c r="C203" s="24" t="str">
        <f>'Informacion del AEP'!C82</f>
        <v>Comerciales</v>
      </c>
      <c r="D203" s="131">
        <f>INDEX('Informacion del AEP'!$D$79:$N$102,MATCH('Costos aguas abajo'!$C203,'Informacion del AEP'!$C$79:$C$102,0),MATCH('Costos aguas abajo'!$C$199,'Informacion del AEP'!$D$78:$N$78,0))</f>
        <v>133333.33333333331</v>
      </c>
      <c r="F203" s="133">
        <f>D203*Supuestos!$C34</f>
        <v>13333.333333333332</v>
      </c>
      <c r="G203" s="133">
        <f>D203*(1-Supuestos!$C34)</f>
        <v>119999.99999999999</v>
      </c>
      <c r="I203" s="133">
        <f t="shared" si="15"/>
        <v>13333.333333333332</v>
      </c>
      <c r="J203" s="133">
        <f>G203*Supuestos!$C$26</f>
        <v>211.67555311998004</v>
      </c>
      <c r="K203" s="133">
        <f>(I203+J203)*(1/Supuestos!$C$26)</f>
        <v>7678737.7777777771</v>
      </c>
    </row>
    <row r="204" spans="3:11" x14ac:dyDescent="0.2">
      <c r="C204" s="24" t="str">
        <f>'Informacion del AEP'!C83</f>
        <v>Facturación</v>
      </c>
      <c r="D204" s="131">
        <f>INDEX('Informacion del AEP'!$D$79:$N$102,MATCH('Costos aguas abajo'!$C204,'Informacion del AEP'!$C$79:$C$102,0),MATCH('Costos aguas abajo'!$C$199,'Informacion del AEP'!$D$78:$N$78,0))</f>
        <v>133333.33333333331</v>
      </c>
      <c r="F204" s="133">
        <f>D204*Supuestos!$C35</f>
        <v>13333.333333333332</v>
      </c>
      <c r="G204" s="133">
        <f>D204*(1-Supuestos!$C35)</f>
        <v>119999.99999999999</v>
      </c>
      <c r="I204" s="133">
        <f t="shared" si="15"/>
        <v>13333.333333333332</v>
      </c>
      <c r="J204" s="133">
        <f>G204*Supuestos!$C$26</f>
        <v>211.67555311998004</v>
      </c>
      <c r="K204" s="133">
        <f>(I204+J204)*(1/Supuestos!$C$26)</f>
        <v>7678737.7777777771</v>
      </c>
    </row>
    <row r="205" spans="3:11" x14ac:dyDescent="0.2">
      <c r="C205" s="24" t="str">
        <f>'Informacion del AEP'!C84</f>
        <v>Cobranza</v>
      </c>
      <c r="D205" s="131">
        <f>INDEX('Informacion del AEP'!$D$79:$N$102,MATCH('Costos aguas abajo'!$C205,'Informacion del AEP'!$C$79:$C$102,0),MATCH('Costos aguas abajo'!$C$199,'Informacion del AEP'!$D$78:$N$78,0))</f>
        <v>133333.33333333331</v>
      </c>
      <c r="F205" s="133">
        <f>D205*Supuestos!$C36</f>
        <v>13333.333333333332</v>
      </c>
      <c r="G205" s="133">
        <f>D205*(1-Supuestos!$C36)</f>
        <v>119999.99999999999</v>
      </c>
      <c r="I205" s="133">
        <f t="shared" si="15"/>
        <v>13333.333333333332</v>
      </c>
      <c r="J205" s="133">
        <f>G205*Supuestos!$C$26</f>
        <v>211.67555311998004</v>
      </c>
      <c r="K205" s="133">
        <f>(I205+J205)*(1/Supuestos!$C$26)</f>
        <v>7678737.7777777771</v>
      </c>
    </row>
    <row r="206" spans="3:11" x14ac:dyDescent="0.2">
      <c r="C206" s="24" t="str">
        <f>'Informacion del AEP'!C85</f>
        <v>Tasas e impuestos</v>
      </c>
      <c r="D206" s="131">
        <f>INDEX('Informacion del AEP'!$D$79:$N$102,MATCH('Costos aguas abajo'!$C206,'Informacion del AEP'!$C$79:$C$102,0),MATCH('Costos aguas abajo'!$C$199,'Informacion del AEP'!$D$78:$N$78,0))</f>
        <v>133333.33333333331</v>
      </c>
      <c r="F206" s="133">
        <f>D206*Supuestos!$C37</f>
        <v>13333.333333333332</v>
      </c>
      <c r="G206" s="133">
        <f>D206*(1-Supuestos!$C37)</f>
        <v>119999.99999999999</v>
      </c>
      <c r="I206" s="133">
        <f t="shared" si="15"/>
        <v>13333.333333333332</v>
      </c>
      <c r="J206" s="133">
        <f>G206*Supuestos!$C$26</f>
        <v>211.67555311998004</v>
      </c>
      <c r="K206" s="133">
        <f>(I206+J206)*(1/Supuestos!$C$26)</f>
        <v>7678737.7777777771</v>
      </c>
    </row>
    <row r="207" spans="3:11" x14ac:dyDescent="0.2">
      <c r="C207" s="24" t="str">
        <f>'Informacion del AEP'!C86</f>
        <v>Programas de fidelización</v>
      </c>
      <c r="D207" s="131">
        <f>INDEX('Informacion del AEP'!$D$79:$N$102,MATCH('Costos aguas abajo'!$C207,'Informacion del AEP'!$C$79:$C$102,0),MATCH('Costos aguas abajo'!$C$199,'Informacion del AEP'!$D$78:$N$78,0))</f>
        <v>133333.33333333331</v>
      </c>
      <c r="F207" s="133">
        <f>D207*Supuestos!$C38</f>
        <v>13333.333333333332</v>
      </c>
      <c r="G207" s="133">
        <f>D207*(1-Supuestos!$C38)</f>
        <v>119999.99999999999</v>
      </c>
      <c r="I207" s="133">
        <f t="shared" si="15"/>
        <v>13333.333333333332</v>
      </c>
      <c r="J207" s="133">
        <f>G207*Supuestos!$C$26</f>
        <v>211.67555311998004</v>
      </c>
      <c r="K207" s="133">
        <f>(I207+J207)*(1/Supuestos!$C$26)</f>
        <v>7678737.7777777771</v>
      </c>
    </row>
    <row r="208" spans="3:11" x14ac:dyDescent="0.2">
      <c r="C208" s="24" t="str">
        <f>'Informacion del AEP'!C87</f>
        <v>Acceso internet internacional</v>
      </c>
      <c r="D208" s="131">
        <f>INDEX('Informacion del AEP'!$D$79:$N$102,MATCH('Costos aguas abajo'!$C208,'Informacion del AEP'!$C$79:$C$102,0),MATCH('Costos aguas abajo'!$C$199,'Informacion del AEP'!$D$78:$N$78,0))</f>
        <v>133333.33333333331</v>
      </c>
      <c r="F208" s="133">
        <f>D208*Supuestos!$C39</f>
        <v>13333.333333333332</v>
      </c>
      <c r="G208" s="133">
        <f>D208*(1-Supuestos!$C39)</f>
        <v>119999.99999999999</v>
      </c>
      <c r="I208" s="133">
        <f t="shared" si="15"/>
        <v>13333.333333333332</v>
      </c>
      <c r="J208" s="133">
        <f>G208*Supuestos!$C$26</f>
        <v>211.67555311998004</v>
      </c>
      <c r="K208" s="133">
        <f>(I208+J208)*(1/Supuestos!$C$26)</f>
        <v>7678737.7777777771</v>
      </c>
    </row>
    <row r="209" spans="3:11" x14ac:dyDescent="0.2">
      <c r="C209" s="24" t="str">
        <f>'Informacion del AEP'!C88</f>
        <v>Terminación en destinos nacionales-fijo</v>
      </c>
      <c r="D209" s="131">
        <f>INDEX('Informacion del AEP'!$D$79:$N$102,MATCH('Costos aguas abajo'!$C209,'Informacion del AEP'!$C$79:$C$102,0),MATCH('Costos aguas abajo'!$C$199,'Informacion del AEP'!$D$78:$N$78,0))</f>
        <v>133333.33333333331</v>
      </c>
      <c r="F209" s="133">
        <f>D209*Supuestos!$C40</f>
        <v>13333.333333333332</v>
      </c>
      <c r="G209" s="133">
        <f>D209*(1-Supuestos!$C40)</f>
        <v>119999.99999999999</v>
      </c>
      <c r="I209" s="133">
        <f t="shared" si="15"/>
        <v>13333.333333333332</v>
      </c>
      <c r="J209" s="133">
        <f>G209*Supuestos!$C$26</f>
        <v>211.67555311998004</v>
      </c>
      <c r="K209" s="133">
        <f>(I209+J209)*(1/Supuestos!$C$26)</f>
        <v>7678737.7777777771</v>
      </c>
    </row>
    <row r="210" spans="3:11" x14ac:dyDescent="0.2">
      <c r="C210" s="24" t="str">
        <f>'Informacion del AEP'!C89</f>
        <v>Terminación en destinos nacionales-móvil</v>
      </c>
      <c r="D210" s="131">
        <f>INDEX('Informacion del AEP'!$D$79:$N$102,MATCH('Costos aguas abajo'!$C210,'Informacion del AEP'!$C$79:$C$102,0),MATCH('Costos aguas abajo'!$C$199,'Informacion del AEP'!$D$78:$N$78,0))</f>
        <v>133333.33333333331</v>
      </c>
      <c r="F210" s="133">
        <f>D210*Supuestos!$C41</f>
        <v>13333.333333333332</v>
      </c>
      <c r="G210" s="133">
        <f>D210*(1-Supuestos!$C41)</f>
        <v>119999.99999999999</v>
      </c>
      <c r="I210" s="133">
        <f t="shared" si="15"/>
        <v>13333.333333333332</v>
      </c>
      <c r="J210" s="133">
        <f>G210*Supuestos!$C$26</f>
        <v>211.67555311998004</v>
      </c>
      <c r="K210" s="133">
        <f>(I210+J210)*(1/Supuestos!$C$26)</f>
        <v>7678737.7777777771</v>
      </c>
    </row>
    <row r="211" spans="3:11" x14ac:dyDescent="0.2">
      <c r="C211" s="24" t="str">
        <f>'Informacion del AEP'!C90</f>
        <v>Terminación en destinos nacionales-mensajes</v>
      </c>
      <c r="D211" s="131">
        <f>INDEX('Informacion del AEP'!$D$79:$N$102,MATCH('Costos aguas abajo'!$C211,'Informacion del AEP'!$C$79:$C$102,0),MATCH('Costos aguas abajo'!$C$199,'Informacion del AEP'!$D$78:$N$78,0))</f>
        <v>533333.33333333326</v>
      </c>
      <c r="F211" s="133">
        <f>D211*Supuestos!$C42</f>
        <v>53333.333333333328</v>
      </c>
      <c r="G211" s="133">
        <f>D211*(1-Supuestos!$C42)</f>
        <v>479999.99999999994</v>
      </c>
      <c r="I211" s="133">
        <f t="shared" si="15"/>
        <v>53333.333333333328</v>
      </c>
      <c r="J211" s="133">
        <f>G211*Supuestos!$C$26</f>
        <v>846.70221247992015</v>
      </c>
      <c r="K211" s="133">
        <f>(I211+J211)*(1/Supuestos!$C$26)</f>
        <v>30714951.111111108</v>
      </c>
    </row>
    <row r="212" spans="3:11" x14ac:dyDescent="0.2">
      <c r="C212" s="24" t="str">
        <f>'Informacion del AEP'!C91</f>
        <v>Terminación en destinos internacionales</v>
      </c>
      <c r="D212" s="131">
        <f>INDEX('Informacion del AEP'!$D$79:$N$102,MATCH('Costos aguas abajo'!$C212,'Informacion del AEP'!$C$79:$C$102,0),MATCH('Costos aguas abajo'!$C$199,'Informacion del AEP'!$D$78:$N$78,0))</f>
        <v>80000</v>
      </c>
      <c r="F212" s="133">
        <f>D212*Supuestos!$C43</f>
        <v>8000</v>
      </c>
      <c r="G212" s="133">
        <f>D212*(1-Supuestos!$C43)</f>
        <v>72000</v>
      </c>
      <c r="I212" s="133">
        <f t="shared" si="15"/>
        <v>8000</v>
      </c>
      <c r="J212" s="133">
        <f>G212*Supuestos!$C$26</f>
        <v>127.00533187198803</v>
      </c>
      <c r="K212" s="133">
        <f>(I212+J212)*(1/Supuestos!$C$26)</f>
        <v>4607242.666666667</v>
      </c>
    </row>
    <row r="213" spans="3:11" x14ac:dyDescent="0.2">
      <c r="C213" s="24" t="str">
        <f>'Informacion del AEP'!C92</f>
        <v>Terminación en destinos internacionales-mensajes</v>
      </c>
      <c r="D213" s="131">
        <f>INDEX('Informacion del AEP'!$D$79:$N$102,MATCH('Costos aguas abajo'!$C213,'Informacion del AEP'!$C$79:$C$102,0),MATCH('Costos aguas abajo'!$C$199,'Informacion del AEP'!$D$78:$N$78,0))</f>
        <v>80000</v>
      </c>
      <c r="F213" s="133">
        <f>D213*Supuestos!$C44</f>
        <v>8000</v>
      </c>
      <c r="G213" s="133">
        <f>D213*(1-Supuestos!$C44)</f>
        <v>72000</v>
      </c>
      <c r="I213" s="133">
        <f t="shared" si="15"/>
        <v>8000</v>
      </c>
      <c r="J213" s="133">
        <f>G213*Supuestos!$C$26</f>
        <v>127.00533187198803</v>
      </c>
      <c r="K213" s="133">
        <f>(I213+J213)*(1/Supuestos!$C$26)</f>
        <v>4607242.666666667</v>
      </c>
    </row>
    <row r="214" spans="3:11" x14ac:dyDescent="0.2">
      <c r="C214" s="24" t="str">
        <f>'Informacion del AEP'!C93</f>
        <v>Roaming internacional - voz - outbound</v>
      </c>
      <c r="D214" s="131">
        <f>INDEX('Informacion del AEP'!$D$79:$N$102,MATCH('Costos aguas abajo'!$C214,'Informacion del AEP'!$C$79:$C$102,0),MATCH('Costos aguas abajo'!$C$199,'Informacion del AEP'!$D$78:$N$78,0))</f>
        <v>4000</v>
      </c>
      <c r="F214" s="133">
        <f>D214*Supuestos!$C45</f>
        <v>400</v>
      </c>
      <c r="G214" s="133">
        <f>D214*(1-Supuestos!$C45)</f>
        <v>3600</v>
      </c>
      <c r="I214" s="133">
        <f t="shared" si="15"/>
        <v>400</v>
      </c>
      <c r="J214" s="133">
        <f>G214*Supuestos!$C$26</f>
        <v>6.3502665935994012</v>
      </c>
      <c r="K214" s="133">
        <f>(I214+J214)*(1/Supuestos!$C$26)</f>
        <v>230362.13333333336</v>
      </c>
    </row>
    <row r="215" spans="3:11" x14ac:dyDescent="0.2">
      <c r="C215" s="24" t="str">
        <f>'Informacion del AEP'!C94</f>
        <v>Roaming internacional - mensajes - outbound</v>
      </c>
      <c r="D215" s="131">
        <f>INDEX('Informacion del AEP'!$D$79:$N$102,MATCH('Costos aguas abajo'!$C215,'Informacion del AEP'!$C$79:$C$102,0),MATCH('Costos aguas abajo'!$C$199,'Informacion del AEP'!$D$78:$N$78,0))</f>
        <v>1333.3333333333335</v>
      </c>
      <c r="F215" s="133">
        <f>D215*Supuestos!$C46</f>
        <v>133.33333333333334</v>
      </c>
      <c r="G215" s="133">
        <f>D215*(1-Supuestos!$C46)</f>
        <v>1200.0000000000002</v>
      </c>
      <c r="I215" s="133">
        <f t="shared" si="15"/>
        <v>133.33333333333334</v>
      </c>
      <c r="J215" s="133">
        <f>G215*Supuestos!$C$26</f>
        <v>2.116755531199801</v>
      </c>
      <c r="K215" s="133">
        <f>(I215+J215)*(1/Supuestos!$C$26)</f>
        <v>76787.377777777787</v>
      </c>
    </row>
    <row r="216" spans="3:11" x14ac:dyDescent="0.2">
      <c r="C216" s="24" t="str">
        <f>'Informacion del AEP'!C95</f>
        <v>Roaming internacional - datos - outbound</v>
      </c>
      <c r="D216" s="131">
        <f>INDEX('Informacion del AEP'!$D$79:$N$102,MATCH('Costos aguas abajo'!$C216,'Informacion del AEP'!$C$79:$C$102,0),MATCH('Costos aguas abajo'!$C$199,'Informacion del AEP'!$D$78:$N$78,0))</f>
        <v>66666.666666666657</v>
      </c>
      <c r="F216" s="133">
        <f>D216*Supuestos!$C47</f>
        <v>6666.6666666666661</v>
      </c>
      <c r="G216" s="133">
        <f>D216*(1-Supuestos!$C47)</f>
        <v>59999.999999999993</v>
      </c>
      <c r="I216" s="133">
        <f t="shared" si="15"/>
        <v>6666.6666666666661</v>
      </c>
      <c r="J216" s="133">
        <f>G216*Supuestos!$C$26</f>
        <v>105.83777655999002</v>
      </c>
      <c r="K216" s="133">
        <f>(I216+J216)*(1/Supuestos!$C$26)</f>
        <v>3839368.8888888885</v>
      </c>
    </row>
    <row r="217" spans="3:11" x14ac:dyDescent="0.2">
      <c r="C217" s="24" t="str">
        <f>'Informacion del AEP'!C96</f>
        <v>Provisiones</v>
      </c>
      <c r="D217" s="131">
        <f>INDEX('Informacion del AEP'!$D$79:$N$102,MATCH('Costos aguas abajo'!$C217,'Informacion del AEP'!$C$79:$C$102,0),MATCH('Costos aguas abajo'!$C$199,'Informacion del AEP'!$D$78:$N$78,0))</f>
        <v>66666.666666666657</v>
      </c>
      <c r="F217" s="133">
        <f>D217*Supuestos!$C48</f>
        <v>6666.6666666666661</v>
      </c>
      <c r="G217" s="133">
        <f>D217*(1-Supuestos!$C48)</f>
        <v>59999.999999999993</v>
      </c>
      <c r="I217" s="133">
        <f t="shared" si="15"/>
        <v>6666.6666666666661</v>
      </c>
      <c r="J217" s="133">
        <f>G217*Supuestos!$C$26</f>
        <v>105.83777655999002</v>
      </c>
      <c r="K217" s="133">
        <f>(I217+J217)*(1/Supuestos!$C$26)</f>
        <v>3839368.8888888885</v>
      </c>
    </row>
    <row r="218" spans="3:11" x14ac:dyDescent="0.2">
      <c r="C218" s="24" t="str">
        <f>'Informacion del AEP'!C97</f>
        <v>Costos directos de la venta de terminales</v>
      </c>
      <c r="D218" s="131">
        <f>INDEX('Informacion del AEP'!$D$79:$N$102,MATCH('Costos aguas abajo'!$C218,'Informacion del AEP'!$C$79:$C$102,0),MATCH('Costos aguas abajo'!$C$199,'Informacion del AEP'!$D$78:$N$78,0))</f>
        <v>133333.33333333331</v>
      </c>
      <c r="F218" s="133">
        <f>D218*Supuestos!$C49</f>
        <v>13333.333333333332</v>
      </c>
      <c r="G218" s="133">
        <f>D218*(1-Supuestos!$C49)</f>
        <v>119999.99999999999</v>
      </c>
      <c r="I218" s="133">
        <f t="shared" si="15"/>
        <v>13333.333333333332</v>
      </c>
      <c r="J218" s="133">
        <f>G218*Supuestos!$C$26</f>
        <v>211.67555311998004</v>
      </c>
      <c r="K218" s="133">
        <f>(I218+J218)*(1/Supuestos!$C$26)</f>
        <v>7678737.7777777771</v>
      </c>
    </row>
    <row r="219" spans="3:11" x14ac:dyDescent="0.2">
      <c r="C219" s="24" t="str">
        <f>'Informacion del AEP'!C98</f>
        <v>Servicios generales y de gestión - minoristas</v>
      </c>
      <c r="D219" s="131">
        <f>INDEX('Informacion del AEP'!$D$79:$N$102,MATCH('Costos aguas abajo'!$C219,'Informacion del AEP'!$C$79:$C$102,0),MATCH('Costos aguas abajo'!$C$199,'Informacion del AEP'!$D$78:$N$78,0))</f>
        <v>133333.33333333331</v>
      </c>
      <c r="F219" s="133">
        <f>D219*Supuestos!$C50</f>
        <v>13333.333333333332</v>
      </c>
      <c r="G219" s="133">
        <f>D219*(1-Supuestos!$C50)</f>
        <v>119999.99999999999</v>
      </c>
      <c r="I219" s="133">
        <f t="shared" si="15"/>
        <v>13333.333333333332</v>
      </c>
      <c r="J219" s="133">
        <f>G219*Supuestos!$C$26</f>
        <v>211.67555311998004</v>
      </c>
      <c r="K219" s="133">
        <f>(I219+J219)*(1/Supuestos!$C$26)</f>
        <v>7678737.7777777771</v>
      </c>
    </row>
    <row r="220" spans="3:11" x14ac:dyDescent="0.2">
      <c r="C220" s="24" t="str">
        <f>'Informacion del AEP'!C99</f>
        <v>Servicios generales y de gestión - red</v>
      </c>
      <c r="D220" s="131">
        <f>INDEX('Informacion del AEP'!$D$79:$N$102,MATCH('Costos aguas abajo'!$C220,'Informacion del AEP'!$C$79:$C$102,0),MATCH('Costos aguas abajo'!$C$199,'Informacion del AEP'!$D$78:$N$78,0))</f>
        <v>133333.33333333331</v>
      </c>
      <c r="F220" s="133">
        <f>D220*Supuestos!$C51</f>
        <v>13333.333333333332</v>
      </c>
      <c r="G220" s="133">
        <f>D220*(1-Supuestos!$C51)</f>
        <v>119999.99999999999</v>
      </c>
      <c r="I220" s="133">
        <f t="shared" si="15"/>
        <v>13333.333333333332</v>
      </c>
      <c r="J220" s="133">
        <f>G220*Supuestos!$C$26</f>
        <v>211.67555311998004</v>
      </c>
      <c r="K220" s="133">
        <f>(I220+J220)*(1/Supuestos!$C$26)</f>
        <v>7678737.7777777771</v>
      </c>
    </row>
    <row r="221" spans="3:11" x14ac:dyDescent="0.2">
      <c r="C221" s="24" t="str">
        <f>'Informacion del AEP'!C100</f>
        <v xml:space="preserve">Servicios generales y de gestión - negocio </v>
      </c>
      <c r="D221" s="131">
        <f>INDEX('Informacion del AEP'!$D$79:$N$102,MATCH('Costos aguas abajo'!$C221,'Informacion del AEP'!$C$79:$C$102,0),MATCH('Costos aguas abajo'!$C$199,'Informacion del AEP'!$D$78:$N$78,0))</f>
        <v>133333.33333333331</v>
      </c>
      <c r="F221" s="133">
        <f>D221*Supuestos!$C52</f>
        <v>13333.333333333332</v>
      </c>
      <c r="G221" s="133">
        <f>D221*(1-Supuestos!$C52)</f>
        <v>119999.99999999999</v>
      </c>
      <c r="I221" s="133">
        <f t="shared" si="15"/>
        <v>13333.333333333332</v>
      </c>
      <c r="J221" s="133">
        <f>G221*Supuestos!$C$26</f>
        <v>211.67555311998004</v>
      </c>
      <c r="K221" s="133">
        <f>(I221+J221)*(1/Supuestos!$C$26)</f>
        <v>7678737.7777777771</v>
      </c>
    </row>
    <row r="222" spans="3:11" x14ac:dyDescent="0.2">
      <c r="C222" s="24" t="str">
        <f>'Informacion del AEP'!C101</f>
        <v>Costo del Capital</v>
      </c>
      <c r="D222" s="131">
        <f>INDEX('Informacion del AEP'!$D$79:$N$102,MATCH('Costos aguas abajo'!$C222,'Informacion del AEP'!$C$79:$C$102,0),MATCH('Costos aguas abajo'!$C$199,'Informacion del AEP'!$D$78:$N$78,0))</f>
        <v>133333.33333333331</v>
      </c>
      <c r="F222" s="133">
        <f>D222*Supuestos!$C53</f>
        <v>13333.333333333332</v>
      </c>
      <c r="G222" s="133">
        <f>D222*(1-Supuestos!$C53)</f>
        <v>119999.99999999999</v>
      </c>
      <c r="I222" s="133">
        <f t="shared" si="15"/>
        <v>13333.333333333332</v>
      </c>
      <c r="J222" s="133">
        <f>G222*Supuestos!$C$26</f>
        <v>211.67555311998004</v>
      </c>
      <c r="K222" s="133">
        <f>(I222+J222)*(1/Supuestos!$C$26)</f>
        <v>7678737.7777777771</v>
      </c>
    </row>
    <row r="224" spans="3:11" x14ac:dyDescent="0.2">
      <c r="C224" s="134" t="s">
        <v>82</v>
      </c>
      <c r="D224" s="72" t="str">
        <f>IF(D199='Informacion del AEP'!M102,"Ok","Error")</f>
        <v>Ok</v>
      </c>
    </row>
    <row r="226" spans="3:11" x14ac:dyDescent="0.2">
      <c r="C226" s="135" t="str">
        <f>Supuestos!$B$92</f>
        <v>Oferta 6</v>
      </c>
      <c r="D226" s="136">
        <f>SUM(D227:D249)</f>
        <v>2700000</v>
      </c>
      <c r="E226" s="137"/>
      <c r="F226" s="136">
        <f t="shared" ref="F226:G226" si="16">SUM(F227:F249)</f>
        <v>270000</v>
      </c>
      <c r="G226" s="136">
        <f t="shared" si="16"/>
        <v>2429999.9999999995</v>
      </c>
      <c r="H226" s="137"/>
      <c r="I226" s="136">
        <f>+F226</f>
        <v>270000</v>
      </c>
      <c r="J226" s="136">
        <f>SUM(J227:J249)</f>
        <v>4286.429950679596</v>
      </c>
      <c r="K226" s="136">
        <f>SUM(K227:K249)</f>
        <v>155494440.00000006</v>
      </c>
    </row>
    <row r="227" spans="3:11" x14ac:dyDescent="0.2">
      <c r="C227" s="24" t="str">
        <f>'Informacion del AEP'!C79</f>
        <v>Acceso a Internet</v>
      </c>
      <c r="D227" s="131">
        <f>INDEX('Informacion del AEP'!$D$79:$N$102,MATCH('Costos aguas abajo'!$C227,'Informacion del AEP'!$C$79:$C$102,0),MATCH('Costos aguas abajo'!$C$226,'Informacion del AEP'!$D$78:$N$78,0))</f>
        <v>1333.3333333333335</v>
      </c>
      <c r="F227" s="133">
        <f>D227*Supuestos!$C31</f>
        <v>133.33333333333334</v>
      </c>
      <c r="G227" s="133">
        <f>D227*(1-Supuestos!$C31)</f>
        <v>1200.0000000000002</v>
      </c>
      <c r="I227" s="133">
        <f>+F227</f>
        <v>133.33333333333334</v>
      </c>
      <c r="J227" s="133">
        <f>G227*Supuestos!$C$26</f>
        <v>2.116755531199801</v>
      </c>
      <c r="K227" s="133">
        <f>(I227+J227)*(1/Supuestos!$C$26)</f>
        <v>76787.377777777787</v>
      </c>
    </row>
    <row r="228" spans="3:11" x14ac:dyDescent="0.2">
      <c r="C228" s="24" t="str">
        <f>'Informacion del AEP'!C80</f>
        <v>Servicios OTT de vídeo</v>
      </c>
      <c r="D228" s="131">
        <f>INDEX('Informacion del AEP'!$D$79:$N$102,MATCH('Costos aguas abajo'!$C228,'Informacion del AEP'!$C$79:$C$102,0),MATCH('Costos aguas abajo'!$C$226,'Informacion del AEP'!$D$78:$N$78,0))</f>
        <v>66666.666666666657</v>
      </c>
      <c r="F228" s="133">
        <f>D228*Supuestos!$C32</f>
        <v>6666.6666666666661</v>
      </c>
      <c r="G228" s="133">
        <f>D228*(1-Supuestos!$C32)</f>
        <v>59999.999999999993</v>
      </c>
      <c r="I228" s="133">
        <f t="shared" ref="I228:I249" si="17">+F228</f>
        <v>6666.6666666666661</v>
      </c>
      <c r="J228" s="133">
        <f>G228*Supuestos!$C$26</f>
        <v>105.83777655999002</v>
      </c>
      <c r="K228" s="133">
        <f>(I228+J228)*(1/Supuestos!$C$26)</f>
        <v>3839368.8888888885</v>
      </c>
    </row>
    <row r="229" spans="3:11" x14ac:dyDescent="0.2">
      <c r="C229" s="24" t="str">
        <f>'Informacion del AEP'!C81</f>
        <v>Servicios OTT de audio</v>
      </c>
      <c r="D229" s="131">
        <f>INDEX('Informacion del AEP'!$D$79:$N$102,MATCH('Costos aguas abajo'!$C229,'Informacion del AEP'!$C$79:$C$102,0),MATCH('Costos aguas abajo'!$C$226,'Informacion del AEP'!$D$78:$N$78,0))</f>
        <v>66666.666666666657</v>
      </c>
      <c r="F229" s="133">
        <f>D229*Supuestos!$C33</f>
        <v>6666.6666666666661</v>
      </c>
      <c r="G229" s="133">
        <f>D229*(1-Supuestos!$C33)</f>
        <v>59999.999999999993</v>
      </c>
      <c r="I229" s="133">
        <f t="shared" si="17"/>
        <v>6666.6666666666661</v>
      </c>
      <c r="J229" s="133">
        <f>G229*Supuestos!$C$26</f>
        <v>105.83777655999002</v>
      </c>
      <c r="K229" s="133">
        <f>(I229+J229)*(1/Supuestos!$C$26)</f>
        <v>3839368.8888888885</v>
      </c>
    </row>
    <row r="230" spans="3:11" x14ac:dyDescent="0.2">
      <c r="C230" s="24" t="str">
        <f>'Informacion del AEP'!C82</f>
        <v>Comerciales</v>
      </c>
      <c r="D230" s="131">
        <f>INDEX('Informacion del AEP'!$D$79:$N$102,MATCH('Costos aguas abajo'!$C230,'Informacion del AEP'!$C$79:$C$102,0),MATCH('Costos aguas abajo'!$C$226,'Informacion del AEP'!$D$78:$N$78,0))</f>
        <v>133333.33333333331</v>
      </c>
      <c r="F230" s="133">
        <f>D230*Supuestos!$C34</f>
        <v>13333.333333333332</v>
      </c>
      <c r="G230" s="133">
        <f>D230*(1-Supuestos!$C34)</f>
        <v>119999.99999999999</v>
      </c>
      <c r="I230" s="133">
        <f t="shared" si="17"/>
        <v>13333.333333333332</v>
      </c>
      <c r="J230" s="133">
        <f>G230*Supuestos!$C$26</f>
        <v>211.67555311998004</v>
      </c>
      <c r="K230" s="133">
        <f>(I230+J230)*(1/Supuestos!$C$26)</f>
        <v>7678737.7777777771</v>
      </c>
    </row>
    <row r="231" spans="3:11" x14ac:dyDescent="0.2">
      <c r="C231" s="24" t="str">
        <f>'Informacion del AEP'!C83</f>
        <v>Facturación</v>
      </c>
      <c r="D231" s="131">
        <f>INDEX('Informacion del AEP'!$D$79:$N$102,MATCH('Costos aguas abajo'!$C231,'Informacion del AEP'!$C$79:$C$102,0),MATCH('Costos aguas abajo'!$C$226,'Informacion del AEP'!$D$78:$N$78,0))</f>
        <v>133333.33333333331</v>
      </c>
      <c r="F231" s="133">
        <f>D231*Supuestos!$C35</f>
        <v>13333.333333333332</v>
      </c>
      <c r="G231" s="133">
        <f>D231*(1-Supuestos!$C35)</f>
        <v>119999.99999999999</v>
      </c>
      <c r="I231" s="133">
        <f t="shared" si="17"/>
        <v>13333.333333333332</v>
      </c>
      <c r="J231" s="133">
        <f>G231*Supuestos!$C$26</f>
        <v>211.67555311998004</v>
      </c>
      <c r="K231" s="133">
        <f>(I231+J231)*(1/Supuestos!$C$26)</f>
        <v>7678737.7777777771</v>
      </c>
    </row>
    <row r="232" spans="3:11" x14ac:dyDescent="0.2">
      <c r="C232" s="24" t="str">
        <f>'Informacion del AEP'!C84</f>
        <v>Cobranza</v>
      </c>
      <c r="D232" s="131">
        <f>INDEX('Informacion del AEP'!$D$79:$N$102,MATCH('Costos aguas abajo'!$C232,'Informacion del AEP'!$C$79:$C$102,0),MATCH('Costos aguas abajo'!$C$226,'Informacion del AEP'!$D$78:$N$78,0))</f>
        <v>133333.33333333331</v>
      </c>
      <c r="F232" s="133">
        <f>D232*Supuestos!$C36</f>
        <v>13333.333333333332</v>
      </c>
      <c r="G232" s="133">
        <f>D232*(1-Supuestos!$C36)</f>
        <v>119999.99999999999</v>
      </c>
      <c r="I232" s="133">
        <f t="shared" si="17"/>
        <v>13333.333333333332</v>
      </c>
      <c r="J232" s="133">
        <f>G232*Supuestos!$C$26</f>
        <v>211.67555311998004</v>
      </c>
      <c r="K232" s="133">
        <f>(I232+J232)*(1/Supuestos!$C$26)</f>
        <v>7678737.7777777771</v>
      </c>
    </row>
    <row r="233" spans="3:11" x14ac:dyDescent="0.2">
      <c r="C233" s="24" t="str">
        <f>'Informacion del AEP'!C85</f>
        <v>Tasas e impuestos</v>
      </c>
      <c r="D233" s="131">
        <f>INDEX('Informacion del AEP'!$D$79:$N$102,MATCH('Costos aguas abajo'!$C233,'Informacion del AEP'!$C$79:$C$102,0),MATCH('Costos aguas abajo'!$C$226,'Informacion del AEP'!$D$78:$N$78,0))</f>
        <v>133333.33333333331</v>
      </c>
      <c r="F233" s="133">
        <f>D233*Supuestos!$C37</f>
        <v>13333.333333333332</v>
      </c>
      <c r="G233" s="133">
        <f>D233*(1-Supuestos!$C37)</f>
        <v>119999.99999999999</v>
      </c>
      <c r="I233" s="133">
        <f t="shared" si="17"/>
        <v>13333.333333333332</v>
      </c>
      <c r="J233" s="133">
        <f>G233*Supuestos!$C$26</f>
        <v>211.67555311998004</v>
      </c>
      <c r="K233" s="133">
        <f>(I233+J233)*(1/Supuestos!$C$26)</f>
        <v>7678737.7777777771</v>
      </c>
    </row>
    <row r="234" spans="3:11" x14ac:dyDescent="0.2">
      <c r="C234" s="24" t="str">
        <f>'Informacion del AEP'!C86</f>
        <v>Programas de fidelización</v>
      </c>
      <c r="D234" s="131">
        <f>INDEX('Informacion del AEP'!$D$79:$N$102,MATCH('Costos aguas abajo'!$C234,'Informacion del AEP'!$C$79:$C$102,0),MATCH('Costos aguas abajo'!$C$226,'Informacion del AEP'!$D$78:$N$78,0))</f>
        <v>133333.33333333331</v>
      </c>
      <c r="F234" s="133">
        <f>D234*Supuestos!$C38</f>
        <v>13333.333333333332</v>
      </c>
      <c r="G234" s="133">
        <f>D234*(1-Supuestos!$C38)</f>
        <v>119999.99999999999</v>
      </c>
      <c r="I234" s="133">
        <f t="shared" si="17"/>
        <v>13333.333333333332</v>
      </c>
      <c r="J234" s="133">
        <f>G234*Supuestos!$C$26</f>
        <v>211.67555311998004</v>
      </c>
      <c r="K234" s="133">
        <f>(I234+J234)*(1/Supuestos!$C$26)</f>
        <v>7678737.7777777771</v>
      </c>
    </row>
    <row r="235" spans="3:11" x14ac:dyDescent="0.2">
      <c r="C235" s="24" t="str">
        <f>'Informacion del AEP'!C87</f>
        <v>Acceso internet internacional</v>
      </c>
      <c r="D235" s="131">
        <f>INDEX('Informacion del AEP'!$D$79:$N$102,MATCH('Costos aguas abajo'!$C235,'Informacion del AEP'!$C$79:$C$102,0),MATCH('Costos aguas abajo'!$C$226,'Informacion del AEP'!$D$78:$N$78,0))</f>
        <v>133333.33333333331</v>
      </c>
      <c r="F235" s="133">
        <f>D235*Supuestos!$C39</f>
        <v>13333.333333333332</v>
      </c>
      <c r="G235" s="133">
        <f>D235*(1-Supuestos!$C39)</f>
        <v>119999.99999999999</v>
      </c>
      <c r="I235" s="133">
        <f t="shared" si="17"/>
        <v>13333.333333333332</v>
      </c>
      <c r="J235" s="133">
        <f>G235*Supuestos!$C$26</f>
        <v>211.67555311998004</v>
      </c>
      <c r="K235" s="133">
        <f>(I235+J235)*(1/Supuestos!$C$26)</f>
        <v>7678737.7777777771</v>
      </c>
    </row>
    <row r="236" spans="3:11" x14ac:dyDescent="0.2">
      <c r="C236" s="24" t="str">
        <f>'Informacion del AEP'!C88</f>
        <v>Terminación en destinos nacionales-fijo</v>
      </c>
      <c r="D236" s="131">
        <f>INDEX('Informacion del AEP'!$D$79:$N$102,MATCH('Costos aguas abajo'!$C236,'Informacion del AEP'!$C$79:$C$102,0),MATCH('Costos aguas abajo'!$C$226,'Informacion del AEP'!$D$78:$N$78,0))</f>
        <v>133333.33333333331</v>
      </c>
      <c r="F236" s="133">
        <f>D236*Supuestos!$C40</f>
        <v>13333.333333333332</v>
      </c>
      <c r="G236" s="133">
        <f>D236*(1-Supuestos!$C40)</f>
        <v>119999.99999999999</v>
      </c>
      <c r="I236" s="133">
        <f t="shared" si="17"/>
        <v>13333.333333333332</v>
      </c>
      <c r="J236" s="133">
        <f>G236*Supuestos!$C$26</f>
        <v>211.67555311998004</v>
      </c>
      <c r="K236" s="133">
        <f>(I236+J236)*(1/Supuestos!$C$26)</f>
        <v>7678737.7777777771</v>
      </c>
    </row>
    <row r="237" spans="3:11" x14ac:dyDescent="0.2">
      <c r="C237" s="24" t="str">
        <f>'Informacion del AEP'!C89</f>
        <v>Terminación en destinos nacionales-móvil</v>
      </c>
      <c r="D237" s="131">
        <f>INDEX('Informacion del AEP'!$D$79:$N$102,MATCH('Costos aguas abajo'!$C237,'Informacion del AEP'!$C$79:$C$102,0),MATCH('Costos aguas abajo'!$C$226,'Informacion del AEP'!$D$78:$N$78,0))</f>
        <v>133333.33333333331</v>
      </c>
      <c r="F237" s="133">
        <f>D237*Supuestos!$C41</f>
        <v>13333.333333333332</v>
      </c>
      <c r="G237" s="133">
        <f>D237*(1-Supuestos!$C41)</f>
        <v>119999.99999999999</v>
      </c>
      <c r="I237" s="133">
        <f t="shared" si="17"/>
        <v>13333.333333333332</v>
      </c>
      <c r="J237" s="133">
        <f>G237*Supuestos!$C$26</f>
        <v>211.67555311998004</v>
      </c>
      <c r="K237" s="133">
        <f>(I237+J237)*(1/Supuestos!$C$26)</f>
        <v>7678737.7777777771</v>
      </c>
    </row>
    <row r="238" spans="3:11" x14ac:dyDescent="0.2">
      <c r="C238" s="24" t="str">
        <f>'Informacion del AEP'!C90</f>
        <v>Terminación en destinos nacionales-mensajes</v>
      </c>
      <c r="D238" s="131">
        <f>INDEX('Informacion del AEP'!$D$79:$N$102,MATCH('Costos aguas abajo'!$C238,'Informacion del AEP'!$C$79:$C$102,0),MATCH('Costos aguas abajo'!$C$226,'Informacion del AEP'!$D$78:$N$78,0))</f>
        <v>533333.33333333326</v>
      </c>
      <c r="F238" s="133">
        <f>D238*Supuestos!$C42</f>
        <v>53333.333333333328</v>
      </c>
      <c r="G238" s="133">
        <f>D238*(1-Supuestos!$C42)</f>
        <v>479999.99999999994</v>
      </c>
      <c r="I238" s="133">
        <f t="shared" si="17"/>
        <v>53333.333333333328</v>
      </c>
      <c r="J238" s="133">
        <f>G238*Supuestos!$C$26</f>
        <v>846.70221247992015</v>
      </c>
      <c r="K238" s="133">
        <f>(I238+J238)*(1/Supuestos!$C$26)</f>
        <v>30714951.111111108</v>
      </c>
    </row>
    <row r="239" spans="3:11" x14ac:dyDescent="0.2">
      <c r="C239" s="24" t="str">
        <f>'Informacion del AEP'!C91</f>
        <v>Terminación en destinos internacionales</v>
      </c>
      <c r="D239" s="131">
        <f>INDEX('Informacion del AEP'!$D$79:$N$102,MATCH('Costos aguas abajo'!$C239,'Informacion del AEP'!$C$79:$C$102,0),MATCH('Costos aguas abajo'!$C$226,'Informacion del AEP'!$D$78:$N$78,0))</f>
        <v>80000</v>
      </c>
      <c r="F239" s="133">
        <f>D239*Supuestos!$C43</f>
        <v>8000</v>
      </c>
      <c r="G239" s="133">
        <f>D239*(1-Supuestos!$C43)</f>
        <v>72000</v>
      </c>
      <c r="I239" s="133">
        <f t="shared" si="17"/>
        <v>8000</v>
      </c>
      <c r="J239" s="133">
        <f>G239*Supuestos!$C$26</f>
        <v>127.00533187198803</v>
      </c>
      <c r="K239" s="133">
        <f>(I239+J239)*(1/Supuestos!$C$26)</f>
        <v>4607242.666666667</v>
      </c>
    </row>
    <row r="240" spans="3:11" x14ac:dyDescent="0.2">
      <c r="C240" s="24" t="str">
        <f>'Informacion del AEP'!C92</f>
        <v>Terminación en destinos internacionales-mensajes</v>
      </c>
      <c r="D240" s="131">
        <f>INDEX('Informacion del AEP'!$D$79:$N$102,MATCH('Costos aguas abajo'!$C240,'Informacion del AEP'!$C$79:$C$102,0),MATCH('Costos aguas abajo'!$C$226,'Informacion del AEP'!$D$78:$N$78,0))</f>
        <v>80000</v>
      </c>
      <c r="F240" s="133">
        <f>D240*Supuestos!$C44</f>
        <v>8000</v>
      </c>
      <c r="G240" s="133">
        <f>D240*(1-Supuestos!$C44)</f>
        <v>72000</v>
      </c>
      <c r="I240" s="133">
        <f t="shared" si="17"/>
        <v>8000</v>
      </c>
      <c r="J240" s="133">
        <f>G240*Supuestos!$C$26</f>
        <v>127.00533187198803</v>
      </c>
      <c r="K240" s="133">
        <f>(I240+J240)*(1/Supuestos!$C$26)</f>
        <v>4607242.666666667</v>
      </c>
    </row>
    <row r="241" spans="3:11" x14ac:dyDescent="0.2">
      <c r="C241" s="24" t="str">
        <f>'Informacion del AEP'!C93</f>
        <v>Roaming internacional - voz - outbound</v>
      </c>
      <c r="D241" s="131">
        <f>INDEX('Informacion del AEP'!$D$79:$N$102,MATCH('Costos aguas abajo'!$C241,'Informacion del AEP'!$C$79:$C$102,0),MATCH('Costos aguas abajo'!$C$226,'Informacion del AEP'!$D$78:$N$78,0))</f>
        <v>4000</v>
      </c>
      <c r="F241" s="133">
        <f>D241*Supuestos!$C45</f>
        <v>400</v>
      </c>
      <c r="G241" s="133">
        <f>D241*(1-Supuestos!$C45)</f>
        <v>3600</v>
      </c>
      <c r="I241" s="133">
        <f t="shared" si="17"/>
        <v>400</v>
      </c>
      <c r="J241" s="133">
        <f>G241*Supuestos!$C$26</f>
        <v>6.3502665935994012</v>
      </c>
      <c r="K241" s="133">
        <f>(I241+J241)*(1/Supuestos!$C$26)</f>
        <v>230362.13333333336</v>
      </c>
    </row>
    <row r="242" spans="3:11" x14ac:dyDescent="0.2">
      <c r="C242" s="24" t="str">
        <f>'Informacion del AEP'!C94</f>
        <v>Roaming internacional - mensajes - outbound</v>
      </c>
      <c r="D242" s="131">
        <f>INDEX('Informacion del AEP'!$D$79:$N$102,MATCH('Costos aguas abajo'!$C242,'Informacion del AEP'!$C$79:$C$102,0),MATCH('Costos aguas abajo'!$C$226,'Informacion del AEP'!$D$78:$N$78,0))</f>
        <v>1333.3333333333335</v>
      </c>
      <c r="F242" s="133">
        <f>D242*Supuestos!$C46</f>
        <v>133.33333333333334</v>
      </c>
      <c r="G242" s="133">
        <f>D242*(1-Supuestos!$C46)</f>
        <v>1200.0000000000002</v>
      </c>
      <c r="I242" s="133">
        <f t="shared" si="17"/>
        <v>133.33333333333334</v>
      </c>
      <c r="J242" s="133">
        <f>G242*Supuestos!$C$26</f>
        <v>2.116755531199801</v>
      </c>
      <c r="K242" s="133">
        <f>(I242+J242)*(1/Supuestos!$C$26)</f>
        <v>76787.377777777787</v>
      </c>
    </row>
    <row r="243" spans="3:11" x14ac:dyDescent="0.2">
      <c r="C243" s="24" t="str">
        <f>'Informacion del AEP'!C95</f>
        <v>Roaming internacional - datos - outbound</v>
      </c>
      <c r="D243" s="131">
        <f>INDEX('Informacion del AEP'!$D$79:$N$102,MATCH('Costos aguas abajo'!$C243,'Informacion del AEP'!$C$79:$C$102,0),MATCH('Costos aguas abajo'!$C$226,'Informacion del AEP'!$D$78:$N$78,0))</f>
        <v>66666.666666666657</v>
      </c>
      <c r="F243" s="133">
        <f>D243*Supuestos!$C47</f>
        <v>6666.6666666666661</v>
      </c>
      <c r="G243" s="133">
        <f>D243*(1-Supuestos!$C47)</f>
        <v>59999.999999999993</v>
      </c>
      <c r="I243" s="133">
        <f t="shared" si="17"/>
        <v>6666.6666666666661</v>
      </c>
      <c r="J243" s="133">
        <f>G243*Supuestos!$C$26</f>
        <v>105.83777655999002</v>
      </c>
      <c r="K243" s="133">
        <f>(I243+J243)*(1/Supuestos!$C$26)</f>
        <v>3839368.8888888885</v>
      </c>
    </row>
    <row r="244" spans="3:11" x14ac:dyDescent="0.2">
      <c r="C244" s="24" t="str">
        <f>'Informacion del AEP'!C96</f>
        <v>Provisiones</v>
      </c>
      <c r="D244" s="131">
        <f>INDEX('Informacion del AEP'!$D$79:$N$102,MATCH('Costos aguas abajo'!$C244,'Informacion del AEP'!$C$79:$C$102,0),MATCH('Costos aguas abajo'!$C$226,'Informacion del AEP'!$D$78:$N$78,0))</f>
        <v>66666.666666666657</v>
      </c>
      <c r="F244" s="133">
        <f>D244*Supuestos!$C48</f>
        <v>6666.6666666666661</v>
      </c>
      <c r="G244" s="133">
        <f>D244*(1-Supuestos!$C48)</f>
        <v>59999.999999999993</v>
      </c>
      <c r="I244" s="133">
        <f t="shared" si="17"/>
        <v>6666.6666666666661</v>
      </c>
      <c r="J244" s="133">
        <f>G244*Supuestos!$C$26</f>
        <v>105.83777655999002</v>
      </c>
      <c r="K244" s="133">
        <f>(I244+J244)*(1/Supuestos!$C$26)</f>
        <v>3839368.8888888885</v>
      </c>
    </row>
    <row r="245" spans="3:11" x14ac:dyDescent="0.2">
      <c r="C245" s="24" t="str">
        <f>'Informacion del AEP'!C97</f>
        <v>Costos directos de la venta de terminales</v>
      </c>
      <c r="D245" s="131">
        <f>INDEX('Informacion del AEP'!$D$79:$N$102,MATCH('Costos aguas abajo'!$C245,'Informacion del AEP'!$C$79:$C$102,0),MATCH('Costos aguas abajo'!$C$226,'Informacion del AEP'!$D$78:$N$78,0))</f>
        <v>133333.33333333331</v>
      </c>
      <c r="F245" s="133">
        <f>D245*Supuestos!$C49</f>
        <v>13333.333333333332</v>
      </c>
      <c r="G245" s="133">
        <f>D245*(1-Supuestos!$C49)</f>
        <v>119999.99999999999</v>
      </c>
      <c r="I245" s="133">
        <f t="shared" si="17"/>
        <v>13333.333333333332</v>
      </c>
      <c r="J245" s="133">
        <f>G245*Supuestos!$C$26</f>
        <v>211.67555311998004</v>
      </c>
      <c r="K245" s="133">
        <f>(I245+J245)*(1/Supuestos!$C$26)</f>
        <v>7678737.7777777771</v>
      </c>
    </row>
    <row r="246" spans="3:11" x14ac:dyDescent="0.2">
      <c r="C246" s="24" t="str">
        <f>'Informacion del AEP'!C98</f>
        <v>Servicios generales y de gestión - minoristas</v>
      </c>
      <c r="D246" s="131">
        <f>INDEX('Informacion del AEP'!$D$79:$N$102,MATCH('Costos aguas abajo'!$C246,'Informacion del AEP'!$C$79:$C$102,0),MATCH('Costos aguas abajo'!$C$226,'Informacion del AEP'!$D$78:$N$78,0))</f>
        <v>133333.33333333331</v>
      </c>
      <c r="F246" s="133">
        <f>D246*Supuestos!$C50</f>
        <v>13333.333333333332</v>
      </c>
      <c r="G246" s="133">
        <f>D246*(1-Supuestos!$C50)</f>
        <v>119999.99999999999</v>
      </c>
      <c r="I246" s="133">
        <f t="shared" si="17"/>
        <v>13333.333333333332</v>
      </c>
      <c r="J246" s="133">
        <f>G246*Supuestos!$C$26</f>
        <v>211.67555311998004</v>
      </c>
      <c r="K246" s="133">
        <f>(I246+J246)*(1/Supuestos!$C$26)</f>
        <v>7678737.7777777771</v>
      </c>
    </row>
    <row r="247" spans="3:11" x14ac:dyDescent="0.2">
      <c r="C247" s="24" t="str">
        <f>'Informacion del AEP'!C99</f>
        <v>Servicios generales y de gestión - red</v>
      </c>
      <c r="D247" s="131">
        <f>INDEX('Informacion del AEP'!$D$79:$N$102,MATCH('Costos aguas abajo'!$C247,'Informacion del AEP'!$C$79:$C$102,0),MATCH('Costos aguas abajo'!$C$226,'Informacion del AEP'!$D$78:$N$78,0))</f>
        <v>133333.33333333331</v>
      </c>
      <c r="F247" s="133">
        <f>D247*Supuestos!$C51</f>
        <v>13333.333333333332</v>
      </c>
      <c r="G247" s="133">
        <f>D247*(1-Supuestos!$C51)</f>
        <v>119999.99999999999</v>
      </c>
      <c r="I247" s="133">
        <f t="shared" si="17"/>
        <v>13333.333333333332</v>
      </c>
      <c r="J247" s="133">
        <f>G247*Supuestos!$C$26</f>
        <v>211.67555311998004</v>
      </c>
      <c r="K247" s="133">
        <f>(I247+J247)*(1/Supuestos!$C$26)</f>
        <v>7678737.7777777771</v>
      </c>
    </row>
    <row r="248" spans="3:11" x14ac:dyDescent="0.2">
      <c r="C248" s="24" t="str">
        <f>'Informacion del AEP'!C100</f>
        <v xml:space="preserve">Servicios generales y de gestión - negocio </v>
      </c>
      <c r="D248" s="131">
        <f>INDEX('Informacion del AEP'!$D$79:$N$102,MATCH('Costos aguas abajo'!$C248,'Informacion del AEP'!$C$79:$C$102,0),MATCH('Costos aguas abajo'!$C$226,'Informacion del AEP'!$D$78:$N$78,0))</f>
        <v>133333.33333333331</v>
      </c>
      <c r="F248" s="133">
        <f>D248*Supuestos!$C52</f>
        <v>13333.333333333332</v>
      </c>
      <c r="G248" s="133">
        <f>D248*(1-Supuestos!$C52)</f>
        <v>119999.99999999999</v>
      </c>
      <c r="I248" s="133">
        <f t="shared" si="17"/>
        <v>13333.333333333332</v>
      </c>
      <c r="J248" s="133">
        <f>G248*Supuestos!$C$26</f>
        <v>211.67555311998004</v>
      </c>
      <c r="K248" s="133">
        <f>(I248+J248)*(1/Supuestos!$C$26)</f>
        <v>7678737.7777777771</v>
      </c>
    </row>
    <row r="249" spans="3:11" x14ac:dyDescent="0.2">
      <c r="C249" s="24" t="str">
        <f>'Informacion del AEP'!C101</f>
        <v>Costo del Capital</v>
      </c>
      <c r="D249" s="131">
        <f>INDEX('Informacion del AEP'!$D$79:$N$102,MATCH('Costos aguas abajo'!$C249,'Informacion del AEP'!$C$79:$C$102,0),MATCH('Costos aguas abajo'!$C$226,'Informacion del AEP'!$D$78:$N$78,0))</f>
        <v>133333.33333333331</v>
      </c>
      <c r="F249" s="133">
        <f>D249*Supuestos!$C53</f>
        <v>13333.333333333332</v>
      </c>
      <c r="G249" s="133">
        <f>D249*(1-Supuestos!$C53)</f>
        <v>119999.99999999999</v>
      </c>
      <c r="I249" s="133">
        <f t="shared" si="17"/>
        <v>13333.333333333332</v>
      </c>
      <c r="J249" s="133">
        <f>G249*Supuestos!$C$26</f>
        <v>211.67555311998004</v>
      </c>
      <c r="K249" s="133">
        <f>(I249+J249)*(1/Supuestos!$C$26)</f>
        <v>7678737.7777777771</v>
      </c>
    </row>
    <row r="251" spans="3:11" x14ac:dyDescent="0.2">
      <c r="C251" s="134" t="s">
        <v>82</v>
      </c>
      <c r="D251" s="72" t="str">
        <f>IF(D226='Informacion del AEP'!N102,"Ok","Error")</f>
        <v>Ok</v>
      </c>
    </row>
  </sheetData>
  <mergeCells count="2">
    <mergeCell ref="D8:G8"/>
    <mergeCell ref="I8:K8"/>
  </mergeCells>
  <conditionalFormatting sqref="D35">
    <cfRule type="containsText" dxfId="32" priority="25" operator="containsText" text="Error">
      <formula>NOT(ISERROR(SEARCH("Error",D35)))</formula>
    </cfRule>
    <cfRule type="containsText" dxfId="31" priority="26" operator="containsText" text="Ok">
      <formula>NOT(ISERROR(SEARCH("Ok",D35)))</formula>
    </cfRule>
    <cfRule type="expression" dxfId="30" priority="27">
      <formula>"Ok"</formula>
    </cfRule>
  </conditionalFormatting>
  <conditionalFormatting sqref="D62">
    <cfRule type="containsText" dxfId="29" priority="22" operator="containsText" text="Error">
      <formula>NOT(ISERROR(SEARCH("Error",D62)))</formula>
    </cfRule>
    <cfRule type="containsText" dxfId="28" priority="23" operator="containsText" text="Ok">
      <formula>NOT(ISERROR(SEARCH("Ok",D62)))</formula>
    </cfRule>
    <cfRule type="expression" dxfId="27" priority="24">
      <formula>"Ok"</formula>
    </cfRule>
  </conditionalFormatting>
  <conditionalFormatting sqref="D89">
    <cfRule type="containsText" dxfId="26" priority="19" operator="containsText" text="Error">
      <formula>NOT(ISERROR(SEARCH("Error",D89)))</formula>
    </cfRule>
    <cfRule type="containsText" dxfId="25" priority="20" operator="containsText" text="Ok">
      <formula>NOT(ISERROR(SEARCH("Ok",D89)))</formula>
    </cfRule>
    <cfRule type="expression" dxfId="24" priority="21">
      <formula>"Ok"</formula>
    </cfRule>
  </conditionalFormatting>
  <conditionalFormatting sqref="D116">
    <cfRule type="containsText" dxfId="23" priority="16" operator="containsText" text="Error">
      <formula>NOT(ISERROR(SEARCH("Error",D116)))</formula>
    </cfRule>
    <cfRule type="containsText" dxfId="22" priority="17" operator="containsText" text="Ok">
      <formula>NOT(ISERROR(SEARCH("Ok",D116)))</formula>
    </cfRule>
    <cfRule type="expression" dxfId="21" priority="18">
      <formula>"Ok"</formula>
    </cfRule>
  </conditionalFormatting>
  <conditionalFormatting sqref="D143">
    <cfRule type="containsText" dxfId="20" priority="13" operator="containsText" text="Error">
      <formula>NOT(ISERROR(SEARCH("Error",D143)))</formula>
    </cfRule>
    <cfRule type="containsText" dxfId="19" priority="14" operator="containsText" text="Ok">
      <formula>NOT(ISERROR(SEARCH("Ok",D143)))</formula>
    </cfRule>
    <cfRule type="expression" dxfId="18" priority="15">
      <formula>"Ok"</formula>
    </cfRule>
  </conditionalFormatting>
  <conditionalFormatting sqref="D170">
    <cfRule type="containsText" dxfId="17" priority="10" operator="containsText" text="Error">
      <formula>NOT(ISERROR(SEARCH("Error",D170)))</formula>
    </cfRule>
    <cfRule type="containsText" dxfId="16" priority="11" operator="containsText" text="Ok">
      <formula>NOT(ISERROR(SEARCH("Ok",D170)))</formula>
    </cfRule>
    <cfRule type="expression" dxfId="15" priority="12">
      <formula>"Ok"</formula>
    </cfRule>
  </conditionalFormatting>
  <conditionalFormatting sqref="D197">
    <cfRule type="containsText" dxfId="14" priority="7" operator="containsText" text="Error">
      <formula>NOT(ISERROR(SEARCH("Error",D197)))</formula>
    </cfRule>
    <cfRule type="containsText" dxfId="13" priority="8" operator="containsText" text="Ok">
      <formula>NOT(ISERROR(SEARCH("Ok",D197)))</formula>
    </cfRule>
    <cfRule type="expression" dxfId="12" priority="9">
      <formula>"Ok"</formula>
    </cfRule>
  </conditionalFormatting>
  <conditionalFormatting sqref="D224">
    <cfRule type="containsText" dxfId="11" priority="4" operator="containsText" text="Error">
      <formula>NOT(ISERROR(SEARCH("Error",D224)))</formula>
    </cfRule>
    <cfRule type="containsText" dxfId="10" priority="5" operator="containsText" text="Ok">
      <formula>NOT(ISERROR(SEARCH("Ok",D224)))</formula>
    </cfRule>
    <cfRule type="expression" dxfId="9" priority="6">
      <formula>"Ok"</formula>
    </cfRule>
  </conditionalFormatting>
  <conditionalFormatting sqref="D251">
    <cfRule type="containsText" dxfId="8" priority="1" operator="containsText" text="Error">
      <formula>NOT(ISERROR(SEARCH("Error",D251)))</formula>
    </cfRule>
    <cfRule type="containsText" dxfId="7" priority="2" operator="containsText" text="Ok">
      <formula>NOT(ISERROR(SEARCH("Ok",D251)))</formula>
    </cfRule>
    <cfRule type="expression" dxfId="6" priority="3">
      <formula>"Ok"</formula>
    </cfRule>
  </conditionalFormatting>
  <hyperlinks>
    <hyperlink ref="C3" location="'Resultados &gt;&gt;'!A1" display="Ir a Resultados &gt;&gt;" xr:uid="{3AB7CE2A-1F16-46B2-B457-339E8192700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6AEF-5132-44D8-BB3F-22CD7C9F80AD}">
  <sheetPr>
    <tabColor theme="7"/>
  </sheetPr>
  <dimension ref="C1:C13"/>
  <sheetViews>
    <sheetView showGridLines="0" workbookViewId="0"/>
  </sheetViews>
  <sheetFormatPr baseColWidth="10" defaultColWidth="9.140625" defaultRowHeight="12.75" x14ac:dyDescent="0.2"/>
  <cols>
    <col min="1" max="1" width="1.7109375" style="30" customWidth="1"/>
    <col min="2" max="16384" width="9.140625" style="30"/>
  </cols>
  <sheetData>
    <row r="1" spans="3:3" s="28" customFormat="1" ht="20.25" x14ac:dyDescent="0.3"/>
    <row r="13" spans="3:3" ht="27.75" x14ac:dyDescent="0.4">
      <c r="C13" s="29" t="s">
        <v>37</v>
      </c>
    </row>
  </sheetData>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9D08-F92B-465D-B775-DF42EE5661DA}">
  <sheetPr>
    <tabColor theme="7" tint="0.79998168889431442"/>
  </sheetPr>
  <dimension ref="B1:R131"/>
  <sheetViews>
    <sheetView showGridLines="0" zoomScaleNormal="100" workbookViewId="0"/>
  </sheetViews>
  <sheetFormatPr baseColWidth="10" defaultColWidth="8.7109375" defaultRowHeight="12.75" x14ac:dyDescent="0.2"/>
  <cols>
    <col min="1" max="1" width="1.7109375" customWidth="1"/>
    <col min="2" max="2" width="20" customWidth="1"/>
    <col min="3" max="3" width="47.28515625" customWidth="1"/>
    <col min="4" max="4" width="15.5703125" customWidth="1"/>
    <col min="5" max="5" width="4.140625" customWidth="1"/>
    <col min="6" max="6" width="28.140625" customWidth="1"/>
    <col min="7" max="14" width="24.5703125" customWidth="1"/>
    <col min="16" max="16" width="12.5703125" customWidth="1"/>
  </cols>
  <sheetData>
    <row r="1" spans="2:18" s="1" customFormat="1" ht="20.25" x14ac:dyDescent="0.3">
      <c r="B1" s="1" t="s">
        <v>185</v>
      </c>
    </row>
    <row r="3" spans="2:18" ht="20.100000000000001" customHeight="1" x14ac:dyDescent="0.2">
      <c r="C3" s="34" t="s">
        <v>53</v>
      </c>
      <c r="D3" s="106"/>
      <c r="E3" s="106"/>
    </row>
    <row r="4" spans="2:18" x14ac:dyDescent="0.2">
      <c r="D4" s="7"/>
      <c r="E4" s="7"/>
    </row>
    <row r="5" spans="2:18" x14ac:dyDescent="0.2">
      <c r="C5" s="44" t="s">
        <v>54</v>
      </c>
      <c r="D5" s="158" t="s">
        <v>55</v>
      </c>
      <c r="E5" s="158"/>
      <c r="F5" s="158" t="s">
        <v>56</v>
      </c>
    </row>
    <row r="6" spans="2:18" x14ac:dyDescent="0.2">
      <c r="D6" s="150">
        <f>Supuestos!$C$5</f>
        <v>44197</v>
      </c>
      <c r="E6" s="159"/>
      <c r="F6" s="150">
        <f>Supuestos!$C$6</f>
        <v>44286</v>
      </c>
    </row>
    <row r="8" spans="2:18" s="46" customFormat="1" ht="15.6" customHeight="1" x14ac:dyDescent="0.2">
      <c r="B8" s="46" t="s">
        <v>42</v>
      </c>
    </row>
    <row r="9" spans="2:18" s="82" customFormat="1" ht="15.6" customHeight="1" x14ac:dyDescent="0.2"/>
    <row r="10" spans="2:18" s="82" customFormat="1" ht="15.6" customHeight="1" x14ac:dyDescent="0.2">
      <c r="C10" s="148" t="str">
        <f>_xlfn.CONCAT("De ",TEXT($D$6,"dd/mm/yyyy")," a ",TEXT($F$6,"dd/mm/yyyy"))</f>
        <v>De 01/01/2021 a 31/03/2021</v>
      </c>
    </row>
    <row r="11" spans="2:18" ht="39.6" customHeight="1" x14ac:dyDescent="0.2">
      <c r="C11" s="75" t="s">
        <v>57</v>
      </c>
      <c r="D11" s="75" t="s">
        <v>92</v>
      </c>
      <c r="E11" s="75"/>
      <c r="F11" s="53" t="str">
        <f>Supuestos!B$84</f>
        <v>Todos los segmentos</v>
      </c>
      <c r="G11" s="53" t="str">
        <f>Supuestos!B$85</f>
        <v>Segmento Prepago</v>
      </c>
      <c r="H11" s="53" t="str">
        <f>Supuestos!B$86</f>
        <v>Segmento Pospago</v>
      </c>
      <c r="I11" s="53" t="str">
        <f>Supuestos!B$87</f>
        <v>Oferta 1</v>
      </c>
      <c r="J11" s="53" t="str">
        <f>Supuestos!B$88</f>
        <v>Oferta 2</v>
      </c>
      <c r="K11" s="53" t="str">
        <f>Supuestos!B$89</f>
        <v>Oferta 3</v>
      </c>
      <c r="L11" s="53" t="str">
        <f>Supuestos!B$90</f>
        <v>Oferta 4</v>
      </c>
      <c r="M11" s="53" t="str">
        <f>Supuestos!B$91</f>
        <v>Oferta 5</v>
      </c>
      <c r="N11" s="53" t="str">
        <f>Supuestos!B$92</f>
        <v>Oferta 6</v>
      </c>
      <c r="O11" s="52"/>
      <c r="Q11" s="52"/>
      <c r="R11" s="52"/>
    </row>
    <row r="12" spans="2:18" ht="15.6" customHeight="1" x14ac:dyDescent="0.2">
      <c r="C12" s="67" t="s">
        <v>58</v>
      </c>
      <c r="D12" s="84" t="s">
        <v>111</v>
      </c>
      <c r="E12" s="84"/>
      <c r="F12" s="68">
        <f>G12+H12</f>
        <v>92251950</v>
      </c>
      <c r="G12" s="68">
        <f t="shared" ref="G12:N12" si="0">SUM(G13:G20)</f>
        <v>30750650</v>
      </c>
      <c r="H12" s="68">
        <f t="shared" si="0"/>
        <v>61501300</v>
      </c>
      <c r="I12" s="68">
        <f t="shared" si="0"/>
        <v>6150130</v>
      </c>
      <c r="J12" s="68">
        <f t="shared" si="0"/>
        <v>6150130</v>
      </c>
      <c r="K12" s="68">
        <f t="shared" si="0"/>
        <v>6150130</v>
      </c>
      <c r="L12" s="68">
        <f t="shared" si="0"/>
        <v>12300260</v>
      </c>
      <c r="M12" s="68">
        <f t="shared" si="0"/>
        <v>12300260</v>
      </c>
      <c r="N12" s="68">
        <f t="shared" si="0"/>
        <v>12300260</v>
      </c>
      <c r="O12" s="52"/>
      <c r="Q12" s="52"/>
      <c r="R12" s="52"/>
    </row>
    <row r="13" spans="2:18" x14ac:dyDescent="0.2">
      <c r="C13" s="48" t="s">
        <v>59</v>
      </c>
      <c r="D13" s="83" t="s">
        <v>111</v>
      </c>
      <c r="E13" s="83"/>
      <c r="F13" s="77">
        <v>2250000</v>
      </c>
      <c r="G13" s="77">
        <v>750000</v>
      </c>
      <c r="H13" s="77">
        <v>1500000</v>
      </c>
      <c r="I13" s="77">
        <v>150000</v>
      </c>
      <c r="J13" s="77">
        <v>150000</v>
      </c>
      <c r="K13" s="77">
        <v>150000</v>
      </c>
      <c r="L13" s="77">
        <v>300000</v>
      </c>
      <c r="M13" s="77">
        <v>300000</v>
      </c>
      <c r="N13" s="77">
        <v>300000</v>
      </c>
    </row>
    <row r="14" spans="2:18" x14ac:dyDescent="0.2">
      <c r="C14" s="48" t="s">
        <v>60</v>
      </c>
      <c r="D14" s="83" t="s">
        <v>111</v>
      </c>
      <c r="E14" s="83"/>
      <c r="F14" s="77">
        <v>1500000</v>
      </c>
      <c r="G14" s="77">
        <v>500000</v>
      </c>
      <c r="H14" s="77">
        <v>1000000</v>
      </c>
      <c r="I14" s="77">
        <v>100000</v>
      </c>
      <c r="J14" s="77">
        <v>100000</v>
      </c>
      <c r="K14" s="77">
        <v>100000</v>
      </c>
      <c r="L14" s="77">
        <v>200000</v>
      </c>
      <c r="M14" s="77">
        <v>200000</v>
      </c>
      <c r="N14" s="77">
        <v>200000</v>
      </c>
    </row>
    <row r="15" spans="2:18" x14ac:dyDescent="0.2">
      <c r="C15" s="48" t="s">
        <v>61</v>
      </c>
      <c r="D15" s="83" t="s">
        <v>111</v>
      </c>
      <c r="E15" s="83"/>
      <c r="F15" s="77">
        <v>75000000</v>
      </c>
      <c r="G15" s="77">
        <v>25000000</v>
      </c>
      <c r="H15" s="77">
        <v>50000000</v>
      </c>
      <c r="I15" s="77">
        <v>5000000</v>
      </c>
      <c r="J15" s="77">
        <v>5000000</v>
      </c>
      <c r="K15" s="77">
        <v>5000000</v>
      </c>
      <c r="L15" s="77">
        <v>10000000</v>
      </c>
      <c r="M15" s="77">
        <v>10000000</v>
      </c>
      <c r="N15" s="77">
        <v>10000000</v>
      </c>
    </row>
    <row r="16" spans="2:18" x14ac:dyDescent="0.2">
      <c r="C16" s="48" t="s">
        <v>62</v>
      </c>
      <c r="D16" s="83" t="s">
        <v>111</v>
      </c>
      <c r="E16" s="83"/>
      <c r="F16" s="77">
        <v>13500000</v>
      </c>
      <c r="G16" s="77">
        <v>4500000</v>
      </c>
      <c r="H16" s="77">
        <v>9000000</v>
      </c>
      <c r="I16" s="77">
        <v>900000</v>
      </c>
      <c r="J16" s="77">
        <v>900000</v>
      </c>
      <c r="K16" s="77">
        <v>900000</v>
      </c>
      <c r="L16" s="77">
        <v>1800000</v>
      </c>
      <c r="M16" s="77">
        <v>1800000</v>
      </c>
      <c r="N16" s="77">
        <v>1800000</v>
      </c>
    </row>
    <row r="17" spans="2:14" x14ac:dyDescent="0.2">
      <c r="C17" s="48" t="s">
        <v>63</v>
      </c>
      <c r="D17" s="83" t="s">
        <v>111</v>
      </c>
      <c r="E17" s="83"/>
      <c r="F17" s="77">
        <v>150</v>
      </c>
      <c r="G17" s="77">
        <v>50</v>
      </c>
      <c r="H17" s="77">
        <v>100</v>
      </c>
      <c r="I17" s="77">
        <v>10</v>
      </c>
      <c r="J17" s="77">
        <v>10</v>
      </c>
      <c r="K17" s="77">
        <v>10</v>
      </c>
      <c r="L17" s="77">
        <v>20</v>
      </c>
      <c r="M17" s="77">
        <v>20</v>
      </c>
      <c r="N17" s="77">
        <v>20</v>
      </c>
    </row>
    <row r="18" spans="2:14" x14ac:dyDescent="0.2">
      <c r="C18" s="48" t="s">
        <v>64</v>
      </c>
      <c r="D18" s="83" t="s">
        <v>111</v>
      </c>
      <c r="E18" s="83"/>
      <c r="F18" s="77">
        <v>150</v>
      </c>
      <c r="G18" s="77">
        <v>50</v>
      </c>
      <c r="H18" s="77">
        <v>100</v>
      </c>
      <c r="I18" s="77">
        <v>10</v>
      </c>
      <c r="J18" s="77">
        <v>10</v>
      </c>
      <c r="K18" s="77">
        <v>10</v>
      </c>
      <c r="L18" s="77">
        <v>20</v>
      </c>
      <c r="M18" s="77">
        <v>20</v>
      </c>
      <c r="N18" s="77">
        <v>20</v>
      </c>
    </row>
    <row r="19" spans="2:14" x14ac:dyDescent="0.2">
      <c r="C19" s="48" t="s">
        <v>65</v>
      </c>
      <c r="D19" s="83" t="s">
        <v>111</v>
      </c>
      <c r="E19" s="83"/>
      <c r="F19" s="77">
        <v>150</v>
      </c>
      <c r="G19" s="77">
        <v>50</v>
      </c>
      <c r="H19" s="77">
        <v>100</v>
      </c>
      <c r="I19" s="77">
        <v>10</v>
      </c>
      <c r="J19" s="77">
        <v>10</v>
      </c>
      <c r="K19" s="77">
        <v>10</v>
      </c>
      <c r="L19" s="77">
        <v>20</v>
      </c>
      <c r="M19" s="77">
        <v>20</v>
      </c>
      <c r="N19" s="77">
        <v>20</v>
      </c>
    </row>
    <row r="20" spans="2:14" x14ac:dyDescent="0.2">
      <c r="C20" s="48" t="s">
        <v>66</v>
      </c>
      <c r="D20" s="83" t="s">
        <v>111</v>
      </c>
      <c r="E20" s="83"/>
      <c r="F20" s="77">
        <v>1500</v>
      </c>
      <c r="G20" s="77">
        <v>500</v>
      </c>
      <c r="H20" s="77">
        <v>1000</v>
      </c>
      <c r="I20" s="77">
        <v>100</v>
      </c>
      <c r="J20" s="77">
        <v>100</v>
      </c>
      <c r="K20" s="77">
        <v>100</v>
      </c>
      <c r="L20" s="77">
        <v>200</v>
      </c>
      <c r="M20" s="77">
        <v>200</v>
      </c>
      <c r="N20" s="77">
        <v>200</v>
      </c>
    </row>
    <row r="22" spans="2:14" x14ac:dyDescent="0.2">
      <c r="C22" s="71" t="s">
        <v>82</v>
      </c>
      <c r="D22" s="71"/>
      <c r="E22" s="71"/>
      <c r="F22" s="72" t="str">
        <f>IF(F12=SUM(F13:F20),"Ok","Error")</f>
        <v>Ok</v>
      </c>
      <c r="H22" s="145"/>
    </row>
    <row r="23" spans="2:14" x14ac:dyDescent="0.2">
      <c r="C23" s="71"/>
      <c r="D23" s="71"/>
      <c r="E23" s="71"/>
      <c r="F23" s="72"/>
    </row>
    <row r="24" spans="2:14" s="46" customFormat="1" ht="15.6" customHeight="1" x14ac:dyDescent="0.2">
      <c r="B24" s="46" t="s">
        <v>113</v>
      </c>
    </row>
    <row r="25" spans="2:14" x14ac:dyDescent="0.2">
      <c r="C25" s="42"/>
      <c r="D25" s="42"/>
      <c r="E25" s="42"/>
    </row>
    <row r="26" spans="2:14" x14ac:dyDescent="0.2">
      <c r="C26" s="148" t="str">
        <f>_xlfn.CONCAT("De ",TEXT($D$6,"dd/mm/yyyy")," a ",TEXT($F$6,"dd/mm/yyyy"))</f>
        <v>De 01/01/2021 a 31/03/2021</v>
      </c>
      <c r="D26" s="42"/>
      <c r="E26" s="42"/>
    </row>
    <row r="27" spans="2:14" x14ac:dyDescent="0.2">
      <c r="C27" s="42"/>
      <c r="D27" s="42"/>
      <c r="E27" s="42"/>
    </row>
    <row r="28" spans="2:14" x14ac:dyDescent="0.2">
      <c r="C28" s="47" t="s">
        <v>57</v>
      </c>
      <c r="D28" s="75" t="s">
        <v>92</v>
      </c>
      <c r="E28" s="75"/>
      <c r="F28" s="76">
        <f>$D$6</f>
        <v>44197</v>
      </c>
      <c r="G28" s="76">
        <f>F6</f>
        <v>44286</v>
      </c>
      <c r="H28" s="76" t="s">
        <v>91</v>
      </c>
    </row>
    <row r="29" spans="2:14" x14ac:dyDescent="0.2">
      <c r="C29" s="67" t="s">
        <v>69</v>
      </c>
      <c r="D29" s="67" t="s">
        <v>112</v>
      </c>
      <c r="E29" s="67"/>
      <c r="F29" s="81">
        <f>+F30+F32+F34</f>
        <v>3401432</v>
      </c>
      <c r="G29" s="81">
        <f>+G30+G32+G34</f>
        <v>3401432</v>
      </c>
      <c r="H29" s="81">
        <f>AVERAGE(F29:G29)</f>
        <v>3401432</v>
      </c>
    </row>
    <row r="30" spans="2:14" x14ac:dyDescent="0.2">
      <c r="C30" s="49" t="s">
        <v>67</v>
      </c>
      <c r="D30" s="45" t="s">
        <v>112</v>
      </c>
      <c r="E30" s="45"/>
      <c r="F30" s="78">
        <v>1800766</v>
      </c>
      <c r="G30" s="78">
        <v>1800766</v>
      </c>
      <c r="H30" s="80">
        <f>AVERAGE(F30:G30)</f>
        <v>1800766</v>
      </c>
    </row>
    <row r="31" spans="2:14" x14ac:dyDescent="0.2">
      <c r="C31" s="43" t="s">
        <v>70</v>
      </c>
      <c r="D31" s="45"/>
      <c r="E31" s="45"/>
      <c r="F31" s="79">
        <v>766</v>
      </c>
      <c r="G31" s="79">
        <v>766</v>
      </c>
      <c r="H31" s="80">
        <f t="shared" ref="H31" si="1">AVERAGE(F31:G31)</f>
        <v>766</v>
      </c>
    </row>
    <row r="32" spans="2:14" x14ac:dyDescent="0.2">
      <c r="C32" s="49" t="s">
        <v>71</v>
      </c>
      <c r="D32" s="45" t="s">
        <v>112</v>
      </c>
      <c r="E32" s="45"/>
      <c r="F32" s="79">
        <v>800333</v>
      </c>
      <c r="G32" s="79">
        <v>800333</v>
      </c>
      <c r="H32" s="80">
        <f t="shared" ref="H32:H47" si="2">AVERAGE(F32:G32)</f>
        <v>800333</v>
      </c>
    </row>
    <row r="33" spans="3:8" x14ac:dyDescent="0.2">
      <c r="C33" s="43" t="s">
        <v>70</v>
      </c>
      <c r="D33" s="45"/>
      <c r="E33" s="45"/>
      <c r="F33" s="79">
        <v>333</v>
      </c>
      <c r="G33" s="79">
        <v>333</v>
      </c>
      <c r="H33" s="80">
        <f t="shared" si="2"/>
        <v>333</v>
      </c>
    </row>
    <row r="34" spans="3:8" x14ac:dyDescent="0.2">
      <c r="C34" s="49" t="s">
        <v>72</v>
      </c>
      <c r="D34" s="45" t="s">
        <v>112</v>
      </c>
      <c r="E34" s="45"/>
      <c r="F34" s="79">
        <v>800333</v>
      </c>
      <c r="G34" s="79">
        <v>800333</v>
      </c>
      <c r="H34" s="80">
        <f t="shared" si="2"/>
        <v>800333</v>
      </c>
    </row>
    <row r="35" spans="3:8" x14ac:dyDescent="0.2">
      <c r="C35" s="43" t="s">
        <v>70</v>
      </c>
      <c r="D35" s="45"/>
      <c r="E35" s="45"/>
      <c r="F35" s="79">
        <v>333</v>
      </c>
      <c r="G35" s="79">
        <v>333</v>
      </c>
      <c r="H35" s="80">
        <f t="shared" si="2"/>
        <v>333</v>
      </c>
    </row>
    <row r="36" spans="3:8" x14ac:dyDescent="0.2">
      <c r="C36" s="49" t="s">
        <v>241</v>
      </c>
      <c r="D36" s="45" t="s">
        <v>112</v>
      </c>
      <c r="E36" s="45"/>
      <c r="F36" s="79">
        <v>200100</v>
      </c>
      <c r="G36" s="79">
        <v>200100</v>
      </c>
      <c r="H36" s="80">
        <f t="shared" si="2"/>
        <v>200100</v>
      </c>
    </row>
    <row r="37" spans="3:8" x14ac:dyDescent="0.2">
      <c r="C37" s="43" t="s">
        <v>70</v>
      </c>
      <c r="D37" s="45"/>
      <c r="E37" s="45"/>
      <c r="F37" s="79">
        <v>100</v>
      </c>
      <c r="G37" s="79">
        <v>100</v>
      </c>
      <c r="H37" s="80">
        <f t="shared" si="2"/>
        <v>100</v>
      </c>
    </row>
    <row r="38" spans="3:8" x14ac:dyDescent="0.2">
      <c r="C38" s="49" t="s">
        <v>242</v>
      </c>
      <c r="D38" s="45" t="s">
        <v>112</v>
      </c>
      <c r="E38" s="45"/>
      <c r="F38" s="79">
        <v>160067</v>
      </c>
      <c r="G38" s="79">
        <v>160067</v>
      </c>
      <c r="H38" s="80">
        <f t="shared" si="2"/>
        <v>160067</v>
      </c>
    </row>
    <row r="39" spans="3:8" x14ac:dyDescent="0.2">
      <c r="C39" s="43" t="s">
        <v>70</v>
      </c>
      <c r="D39" s="45"/>
      <c r="E39" s="45"/>
      <c r="F39" s="79">
        <v>67</v>
      </c>
      <c r="G39" s="79">
        <v>67</v>
      </c>
      <c r="H39" s="80">
        <f t="shared" si="2"/>
        <v>67</v>
      </c>
    </row>
    <row r="40" spans="3:8" x14ac:dyDescent="0.2">
      <c r="C40" s="49" t="s">
        <v>243</v>
      </c>
      <c r="D40" s="45" t="s">
        <v>112</v>
      </c>
      <c r="E40" s="45"/>
      <c r="F40" s="79">
        <v>160067</v>
      </c>
      <c r="G40" s="79">
        <v>160067</v>
      </c>
      <c r="H40" s="80">
        <f t="shared" si="2"/>
        <v>160067</v>
      </c>
    </row>
    <row r="41" spans="3:8" x14ac:dyDescent="0.2">
      <c r="C41" s="43" t="s">
        <v>70</v>
      </c>
      <c r="D41" s="45"/>
      <c r="E41" s="45"/>
      <c r="F41" s="79">
        <v>67</v>
      </c>
      <c r="G41" s="79">
        <v>67</v>
      </c>
      <c r="H41" s="80">
        <f t="shared" si="2"/>
        <v>67</v>
      </c>
    </row>
    <row r="42" spans="3:8" x14ac:dyDescent="0.2">
      <c r="C42" s="49" t="s">
        <v>244</v>
      </c>
      <c r="D42" s="45" t="s">
        <v>112</v>
      </c>
      <c r="E42" s="45"/>
      <c r="F42" s="79">
        <v>160067</v>
      </c>
      <c r="G42" s="79">
        <v>160067</v>
      </c>
      <c r="H42" s="80">
        <f t="shared" si="2"/>
        <v>160067</v>
      </c>
    </row>
    <row r="43" spans="3:8" x14ac:dyDescent="0.2">
      <c r="C43" s="43" t="s">
        <v>70</v>
      </c>
      <c r="D43" s="45"/>
      <c r="E43" s="45"/>
      <c r="F43" s="79">
        <v>67</v>
      </c>
      <c r="G43" s="79">
        <v>67</v>
      </c>
      <c r="H43" s="80">
        <f t="shared" si="2"/>
        <v>67</v>
      </c>
    </row>
    <row r="44" spans="3:8" x14ac:dyDescent="0.2">
      <c r="C44" s="49" t="s">
        <v>245</v>
      </c>
      <c r="D44" s="45" t="s">
        <v>112</v>
      </c>
      <c r="E44" s="45"/>
      <c r="F44" s="79">
        <v>160067</v>
      </c>
      <c r="G44" s="79">
        <v>160067</v>
      </c>
      <c r="H44" s="80">
        <f t="shared" si="2"/>
        <v>160067</v>
      </c>
    </row>
    <row r="45" spans="3:8" x14ac:dyDescent="0.2">
      <c r="C45" s="43" t="s">
        <v>70</v>
      </c>
      <c r="D45" s="45"/>
      <c r="E45" s="45"/>
      <c r="F45" s="79">
        <v>67</v>
      </c>
      <c r="G45" s="79">
        <v>67</v>
      </c>
      <c r="H45" s="80">
        <f t="shared" si="2"/>
        <v>67</v>
      </c>
    </row>
    <row r="46" spans="3:8" x14ac:dyDescent="0.2">
      <c r="C46" s="49" t="s">
        <v>246</v>
      </c>
      <c r="D46" s="45" t="s">
        <v>112</v>
      </c>
      <c r="E46" s="45"/>
      <c r="F46" s="79">
        <v>160067</v>
      </c>
      <c r="G46" s="79">
        <v>160067</v>
      </c>
      <c r="H46" s="80">
        <f t="shared" si="2"/>
        <v>160067</v>
      </c>
    </row>
    <row r="47" spans="3:8" x14ac:dyDescent="0.2">
      <c r="C47" s="43" t="s">
        <v>70</v>
      </c>
      <c r="D47" s="45"/>
      <c r="E47" s="45"/>
      <c r="F47" s="79">
        <v>67</v>
      </c>
      <c r="G47" s="79">
        <v>67</v>
      </c>
      <c r="H47" s="80">
        <f t="shared" si="2"/>
        <v>67</v>
      </c>
    </row>
    <row r="48" spans="3:8" x14ac:dyDescent="0.2">
      <c r="C48" s="42"/>
      <c r="D48" s="42"/>
      <c r="E48" s="42"/>
    </row>
    <row r="49" spans="2:14" s="46" customFormat="1" ht="15.6" customHeight="1" x14ac:dyDescent="0.2">
      <c r="B49" s="46" t="s">
        <v>73</v>
      </c>
    </row>
    <row r="50" spans="2:14" x14ac:dyDescent="0.2">
      <c r="C50" s="42"/>
      <c r="D50" s="42"/>
      <c r="E50" s="42"/>
    </row>
    <row r="51" spans="2:14" x14ac:dyDescent="0.2">
      <c r="C51" s="148" t="str">
        <f>_xlfn.CONCAT("De ",TEXT($D$6,"dd/mm/yyyy")," a ",TEXT($F$6,"dd/mm/yyyy"))</f>
        <v>De 01/01/2021 a 31/03/2021</v>
      </c>
      <c r="D51" s="42"/>
      <c r="E51" s="42"/>
    </row>
    <row r="52" spans="2:14" x14ac:dyDescent="0.2">
      <c r="C52" s="42"/>
      <c r="D52" s="42"/>
      <c r="E52" s="42"/>
    </row>
    <row r="53" spans="2:14" x14ac:dyDescent="0.2">
      <c r="C53" s="47" t="s">
        <v>57</v>
      </c>
      <c r="D53" s="47" t="s">
        <v>92</v>
      </c>
      <c r="E53" s="47"/>
      <c r="F53" s="53" t="str">
        <f>Supuestos!B$84</f>
        <v>Todos los segmentos</v>
      </c>
      <c r="G53" s="197" t="str">
        <f>Supuestos!B$85</f>
        <v>Segmento Prepago</v>
      </c>
      <c r="H53" s="197" t="str">
        <f>Supuestos!B$86</f>
        <v>Segmento Pospago</v>
      </c>
      <c r="I53" s="197" t="str">
        <f>Supuestos!B$87</f>
        <v>Oferta 1</v>
      </c>
      <c r="J53" s="197" t="str">
        <f>Supuestos!B$88</f>
        <v>Oferta 2</v>
      </c>
      <c r="K53" s="197" t="str">
        <f>Supuestos!B$89</f>
        <v>Oferta 3</v>
      </c>
      <c r="L53" s="197" t="str">
        <f>Supuestos!B$90</f>
        <v>Oferta 4</v>
      </c>
      <c r="M53" s="197" t="str">
        <f>Supuestos!B$91</f>
        <v>Oferta 5</v>
      </c>
      <c r="N53" s="197" t="str">
        <f>Supuestos!B$92</f>
        <v>Oferta 6</v>
      </c>
    </row>
    <row r="54" spans="2:14" x14ac:dyDescent="0.2">
      <c r="C54" s="85" t="str">
        <f>IF(Supuestos!B57="","",Supuestos!B57)</f>
        <v>Datos</v>
      </c>
      <c r="D54" s="86" t="s">
        <v>93</v>
      </c>
      <c r="E54" s="86"/>
      <c r="F54" s="196">
        <v>300</v>
      </c>
      <c r="G54" s="79">
        <v>100</v>
      </c>
      <c r="H54" s="79">
        <v>200</v>
      </c>
      <c r="I54" s="79">
        <v>20</v>
      </c>
      <c r="J54" s="79">
        <v>20</v>
      </c>
      <c r="K54" s="79">
        <v>20</v>
      </c>
      <c r="L54" s="79">
        <v>40</v>
      </c>
      <c r="M54" s="79">
        <v>40</v>
      </c>
      <c r="N54" s="79">
        <v>40</v>
      </c>
    </row>
    <row r="55" spans="2:14" x14ac:dyDescent="0.2">
      <c r="C55" s="12" t="str">
        <f>IF(Supuestos!B58="","",Supuestos!B58)</f>
        <v>Originación voz mismo OMV</v>
      </c>
      <c r="D55" s="45" t="s">
        <v>94</v>
      </c>
      <c r="E55" s="45"/>
      <c r="F55" s="79">
        <v>300</v>
      </c>
      <c r="G55" s="79">
        <v>100</v>
      </c>
      <c r="H55" s="79">
        <v>200</v>
      </c>
      <c r="I55" s="79">
        <v>20</v>
      </c>
      <c r="J55" s="79">
        <v>20</v>
      </c>
      <c r="K55" s="79">
        <v>20</v>
      </c>
      <c r="L55" s="79">
        <v>40</v>
      </c>
      <c r="M55" s="79">
        <v>40</v>
      </c>
      <c r="N55" s="79">
        <v>40</v>
      </c>
    </row>
    <row r="56" spans="2:14" x14ac:dyDescent="0.2">
      <c r="C56" s="12" t="str">
        <f>IF(Supuestos!B59="","",Supuestos!B59)</f>
        <v>Originación voz on-net otro OMV</v>
      </c>
      <c r="D56" s="45" t="s">
        <v>94</v>
      </c>
      <c r="E56" s="45"/>
      <c r="F56" s="79">
        <v>300</v>
      </c>
      <c r="G56" s="79">
        <v>100</v>
      </c>
      <c r="H56" s="79">
        <v>200</v>
      </c>
      <c r="I56" s="79">
        <v>20</v>
      </c>
      <c r="J56" s="79">
        <v>20</v>
      </c>
      <c r="K56" s="79">
        <v>20</v>
      </c>
      <c r="L56" s="79">
        <v>40</v>
      </c>
      <c r="M56" s="79">
        <v>40</v>
      </c>
      <c r="N56" s="79">
        <v>40</v>
      </c>
    </row>
    <row r="57" spans="2:14" x14ac:dyDescent="0.2">
      <c r="C57" s="12" t="str">
        <f>IF(Supuestos!B60="","",Supuestos!B60)</f>
        <v>Originación voz on-net</v>
      </c>
      <c r="D57" s="45" t="s">
        <v>94</v>
      </c>
      <c r="E57" s="45"/>
      <c r="F57" s="79">
        <v>300</v>
      </c>
      <c r="G57" s="79">
        <v>100</v>
      </c>
      <c r="H57" s="79">
        <v>200</v>
      </c>
      <c r="I57" s="79">
        <v>20</v>
      </c>
      <c r="J57" s="79">
        <v>20</v>
      </c>
      <c r="K57" s="79">
        <v>20</v>
      </c>
      <c r="L57" s="79">
        <v>40</v>
      </c>
      <c r="M57" s="79">
        <v>40</v>
      </c>
      <c r="N57" s="79">
        <v>40</v>
      </c>
    </row>
    <row r="58" spans="2:14" x14ac:dyDescent="0.2">
      <c r="C58" s="12" t="str">
        <f>IF(Supuestos!B61="","",Supuestos!B61)</f>
        <v>Originación voz off-net móvil</v>
      </c>
      <c r="D58" s="45" t="s">
        <v>94</v>
      </c>
      <c r="E58" s="45"/>
      <c r="F58" s="79">
        <v>300</v>
      </c>
      <c r="G58" s="79">
        <v>100</v>
      </c>
      <c r="H58" s="79">
        <v>200</v>
      </c>
      <c r="I58" s="79">
        <v>20</v>
      </c>
      <c r="J58" s="79">
        <v>20</v>
      </c>
      <c r="K58" s="79">
        <v>20</v>
      </c>
      <c r="L58" s="79">
        <v>40</v>
      </c>
      <c r="M58" s="79">
        <v>40</v>
      </c>
      <c r="N58" s="79">
        <v>40</v>
      </c>
    </row>
    <row r="59" spans="2:14" x14ac:dyDescent="0.2">
      <c r="C59" s="12" t="str">
        <f>IF(Supuestos!B62="","",Supuestos!B62)</f>
        <v>Originación voz fijo</v>
      </c>
      <c r="D59" s="45" t="s">
        <v>94</v>
      </c>
      <c r="E59" s="45"/>
      <c r="F59" s="79">
        <v>300</v>
      </c>
      <c r="G59" s="79">
        <v>100</v>
      </c>
      <c r="H59" s="79">
        <v>200</v>
      </c>
      <c r="I59" s="79">
        <v>20</v>
      </c>
      <c r="J59" s="79">
        <v>20</v>
      </c>
      <c r="K59" s="79">
        <v>20</v>
      </c>
      <c r="L59" s="79">
        <v>40</v>
      </c>
      <c r="M59" s="79">
        <v>40</v>
      </c>
      <c r="N59" s="79">
        <v>40</v>
      </c>
    </row>
    <row r="60" spans="2:14" x14ac:dyDescent="0.2">
      <c r="C60" s="12" t="str">
        <f>IF(Supuestos!B63="","",Supuestos!B63)</f>
        <v>Originación voz internacional USA-Canadá</v>
      </c>
      <c r="D60" s="45" t="s">
        <v>94</v>
      </c>
      <c r="E60" s="45"/>
      <c r="F60" s="79">
        <v>300</v>
      </c>
      <c r="G60" s="79">
        <v>100</v>
      </c>
      <c r="H60" s="79">
        <v>200</v>
      </c>
      <c r="I60" s="79">
        <v>20</v>
      </c>
      <c r="J60" s="79">
        <v>20</v>
      </c>
      <c r="K60" s="79">
        <v>20</v>
      </c>
      <c r="L60" s="79">
        <v>40</v>
      </c>
      <c r="M60" s="79">
        <v>40</v>
      </c>
      <c r="N60" s="79">
        <v>40</v>
      </c>
    </row>
    <row r="61" spans="2:14" x14ac:dyDescent="0.2">
      <c r="C61" s="12" t="str">
        <f>IF(Supuestos!B64="","",Supuestos!B64)</f>
        <v xml:space="preserve">Originación voz internacional Mundial </v>
      </c>
      <c r="D61" s="45" t="s">
        <v>94</v>
      </c>
      <c r="E61" s="45"/>
      <c r="F61" s="79">
        <v>300</v>
      </c>
      <c r="G61" s="79">
        <v>100</v>
      </c>
      <c r="H61" s="79">
        <v>200</v>
      </c>
      <c r="I61" s="79">
        <v>20</v>
      </c>
      <c r="J61" s="79">
        <v>20</v>
      </c>
      <c r="K61" s="79">
        <v>20</v>
      </c>
      <c r="L61" s="79">
        <v>40</v>
      </c>
      <c r="M61" s="79">
        <v>40</v>
      </c>
      <c r="N61" s="79">
        <v>40</v>
      </c>
    </row>
    <row r="62" spans="2:14" x14ac:dyDescent="0.2">
      <c r="C62" s="12" t="str">
        <f>IF(Supuestos!B65="","",Supuestos!B65)</f>
        <v>Originación voz internacional Cuba</v>
      </c>
      <c r="D62" s="45" t="s">
        <v>94</v>
      </c>
      <c r="E62" s="45"/>
      <c r="F62" s="79">
        <v>300</v>
      </c>
      <c r="G62" s="79">
        <v>100</v>
      </c>
      <c r="H62" s="79">
        <v>200</v>
      </c>
      <c r="I62" s="79">
        <v>20</v>
      </c>
      <c r="J62" s="79">
        <v>20</v>
      </c>
      <c r="K62" s="79">
        <v>20</v>
      </c>
      <c r="L62" s="79">
        <v>40</v>
      </c>
      <c r="M62" s="79">
        <v>40</v>
      </c>
      <c r="N62" s="79">
        <v>40</v>
      </c>
    </row>
    <row r="63" spans="2:14" x14ac:dyDescent="0.2">
      <c r="C63" s="12" t="str">
        <f>IF(Supuestos!B66="","",Supuestos!B66)</f>
        <v/>
      </c>
      <c r="D63" s="45"/>
      <c r="E63" s="45"/>
      <c r="F63" s="79"/>
      <c r="G63" s="79"/>
      <c r="H63" s="79"/>
      <c r="I63" s="79"/>
      <c r="J63" s="79"/>
      <c r="K63" s="79"/>
      <c r="L63" s="79"/>
      <c r="M63" s="79"/>
      <c r="N63" s="79"/>
    </row>
    <row r="64" spans="2:14" x14ac:dyDescent="0.2">
      <c r="C64" s="12" t="str">
        <f>IF(Supuestos!B67="","",Supuestos!B67)</f>
        <v/>
      </c>
      <c r="D64" s="45"/>
      <c r="E64" s="45"/>
      <c r="F64" s="79"/>
      <c r="G64" s="79"/>
      <c r="H64" s="79"/>
      <c r="I64" s="79"/>
      <c r="J64" s="79"/>
      <c r="K64" s="79"/>
      <c r="L64" s="79"/>
      <c r="M64" s="79"/>
      <c r="N64" s="79"/>
    </row>
    <row r="65" spans="2:18" x14ac:dyDescent="0.2">
      <c r="C65" s="12" t="str">
        <f>IF(Supuestos!B68="","",Supuestos!B68)</f>
        <v/>
      </c>
      <c r="D65" s="45"/>
      <c r="E65" s="45"/>
      <c r="F65" s="79"/>
      <c r="G65" s="79"/>
      <c r="H65" s="79"/>
      <c r="I65" s="79"/>
      <c r="J65" s="79"/>
      <c r="K65" s="79"/>
      <c r="L65" s="79"/>
      <c r="M65" s="79"/>
      <c r="N65" s="79"/>
    </row>
    <row r="66" spans="2:18" x14ac:dyDescent="0.2">
      <c r="C66" s="12" t="str">
        <f>IF(Supuestos!B69="","",Supuestos!B69)</f>
        <v/>
      </c>
      <c r="D66" s="45"/>
      <c r="E66" s="45"/>
      <c r="F66" s="79"/>
      <c r="G66" s="79"/>
      <c r="H66" s="79"/>
      <c r="I66" s="79"/>
      <c r="J66" s="79"/>
      <c r="K66" s="79"/>
      <c r="L66" s="79"/>
      <c r="M66" s="79"/>
      <c r="N66" s="79"/>
    </row>
    <row r="67" spans="2:18" x14ac:dyDescent="0.2">
      <c r="C67" s="12" t="str">
        <f>IF(Supuestos!B70="","",Supuestos!B70)</f>
        <v/>
      </c>
      <c r="D67" s="45"/>
      <c r="E67" s="45"/>
      <c r="F67" s="79"/>
      <c r="G67" s="79"/>
      <c r="H67" s="79"/>
      <c r="I67" s="79"/>
      <c r="J67" s="79"/>
      <c r="K67" s="79"/>
      <c r="L67" s="79"/>
      <c r="M67" s="79"/>
      <c r="N67" s="79"/>
    </row>
    <row r="68" spans="2:18" x14ac:dyDescent="0.2">
      <c r="C68" s="12" t="str">
        <f>IF(Supuestos!B71="","",Supuestos!B71)</f>
        <v>Originación SMS OMV</v>
      </c>
      <c r="D68" s="45" t="s">
        <v>95</v>
      </c>
      <c r="E68" s="45"/>
      <c r="F68" s="79">
        <v>300</v>
      </c>
      <c r="G68" s="79">
        <v>100</v>
      </c>
      <c r="H68" s="79">
        <v>200</v>
      </c>
      <c r="I68" s="79">
        <v>20</v>
      </c>
      <c r="J68" s="79">
        <v>20</v>
      </c>
      <c r="K68" s="79">
        <v>20</v>
      </c>
      <c r="L68" s="79">
        <v>40</v>
      </c>
      <c r="M68" s="79">
        <v>40</v>
      </c>
      <c r="N68" s="79">
        <v>40</v>
      </c>
    </row>
    <row r="69" spans="2:18" x14ac:dyDescent="0.2">
      <c r="C69" s="12" t="str">
        <f>IF(Supuestos!B72="","",Supuestos!B72)</f>
        <v>Originación SMS on-net</v>
      </c>
      <c r="D69" s="45" t="s">
        <v>95</v>
      </c>
      <c r="E69" s="45"/>
      <c r="F69" s="79">
        <v>300</v>
      </c>
      <c r="G69" s="79">
        <v>100</v>
      </c>
      <c r="H69" s="79">
        <v>200</v>
      </c>
      <c r="I69" s="79">
        <v>20</v>
      </c>
      <c r="J69" s="79">
        <v>20</v>
      </c>
      <c r="K69" s="79">
        <v>20</v>
      </c>
      <c r="L69" s="79">
        <v>40</v>
      </c>
      <c r="M69" s="79">
        <v>40</v>
      </c>
      <c r="N69" s="79">
        <v>40</v>
      </c>
    </row>
    <row r="70" spans="2:18" x14ac:dyDescent="0.2">
      <c r="C70" s="12" t="str">
        <f>IF(Supuestos!B73="","",Supuestos!B73)</f>
        <v>Originación SMS off-net</v>
      </c>
      <c r="D70" s="45" t="s">
        <v>95</v>
      </c>
      <c r="E70" s="45"/>
      <c r="F70" s="79">
        <v>300</v>
      </c>
      <c r="G70" s="79">
        <v>100</v>
      </c>
      <c r="H70" s="79">
        <v>200</v>
      </c>
      <c r="I70" s="79">
        <v>20</v>
      </c>
      <c r="J70" s="79">
        <v>20</v>
      </c>
      <c r="K70" s="79">
        <v>20</v>
      </c>
      <c r="L70" s="79">
        <v>40</v>
      </c>
      <c r="M70" s="79">
        <v>40</v>
      </c>
      <c r="N70" s="79">
        <v>40</v>
      </c>
    </row>
    <row r="71" spans="2:18" x14ac:dyDescent="0.2">
      <c r="C71" s="12" t="str">
        <f>IF(Supuestos!B74="","",Supuestos!B74)</f>
        <v>Originación SMS otros servicios (SVA)</v>
      </c>
      <c r="D71" s="45" t="s">
        <v>95</v>
      </c>
      <c r="E71" s="45"/>
      <c r="F71" s="79">
        <v>300</v>
      </c>
      <c r="G71" s="79">
        <v>100</v>
      </c>
      <c r="H71" s="79">
        <v>200</v>
      </c>
      <c r="I71" s="79">
        <v>20</v>
      </c>
      <c r="J71" s="79">
        <v>20</v>
      </c>
      <c r="K71" s="79">
        <v>20</v>
      </c>
      <c r="L71" s="79">
        <v>40</v>
      </c>
      <c r="M71" s="79">
        <v>40</v>
      </c>
      <c r="N71" s="79">
        <v>40</v>
      </c>
    </row>
    <row r="72" spans="2:18" x14ac:dyDescent="0.2">
      <c r="C72" s="12" t="str">
        <f>IF(Supuestos!B75="","",Supuestos!B75)</f>
        <v>Otros servicios (incluyendo marcaciones especiales)</v>
      </c>
      <c r="D72" s="45" t="s">
        <v>94</v>
      </c>
      <c r="E72" s="45"/>
      <c r="F72" s="79">
        <v>300</v>
      </c>
      <c r="G72" s="79">
        <v>100</v>
      </c>
      <c r="H72" s="79">
        <v>200</v>
      </c>
      <c r="I72" s="79">
        <v>20</v>
      </c>
      <c r="J72" s="79">
        <v>20</v>
      </c>
      <c r="K72" s="79">
        <v>20</v>
      </c>
      <c r="L72" s="79">
        <v>40</v>
      </c>
      <c r="M72" s="79">
        <v>40</v>
      </c>
      <c r="N72" s="79">
        <v>40</v>
      </c>
    </row>
    <row r="74" spans="2:18" s="46" customFormat="1" ht="15.6" customHeight="1" x14ac:dyDescent="0.2">
      <c r="B74" s="46" t="s">
        <v>30</v>
      </c>
    </row>
    <row r="76" spans="2:18" x14ac:dyDescent="0.2">
      <c r="C76" s="148" t="str">
        <f>_xlfn.CONCAT("De ",TEXT($D$6,"dd/mm/yyyy")," a ",TEXT($F$6,"dd/mm/yyyy"))</f>
        <v>De 01/01/2021 a 31/03/2021</v>
      </c>
    </row>
    <row r="78" spans="2:18" x14ac:dyDescent="0.2">
      <c r="B78" s="42"/>
      <c r="C78" s="104" t="s">
        <v>57</v>
      </c>
      <c r="D78" s="47" t="s">
        <v>92</v>
      </c>
      <c r="E78" s="47"/>
      <c r="F78" s="197" t="str">
        <f>Supuestos!B$84</f>
        <v>Todos los segmentos</v>
      </c>
      <c r="G78" s="197" t="str">
        <f>Supuestos!B$85</f>
        <v>Segmento Prepago</v>
      </c>
      <c r="H78" s="197" t="str">
        <f>Supuestos!B$86</f>
        <v>Segmento Pospago</v>
      </c>
      <c r="I78" s="197" t="str">
        <f>Supuestos!B$87</f>
        <v>Oferta 1</v>
      </c>
      <c r="J78" s="197" t="str">
        <f>Supuestos!B$88</f>
        <v>Oferta 2</v>
      </c>
      <c r="K78" s="197" t="str">
        <f>Supuestos!B$89</f>
        <v>Oferta 3</v>
      </c>
      <c r="L78" s="197" t="str">
        <f>Supuestos!B$90</f>
        <v>Oferta 4</v>
      </c>
      <c r="M78" s="197" t="str">
        <f>Supuestos!B$91</f>
        <v>Oferta 5</v>
      </c>
      <c r="N78" s="197" t="str">
        <f>Supuestos!B$92</f>
        <v>Oferta 6</v>
      </c>
      <c r="P78" s="161" t="s">
        <v>132</v>
      </c>
      <c r="R78" s="120"/>
    </row>
    <row r="79" spans="2:18" x14ac:dyDescent="0.2">
      <c r="B79" s="97" t="s">
        <v>126</v>
      </c>
      <c r="C79" s="24" t="str">
        <f>IF(Supuestos!B31="","",Supuestos!B31)</f>
        <v>Acceso a Internet</v>
      </c>
      <c r="D79" s="98" t="s">
        <v>111</v>
      </c>
      <c r="E79" s="107"/>
      <c r="F79" s="127">
        <v>10000</v>
      </c>
      <c r="G79" s="127">
        <v>3333.3333333333335</v>
      </c>
      <c r="H79" s="127">
        <v>6666.666666666667</v>
      </c>
      <c r="I79" s="127">
        <v>666.66666666666674</v>
      </c>
      <c r="J79" s="127">
        <v>666.66666666666674</v>
      </c>
      <c r="K79" s="127">
        <v>666.66666666666674</v>
      </c>
      <c r="L79" s="127">
        <v>1333.3333333333335</v>
      </c>
      <c r="M79" s="127">
        <v>1333.3333333333335</v>
      </c>
      <c r="N79" s="127">
        <v>1333.3333333333335</v>
      </c>
      <c r="P79" s="162">
        <f>Supuestos!C31</f>
        <v>0.1</v>
      </c>
      <c r="Q79" s="218" t="s">
        <v>240</v>
      </c>
    </row>
    <row r="80" spans="2:18" x14ac:dyDescent="0.2">
      <c r="B80" s="229" t="s">
        <v>127</v>
      </c>
      <c r="C80" s="152" t="str">
        <f>IF(Supuestos!B32="","",Supuestos!B32)</f>
        <v>Servicios OTT de vídeo</v>
      </c>
      <c r="D80" s="99" t="s">
        <v>111</v>
      </c>
      <c r="E80" s="99"/>
      <c r="F80" s="129">
        <v>500000</v>
      </c>
      <c r="G80" s="129">
        <v>166666.66666666666</v>
      </c>
      <c r="H80" s="129">
        <v>333333.33333333331</v>
      </c>
      <c r="I80" s="129">
        <v>33333.333333333328</v>
      </c>
      <c r="J80" s="129">
        <v>33333.333333333328</v>
      </c>
      <c r="K80" s="129">
        <v>33333.333333333328</v>
      </c>
      <c r="L80" s="129">
        <v>66666.666666666657</v>
      </c>
      <c r="M80" s="129">
        <v>66666.666666666657</v>
      </c>
      <c r="N80" s="129">
        <v>66666.666666666657</v>
      </c>
      <c r="P80" s="162">
        <f>Supuestos!C32</f>
        <v>0.1</v>
      </c>
      <c r="Q80" s="218" t="s">
        <v>240</v>
      </c>
    </row>
    <row r="81" spans="2:17" x14ac:dyDescent="0.2">
      <c r="B81" s="231"/>
      <c r="C81" s="153" t="str">
        <f>IF(Supuestos!B33="","",Supuestos!B33)</f>
        <v>Servicios OTT de audio</v>
      </c>
      <c r="D81" s="101" t="s">
        <v>111</v>
      </c>
      <c r="E81" s="101"/>
      <c r="F81" s="128">
        <v>500000</v>
      </c>
      <c r="G81" s="128">
        <v>166666.66666666666</v>
      </c>
      <c r="H81" s="128">
        <v>333333.33333333331</v>
      </c>
      <c r="I81" s="128">
        <v>33333.333333333328</v>
      </c>
      <c r="J81" s="128">
        <v>33333.333333333328</v>
      </c>
      <c r="K81" s="128">
        <v>33333.333333333328</v>
      </c>
      <c r="L81" s="128">
        <v>66666.666666666657</v>
      </c>
      <c r="M81" s="128">
        <v>66666.666666666657</v>
      </c>
      <c r="N81" s="128">
        <v>66666.666666666657</v>
      </c>
      <c r="P81" s="162">
        <f>Supuestos!C33</f>
        <v>0.1</v>
      </c>
      <c r="Q81" s="218" t="s">
        <v>240</v>
      </c>
    </row>
    <row r="82" spans="2:17" x14ac:dyDescent="0.2">
      <c r="B82" s="228" t="s">
        <v>128</v>
      </c>
      <c r="C82" s="24" t="str">
        <f>IF(Supuestos!B34="","",Supuestos!B34)</f>
        <v>Comerciales</v>
      </c>
      <c r="D82" s="99" t="s">
        <v>111</v>
      </c>
      <c r="E82" s="99"/>
      <c r="F82" s="127">
        <v>1000000</v>
      </c>
      <c r="G82" s="127">
        <v>333333.33333333331</v>
      </c>
      <c r="H82" s="127">
        <v>666666.66666666663</v>
      </c>
      <c r="I82" s="127">
        <v>66666.666666666657</v>
      </c>
      <c r="J82" s="127">
        <v>66666.666666666657</v>
      </c>
      <c r="K82" s="127">
        <v>66666.666666666657</v>
      </c>
      <c r="L82" s="127">
        <v>133333.33333333331</v>
      </c>
      <c r="M82" s="127">
        <v>133333.33333333331</v>
      </c>
      <c r="N82" s="127">
        <v>133333.33333333331</v>
      </c>
      <c r="P82" s="162">
        <f>Supuestos!C34</f>
        <v>0.1</v>
      </c>
      <c r="Q82" s="218" t="s">
        <v>240</v>
      </c>
    </row>
    <row r="83" spans="2:17" x14ac:dyDescent="0.2">
      <c r="B83" s="228"/>
      <c r="C83" s="24" t="str">
        <f>IF(Supuestos!B35="","",Supuestos!B35)</f>
        <v>Facturación</v>
      </c>
      <c r="D83" s="99" t="s">
        <v>111</v>
      </c>
      <c r="E83" s="99"/>
      <c r="F83" s="127">
        <v>1000000</v>
      </c>
      <c r="G83" s="127">
        <v>333333.33333333331</v>
      </c>
      <c r="H83" s="127">
        <v>666666.66666666663</v>
      </c>
      <c r="I83" s="127">
        <v>66666.666666666657</v>
      </c>
      <c r="J83" s="127">
        <v>66666.666666666657</v>
      </c>
      <c r="K83" s="127">
        <v>66666.666666666657</v>
      </c>
      <c r="L83" s="127">
        <v>133333.33333333331</v>
      </c>
      <c r="M83" s="127">
        <v>133333.33333333331</v>
      </c>
      <c r="N83" s="127">
        <v>133333.33333333331</v>
      </c>
      <c r="P83" s="162">
        <f>Supuestos!C35</f>
        <v>0.1</v>
      </c>
      <c r="Q83" s="218" t="s">
        <v>240</v>
      </c>
    </row>
    <row r="84" spans="2:17" x14ac:dyDescent="0.2">
      <c r="B84" s="228"/>
      <c r="C84" s="24" t="str">
        <f>IF(Supuestos!B36="","",Supuestos!B36)</f>
        <v>Cobranza</v>
      </c>
      <c r="D84" s="99" t="s">
        <v>111</v>
      </c>
      <c r="E84" s="99"/>
      <c r="F84" s="127">
        <v>1000000</v>
      </c>
      <c r="G84" s="127">
        <v>333333.33333333331</v>
      </c>
      <c r="H84" s="127">
        <v>666666.66666666663</v>
      </c>
      <c r="I84" s="127">
        <v>66666.666666666657</v>
      </c>
      <c r="J84" s="127">
        <v>66666.666666666657</v>
      </c>
      <c r="K84" s="127">
        <v>66666.666666666657</v>
      </c>
      <c r="L84" s="127">
        <v>133333.33333333331</v>
      </c>
      <c r="M84" s="127">
        <v>133333.33333333331</v>
      </c>
      <c r="N84" s="127">
        <v>133333.33333333331</v>
      </c>
      <c r="P84" s="162">
        <f>Supuestos!C36</f>
        <v>0.1</v>
      </c>
      <c r="Q84" s="218" t="s">
        <v>240</v>
      </c>
    </row>
    <row r="85" spans="2:17" x14ac:dyDescent="0.2">
      <c r="B85" s="228"/>
      <c r="C85" s="24" t="str">
        <f>IF(Supuestos!B37="","",Supuestos!B37)</f>
        <v>Tasas e impuestos</v>
      </c>
      <c r="D85" s="99" t="s">
        <v>111</v>
      </c>
      <c r="E85" s="99"/>
      <c r="F85" s="127">
        <v>1000000</v>
      </c>
      <c r="G85" s="127">
        <v>333333.33333333331</v>
      </c>
      <c r="H85" s="127">
        <v>666666.66666666663</v>
      </c>
      <c r="I85" s="127">
        <v>66666.666666666657</v>
      </c>
      <c r="J85" s="127">
        <v>66666.666666666657</v>
      </c>
      <c r="K85" s="127">
        <v>66666.666666666657</v>
      </c>
      <c r="L85" s="127">
        <v>133333.33333333331</v>
      </c>
      <c r="M85" s="127">
        <v>133333.33333333331</v>
      </c>
      <c r="N85" s="127">
        <v>133333.33333333331</v>
      </c>
      <c r="P85" s="162">
        <f>Supuestos!C37</f>
        <v>0.1</v>
      </c>
      <c r="Q85" s="218" t="s">
        <v>240</v>
      </c>
    </row>
    <row r="86" spans="2:17" x14ac:dyDescent="0.2">
      <c r="B86" s="228"/>
      <c r="C86" s="153" t="str">
        <f>IF(Supuestos!B38="","",Supuestos!B38)</f>
        <v>Programas de fidelización</v>
      </c>
      <c r="D86" s="99" t="s">
        <v>111</v>
      </c>
      <c r="E86" s="99"/>
      <c r="F86" s="128">
        <v>1000000</v>
      </c>
      <c r="G86" s="128">
        <v>333333.33333333331</v>
      </c>
      <c r="H86" s="128">
        <v>666666.66666666663</v>
      </c>
      <c r="I86" s="128">
        <v>66666.666666666657</v>
      </c>
      <c r="J86" s="128">
        <v>66666.666666666657</v>
      </c>
      <c r="K86" s="128">
        <v>66666.666666666657</v>
      </c>
      <c r="L86" s="128">
        <v>133333.33333333331</v>
      </c>
      <c r="M86" s="128">
        <v>133333.33333333331</v>
      </c>
      <c r="N86" s="128">
        <v>133333.33333333331</v>
      </c>
      <c r="P86" s="162">
        <f>Supuestos!C38</f>
        <v>0.1</v>
      </c>
      <c r="Q86" s="218" t="s">
        <v>240</v>
      </c>
    </row>
    <row r="87" spans="2:17" x14ac:dyDescent="0.2">
      <c r="B87" s="229" t="s">
        <v>129</v>
      </c>
      <c r="C87" s="24" t="str">
        <f>IF(Supuestos!B39="","",Supuestos!B39)</f>
        <v>Acceso internet internacional</v>
      </c>
      <c r="D87" s="100" t="s">
        <v>111</v>
      </c>
      <c r="E87" s="107"/>
      <c r="F87" s="127">
        <v>1000000</v>
      </c>
      <c r="G87" s="127">
        <v>333333.33333333331</v>
      </c>
      <c r="H87" s="127">
        <v>666666.66666666663</v>
      </c>
      <c r="I87" s="127">
        <v>66666.666666666657</v>
      </c>
      <c r="J87" s="127">
        <v>66666.666666666657</v>
      </c>
      <c r="K87" s="127">
        <v>66666.666666666657</v>
      </c>
      <c r="L87" s="127">
        <v>133333.33333333331</v>
      </c>
      <c r="M87" s="127">
        <v>133333.33333333331</v>
      </c>
      <c r="N87" s="127">
        <v>133333.33333333331</v>
      </c>
      <c r="P87" s="162">
        <f>Supuestos!C39</f>
        <v>0.1</v>
      </c>
      <c r="Q87" s="218" t="s">
        <v>240</v>
      </c>
    </row>
    <row r="88" spans="2:17" x14ac:dyDescent="0.2">
      <c r="B88" s="230"/>
      <c r="C88" s="24" t="str">
        <f>IF(Supuestos!B40="","",Supuestos!B40)</f>
        <v>Terminación en destinos nacionales-fijo</v>
      </c>
      <c r="D88" s="99" t="s">
        <v>111</v>
      </c>
      <c r="E88" s="99"/>
      <c r="F88" s="127">
        <v>1000000</v>
      </c>
      <c r="G88" s="127">
        <v>333333.33333333331</v>
      </c>
      <c r="H88" s="127">
        <v>666666.66666666663</v>
      </c>
      <c r="I88" s="127">
        <v>66666.666666666657</v>
      </c>
      <c r="J88" s="127">
        <v>66666.666666666657</v>
      </c>
      <c r="K88" s="127">
        <v>66666.666666666657</v>
      </c>
      <c r="L88" s="127">
        <v>133333.33333333331</v>
      </c>
      <c r="M88" s="127">
        <v>133333.33333333331</v>
      </c>
      <c r="N88" s="127">
        <v>133333.33333333331</v>
      </c>
      <c r="P88" s="162">
        <f>Supuestos!C40</f>
        <v>0.1</v>
      </c>
      <c r="Q88" s="218" t="s">
        <v>240</v>
      </c>
    </row>
    <row r="89" spans="2:17" x14ac:dyDescent="0.2">
      <c r="B89" s="230"/>
      <c r="C89" s="24" t="str">
        <f>IF(Supuestos!B41="","",Supuestos!B41)</f>
        <v>Terminación en destinos nacionales-móvil</v>
      </c>
      <c r="D89" s="99" t="s">
        <v>111</v>
      </c>
      <c r="E89" s="99"/>
      <c r="F89" s="127">
        <v>1000000</v>
      </c>
      <c r="G89" s="127">
        <v>333333.33333333331</v>
      </c>
      <c r="H89" s="127">
        <v>666666.66666666663</v>
      </c>
      <c r="I89" s="127">
        <v>66666.666666666657</v>
      </c>
      <c r="J89" s="127">
        <v>66666.666666666657</v>
      </c>
      <c r="K89" s="127">
        <v>66666.666666666657</v>
      </c>
      <c r="L89" s="127">
        <v>133333.33333333331</v>
      </c>
      <c r="M89" s="127">
        <v>133333.33333333331</v>
      </c>
      <c r="N89" s="127">
        <v>133333.33333333331</v>
      </c>
      <c r="P89" s="162">
        <f>Supuestos!C41</f>
        <v>0.1</v>
      </c>
      <c r="Q89" s="218" t="s">
        <v>240</v>
      </c>
    </row>
    <row r="90" spans="2:17" x14ac:dyDescent="0.2">
      <c r="B90" s="230"/>
      <c r="C90" s="24" t="str">
        <f>IF(Supuestos!B42="","",Supuestos!B42)</f>
        <v>Terminación en destinos nacionales-mensajes</v>
      </c>
      <c r="D90" s="99" t="s">
        <v>111</v>
      </c>
      <c r="E90" s="99"/>
      <c r="F90" s="127">
        <v>4000000</v>
      </c>
      <c r="G90" s="127">
        <v>1333333.3333333333</v>
      </c>
      <c r="H90" s="127">
        <v>2666666.6666666665</v>
      </c>
      <c r="I90" s="127">
        <v>266666.66666666663</v>
      </c>
      <c r="J90" s="127">
        <v>266666.66666666663</v>
      </c>
      <c r="K90" s="127">
        <v>266666.66666666663</v>
      </c>
      <c r="L90" s="127">
        <v>533333.33333333326</v>
      </c>
      <c r="M90" s="127">
        <v>533333.33333333326</v>
      </c>
      <c r="N90" s="127">
        <v>533333.33333333326</v>
      </c>
      <c r="P90" s="162">
        <f>Supuestos!C42</f>
        <v>0.1</v>
      </c>
      <c r="Q90" s="218" t="s">
        <v>240</v>
      </c>
    </row>
    <row r="91" spans="2:17" x14ac:dyDescent="0.2">
      <c r="B91" s="230"/>
      <c r="C91" s="24" t="str">
        <f>IF(Supuestos!B43="","",Supuestos!B43)</f>
        <v>Terminación en destinos internacionales</v>
      </c>
      <c r="D91" s="99" t="s">
        <v>111</v>
      </c>
      <c r="E91" s="99"/>
      <c r="F91" s="127">
        <v>600000</v>
      </c>
      <c r="G91" s="127">
        <v>200000</v>
      </c>
      <c r="H91" s="127">
        <v>400000</v>
      </c>
      <c r="I91" s="127">
        <v>40000</v>
      </c>
      <c r="J91" s="127">
        <v>40000</v>
      </c>
      <c r="K91" s="127">
        <v>40000</v>
      </c>
      <c r="L91" s="127">
        <v>80000</v>
      </c>
      <c r="M91" s="127">
        <v>80000</v>
      </c>
      <c r="N91" s="127">
        <v>80000</v>
      </c>
      <c r="P91" s="162">
        <f>Supuestos!C43</f>
        <v>0.1</v>
      </c>
      <c r="Q91" s="218" t="s">
        <v>240</v>
      </c>
    </row>
    <row r="92" spans="2:17" x14ac:dyDescent="0.2">
      <c r="B92" s="230"/>
      <c r="C92" s="24" t="str">
        <f>IF(Supuestos!B44="","",Supuestos!B44)</f>
        <v>Terminación en destinos internacionales-mensajes</v>
      </c>
      <c r="D92" s="99" t="s">
        <v>111</v>
      </c>
      <c r="E92" s="99"/>
      <c r="F92" s="127">
        <v>600000</v>
      </c>
      <c r="G92" s="127">
        <v>200000</v>
      </c>
      <c r="H92" s="127">
        <v>400000</v>
      </c>
      <c r="I92" s="127">
        <v>40000</v>
      </c>
      <c r="J92" s="127">
        <v>40000</v>
      </c>
      <c r="K92" s="127">
        <v>40000</v>
      </c>
      <c r="L92" s="127">
        <v>80000</v>
      </c>
      <c r="M92" s="127">
        <v>80000</v>
      </c>
      <c r="N92" s="127">
        <v>80000</v>
      </c>
      <c r="P92" s="162">
        <f>Supuestos!C44</f>
        <v>0.1</v>
      </c>
      <c r="Q92" s="218" t="s">
        <v>240</v>
      </c>
    </row>
    <row r="93" spans="2:17" x14ac:dyDescent="0.2">
      <c r="B93" s="230"/>
      <c r="C93" s="24" t="str">
        <f>IF(Supuestos!B45="","",Supuestos!B45)</f>
        <v>Roaming internacional - voz - outbound</v>
      </c>
      <c r="D93" s="99" t="s">
        <v>111</v>
      </c>
      <c r="E93" s="99"/>
      <c r="F93" s="127">
        <v>30000</v>
      </c>
      <c r="G93" s="127">
        <v>10000</v>
      </c>
      <c r="H93" s="127">
        <v>20000</v>
      </c>
      <c r="I93" s="127">
        <v>2000</v>
      </c>
      <c r="J93" s="127">
        <v>2000</v>
      </c>
      <c r="K93" s="127">
        <v>2000</v>
      </c>
      <c r="L93" s="127">
        <v>4000</v>
      </c>
      <c r="M93" s="127">
        <v>4000</v>
      </c>
      <c r="N93" s="127">
        <v>4000</v>
      </c>
      <c r="P93" s="162">
        <f>Supuestos!C45</f>
        <v>0.1</v>
      </c>
      <c r="Q93" s="218" t="s">
        <v>240</v>
      </c>
    </row>
    <row r="94" spans="2:17" x14ac:dyDescent="0.2">
      <c r="B94" s="230"/>
      <c r="C94" s="24" t="str">
        <f>IF(Supuestos!B46="","",Supuestos!B46)</f>
        <v>Roaming internacional - mensajes - outbound</v>
      </c>
      <c r="D94" s="99" t="s">
        <v>111</v>
      </c>
      <c r="E94" s="99"/>
      <c r="F94" s="127">
        <v>10000</v>
      </c>
      <c r="G94" s="127">
        <v>3333.3333333333335</v>
      </c>
      <c r="H94" s="127">
        <v>6666.666666666667</v>
      </c>
      <c r="I94" s="127">
        <v>666.66666666666674</v>
      </c>
      <c r="J94" s="127">
        <v>666.66666666666674</v>
      </c>
      <c r="K94" s="127">
        <v>666.66666666666674</v>
      </c>
      <c r="L94" s="127">
        <v>1333.3333333333335</v>
      </c>
      <c r="M94" s="127">
        <v>1333.3333333333335</v>
      </c>
      <c r="N94" s="127">
        <v>1333.3333333333335</v>
      </c>
      <c r="P94" s="162">
        <f>Supuestos!C46</f>
        <v>0.1</v>
      </c>
      <c r="Q94" s="218" t="s">
        <v>240</v>
      </c>
    </row>
    <row r="95" spans="2:17" x14ac:dyDescent="0.2">
      <c r="B95" s="230"/>
      <c r="C95" s="24" t="str">
        <f>IF(Supuestos!B47="","",Supuestos!B47)</f>
        <v>Roaming internacional - datos - outbound</v>
      </c>
      <c r="D95" s="99" t="s">
        <v>111</v>
      </c>
      <c r="E95" s="99"/>
      <c r="F95" s="127">
        <v>500000</v>
      </c>
      <c r="G95" s="127">
        <v>166666.66666666666</v>
      </c>
      <c r="H95" s="127">
        <v>333333.33333333331</v>
      </c>
      <c r="I95" s="127">
        <v>33333.333333333328</v>
      </c>
      <c r="J95" s="127">
        <v>33333.333333333328</v>
      </c>
      <c r="K95" s="127">
        <v>33333.333333333328</v>
      </c>
      <c r="L95" s="127">
        <v>66666.666666666657</v>
      </c>
      <c r="M95" s="127">
        <v>66666.666666666657</v>
      </c>
      <c r="N95" s="127">
        <v>66666.666666666657</v>
      </c>
      <c r="P95" s="162">
        <f>Supuestos!C47</f>
        <v>0.1</v>
      </c>
      <c r="Q95" s="218" t="s">
        <v>240</v>
      </c>
    </row>
    <row r="96" spans="2:17" x14ac:dyDescent="0.2">
      <c r="B96" s="230"/>
      <c r="C96" s="24" t="str">
        <f>IF(Supuestos!B48="","",Supuestos!B48)</f>
        <v>Provisiones</v>
      </c>
      <c r="D96" s="99" t="s">
        <v>111</v>
      </c>
      <c r="E96" s="99"/>
      <c r="F96" s="127">
        <v>500000</v>
      </c>
      <c r="G96" s="127">
        <v>166666.66666666666</v>
      </c>
      <c r="H96" s="127">
        <v>333333.33333333331</v>
      </c>
      <c r="I96" s="127">
        <v>33333.333333333328</v>
      </c>
      <c r="J96" s="127">
        <v>33333.333333333328</v>
      </c>
      <c r="K96" s="127">
        <v>33333.333333333328</v>
      </c>
      <c r="L96" s="127">
        <v>66666.666666666657</v>
      </c>
      <c r="M96" s="127">
        <v>66666.666666666657</v>
      </c>
      <c r="N96" s="127">
        <v>66666.666666666657</v>
      </c>
      <c r="P96" s="162">
        <f>Supuestos!C48</f>
        <v>0.1</v>
      </c>
      <c r="Q96" s="218" t="s">
        <v>240</v>
      </c>
    </row>
    <row r="97" spans="2:17" x14ac:dyDescent="0.2">
      <c r="B97" s="230"/>
      <c r="C97" s="24" t="str">
        <f>IF(Supuestos!B49="","",Supuestos!B49)</f>
        <v>Costos directos de la venta de terminales</v>
      </c>
      <c r="D97" s="101" t="s">
        <v>111</v>
      </c>
      <c r="E97" s="107"/>
      <c r="F97" s="127">
        <v>1000000</v>
      </c>
      <c r="G97" s="127">
        <v>333333.33333333331</v>
      </c>
      <c r="H97" s="127">
        <v>666666.66666666663</v>
      </c>
      <c r="I97" s="127">
        <v>66666.666666666657</v>
      </c>
      <c r="J97" s="127">
        <v>66666.666666666657</v>
      </c>
      <c r="K97" s="127">
        <v>66666.666666666657</v>
      </c>
      <c r="L97" s="127">
        <v>133333.33333333331</v>
      </c>
      <c r="M97" s="127">
        <v>133333.33333333331</v>
      </c>
      <c r="N97" s="127">
        <v>133333.33333333331</v>
      </c>
      <c r="P97" s="162">
        <f>Supuestos!C49</f>
        <v>0.1</v>
      </c>
      <c r="Q97" s="218" t="s">
        <v>240</v>
      </c>
    </row>
    <row r="98" spans="2:17" x14ac:dyDescent="0.2">
      <c r="B98" s="229" t="s">
        <v>130</v>
      </c>
      <c r="C98" s="152" t="str">
        <f>IF(Supuestos!B50="","",Supuestos!B50)</f>
        <v>Servicios generales y de gestión - minoristas</v>
      </c>
      <c r="D98" s="99" t="s">
        <v>111</v>
      </c>
      <c r="E98" s="99"/>
      <c r="F98" s="129">
        <v>1000000</v>
      </c>
      <c r="G98" s="129">
        <v>333333.33333333331</v>
      </c>
      <c r="H98" s="129">
        <v>666666.66666666663</v>
      </c>
      <c r="I98" s="129">
        <v>66666.666666666657</v>
      </c>
      <c r="J98" s="129">
        <v>66666.666666666657</v>
      </c>
      <c r="K98" s="129">
        <v>66666.666666666657</v>
      </c>
      <c r="L98" s="129">
        <v>133333.33333333331</v>
      </c>
      <c r="M98" s="129">
        <v>133333.33333333331</v>
      </c>
      <c r="N98" s="129">
        <v>133333.33333333331</v>
      </c>
      <c r="P98" s="162">
        <f>Supuestos!C50</f>
        <v>0.1</v>
      </c>
      <c r="Q98" s="218" t="s">
        <v>240</v>
      </c>
    </row>
    <row r="99" spans="2:17" x14ac:dyDescent="0.2">
      <c r="B99" s="230"/>
      <c r="C99" s="24" t="str">
        <f>IF(Supuestos!B51="","",Supuestos!B51)</f>
        <v>Servicios generales y de gestión - red</v>
      </c>
      <c r="D99" s="99" t="s">
        <v>111</v>
      </c>
      <c r="E99" s="99"/>
      <c r="F99" s="127">
        <v>1000000</v>
      </c>
      <c r="G99" s="127">
        <v>333333.33333333331</v>
      </c>
      <c r="H99" s="127">
        <v>666666.66666666663</v>
      </c>
      <c r="I99" s="127">
        <v>66666.666666666657</v>
      </c>
      <c r="J99" s="127">
        <v>66666.666666666657</v>
      </c>
      <c r="K99" s="127">
        <v>66666.666666666657</v>
      </c>
      <c r="L99" s="127">
        <v>133333.33333333331</v>
      </c>
      <c r="M99" s="127">
        <v>133333.33333333331</v>
      </c>
      <c r="N99" s="127">
        <v>133333.33333333331</v>
      </c>
      <c r="P99" s="162">
        <f>Supuestos!C51</f>
        <v>0.1</v>
      </c>
      <c r="Q99" s="218" t="s">
        <v>240</v>
      </c>
    </row>
    <row r="100" spans="2:17" x14ac:dyDescent="0.2">
      <c r="B100" s="230"/>
      <c r="C100" s="24" t="str">
        <f>IF(Supuestos!B52="","",Supuestos!B52)</f>
        <v xml:space="preserve">Servicios generales y de gestión - negocio </v>
      </c>
      <c r="D100" s="101" t="s">
        <v>111</v>
      </c>
      <c r="E100" s="107"/>
      <c r="F100" s="127">
        <v>1000000</v>
      </c>
      <c r="G100" s="127">
        <v>333333.33333333331</v>
      </c>
      <c r="H100" s="127">
        <v>666666.66666666663</v>
      </c>
      <c r="I100" s="127">
        <v>66666.666666666657</v>
      </c>
      <c r="J100" s="127">
        <v>66666.666666666657</v>
      </c>
      <c r="K100" s="127">
        <v>66666.666666666657</v>
      </c>
      <c r="L100" s="127">
        <v>133333.33333333331</v>
      </c>
      <c r="M100" s="127">
        <v>133333.33333333331</v>
      </c>
      <c r="N100" s="127">
        <v>133333.33333333331</v>
      </c>
      <c r="P100" s="162">
        <f>Supuestos!C52</f>
        <v>0.1</v>
      </c>
      <c r="Q100" s="218" t="s">
        <v>240</v>
      </c>
    </row>
    <row r="101" spans="2:17" x14ac:dyDescent="0.2">
      <c r="B101" s="97" t="s">
        <v>131</v>
      </c>
      <c r="C101" s="154" t="str">
        <f>IF(Supuestos!B53="","",Supuestos!B53)</f>
        <v>Costo del Capital</v>
      </c>
      <c r="D101" s="99" t="s">
        <v>111</v>
      </c>
      <c r="E101" s="99"/>
      <c r="F101" s="130">
        <v>1000000</v>
      </c>
      <c r="G101" s="130">
        <v>333333.33333333331</v>
      </c>
      <c r="H101" s="130">
        <v>666666.66666666663</v>
      </c>
      <c r="I101" s="130">
        <v>66666.666666666657</v>
      </c>
      <c r="J101" s="130">
        <v>66666.666666666657</v>
      </c>
      <c r="K101" s="130">
        <v>66666.666666666657</v>
      </c>
      <c r="L101" s="130">
        <v>133333.33333333331</v>
      </c>
      <c r="M101" s="130">
        <v>133333.33333333331</v>
      </c>
      <c r="N101" s="130">
        <v>133333.33333333331</v>
      </c>
      <c r="P101" s="162">
        <f>Supuestos!C53</f>
        <v>0.1</v>
      </c>
      <c r="Q101" s="218" t="s">
        <v>240</v>
      </c>
    </row>
    <row r="102" spans="2:17" x14ac:dyDescent="0.2">
      <c r="B102" s="96"/>
      <c r="C102" s="67" t="s">
        <v>6</v>
      </c>
      <c r="D102" s="84" t="s">
        <v>111</v>
      </c>
      <c r="E102" s="84"/>
      <c r="F102" s="68">
        <f>SUM(F79:F101)</f>
        <v>20250000</v>
      </c>
      <c r="G102" s="68">
        <f t="shared" ref="G102:N102" si="3">SUM(G79:G101)</f>
        <v>6749999.9999999991</v>
      </c>
      <c r="H102" s="68">
        <f t="shared" si="3"/>
        <v>13499999.999999998</v>
      </c>
      <c r="I102" s="68">
        <f t="shared" si="3"/>
        <v>1350000</v>
      </c>
      <c r="J102" s="68">
        <f t="shared" si="3"/>
        <v>1350000</v>
      </c>
      <c r="K102" s="68">
        <f t="shared" si="3"/>
        <v>1350000</v>
      </c>
      <c r="L102" s="68">
        <f t="shared" si="3"/>
        <v>2700000</v>
      </c>
      <c r="M102" s="68">
        <f t="shared" si="3"/>
        <v>2700000</v>
      </c>
      <c r="N102" s="68">
        <f t="shared" si="3"/>
        <v>2700000</v>
      </c>
    </row>
    <row r="103" spans="2:17" x14ac:dyDescent="0.2">
      <c r="F103" s="79"/>
    </row>
    <row r="104" spans="2:17" x14ac:dyDescent="0.2">
      <c r="C104" s="71" t="s">
        <v>82</v>
      </c>
      <c r="D104" s="71"/>
      <c r="E104" s="71"/>
      <c r="F104" s="72" t="str">
        <f>IF(F102=SUM(G102,H102),"Ok","Error")</f>
        <v>Ok</v>
      </c>
    </row>
    <row r="105" spans="2:17" x14ac:dyDescent="0.2">
      <c r="F105" s="79"/>
    </row>
    <row r="106" spans="2:17" s="46" customFormat="1" ht="15.6" customHeight="1" x14ac:dyDescent="0.2">
      <c r="B106" s="46" t="s">
        <v>133</v>
      </c>
    </row>
    <row r="108" spans="2:17" ht="17.100000000000001" customHeight="1" x14ac:dyDescent="0.2">
      <c r="C108" s="232" t="s">
        <v>145</v>
      </c>
      <c r="D108" s="233"/>
      <c r="E108" s="233"/>
      <c r="F108" s="233"/>
      <c r="G108" s="234"/>
    </row>
    <row r="110" spans="2:17" x14ac:dyDescent="0.2">
      <c r="C110" s="148" t="str">
        <f>_xlfn.CONCAT("De ",TEXT($D$6,"dd/mm/yyyy")," a ",TEXT($F$6,"dd/mm/yyyy"))</f>
        <v>De 01/01/2021 a 31/03/2021</v>
      </c>
    </row>
    <row r="112" spans="2:17" x14ac:dyDescent="0.2">
      <c r="C112" s="47" t="s">
        <v>57</v>
      </c>
      <c r="D112" s="104" t="s">
        <v>92</v>
      </c>
      <c r="E112" s="104"/>
      <c r="F112" s="105" t="s">
        <v>135</v>
      </c>
    </row>
    <row r="113" spans="3:6" x14ac:dyDescent="0.2">
      <c r="C113" s="85" t="str">
        <f>IF(Supuestos!B57="","",Supuestos!B57)</f>
        <v>Datos</v>
      </c>
      <c r="D113" s="99" t="s">
        <v>134</v>
      </c>
      <c r="E113" s="99"/>
      <c r="F113" s="103">
        <v>0</v>
      </c>
    </row>
    <row r="114" spans="3:6" x14ac:dyDescent="0.2">
      <c r="C114" s="12" t="str">
        <f>IF(Supuestos!B58="","",Supuestos!B58)</f>
        <v>Originación voz mismo OMV</v>
      </c>
      <c r="D114" s="99" t="s">
        <v>134</v>
      </c>
      <c r="E114" s="99"/>
      <c r="F114" s="103">
        <v>0</v>
      </c>
    </row>
    <row r="115" spans="3:6" x14ac:dyDescent="0.2">
      <c r="C115" s="12" t="str">
        <f>IF(Supuestos!B59="","",Supuestos!B59)</f>
        <v>Originación voz on-net otro OMV</v>
      </c>
      <c r="D115" s="99" t="s">
        <v>134</v>
      </c>
      <c r="E115" s="99"/>
      <c r="F115" s="103">
        <v>0</v>
      </c>
    </row>
    <row r="116" spans="3:6" x14ac:dyDescent="0.2">
      <c r="C116" s="12" t="str">
        <f>IF(Supuestos!B60="","",Supuestos!B60)</f>
        <v>Originación voz on-net</v>
      </c>
      <c r="D116" s="99" t="s">
        <v>134</v>
      </c>
      <c r="E116" s="99"/>
      <c r="F116" s="103">
        <v>0</v>
      </c>
    </row>
    <row r="117" spans="3:6" x14ac:dyDescent="0.2">
      <c r="C117" s="12" t="str">
        <f>IF(Supuestos!B61="","",Supuestos!B61)</f>
        <v>Originación voz off-net móvil</v>
      </c>
      <c r="D117" s="99" t="s">
        <v>134</v>
      </c>
      <c r="E117" s="99"/>
      <c r="F117" s="103">
        <v>0</v>
      </c>
    </row>
    <row r="118" spans="3:6" x14ac:dyDescent="0.2">
      <c r="C118" s="12" t="str">
        <f>IF(Supuestos!B62="","",Supuestos!B62)</f>
        <v>Originación voz fijo</v>
      </c>
      <c r="D118" s="99" t="s">
        <v>134</v>
      </c>
      <c r="E118" s="99"/>
      <c r="F118" s="103">
        <v>0</v>
      </c>
    </row>
    <row r="119" spans="3:6" x14ac:dyDescent="0.2">
      <c r="C119" s="12" t="str">
        <f>IF(Supuestos!B63="","",Supuestos!B63)</f>
        <v>Originación voz internacional USA-Canadá</v>
      </c>
      <c r="D119" s="99" t="s">
        <v>134</v>
      </c>
      <c r="E119" s="99"/>
      <c r="F119" s="103">
        <v>0</v>
      </c>
    </row>
    <row r="120" spans="3:6" x14ac:dyDescent="0.2">
      <c r="C120" s="12" t="str">
        <f>IF(Supuestos!B64="","",Supuestos!B64)</f>
        <v xml:space="preserve">Originación voz internacional Mundial </v>
      </c>
      <c r="D120" s="99" t="s">
        <v>134</v>
      </c>
      <c r="E120" s="99"/>
      <c r="F120" s="103">
        <v>0</v>
      </c>
    </row>
    <row r="121" spans="3:6" x14ac:dyDescent="0.2">
      <c r="C121" s="12" t="str">
        <f>IF(Supuestos!B65="","",Supuestos!B65)</f>
        <v>Originación voz internacional Cuba</v>
      </c>
      <c r="D121" s="99" t="s">
        <v>134</v>
      </c>
      <c r="E121" s="99"/>
      <c r="F121" s="103">
        <v>0</v>
      </c>
    </row>
    <row r="122" spans="3:6" x14ac:dyDescent="0.2">
      <c r="C122" s="12" t="str">
        <f>IF(Supuestos!B66="","",Supuestos!B66)</f>
        <v/>
      </c>
      <c r="D122" s="99"/>
      <c r="E122" s="99"/>
      <c r="F122" s="103"/>
    </row>
    <row r="123" spans="3:6" x14ac:dyDescent="0.2">
      <c r="C123" s="12" t="str">
        <f>IF(Supuestos!B67="","",Supuestos!B67)</f>
        <v/>
      </c>
      <c r="D123" s="99"/>
      <c r="E123" s="99"/>
      <c r="F123" s="103"/>
    </row>
    <row r="124" spans="3:6" x14ac:dyDescent="0.2">
      <c r="C124" s="12" t="str">
        <f>IF(Supuestos!B68="","",Supuestos!B68)</f>
        <v/>
      </c>
      <c r="D124" s="99"/>
      <c r="E124" s="99"/>
      <c r="F124" s="103"/>
    </row>
    <row r="125" spans="3:6" x14ac:dyDescent="0.2">
      <c r="C125" s="12" t="str">
        <f>IF(Supuestos!B69="","",Supuestos!B69)</f>
        <v/>
      </c>
      <c r="D125" s="99"/>
      <c r="E125" s="99"/>
      <c r="F125" s="103"/>
    </row>
    <row r="126" spans="3:6" x14ac:dyDescent="0.2">
      <c r="C126" s="12" t="str">
        <f>IF(Supuestos!B70="","",Supuestos!B70)</f>
        <v/>
      </c>
      <c r="D126" s="99"/>
      <c r="E126" s="99"/>
      <c r="F126" s="103"/>
    </row>
    <row r="127" spans="3:6" x14ac:dyDescent="0.2">
      <c r="C127" s="12" t="str">
        <f>IF(Supuestos!B71="","",Supuestos!B71)</f>
        <v>Originación SMS OMV</v>
      </c>
      <c r="D127" s="99" t="s">
        <v>134</v>
      </c>
      <c r="E127" s="99"/>
      <c r="F127" s="103">
        <v>0</v>
      </c>
    </row>
    <row r="128" spans="3:6" x14ac:dyDescent="0.2">
      <c r="C128" s="12" t="str">
        <f>IF(Supuestos!B72="","",Supuestos!B72)</f>
        <v>Originación SMS on-net</v>
      </c>
      <c r="D128" s="99" t="s">
        <v>134</v>
      </c>
      <c r="E128" s="99"/>
      <c r="F128" s="103">
        <v>0</v>
      </c>
    </row>
    <row r="129" spans="3:6" x14ac:dyDescent="0.2">
      <c r="C129" s="12" t="str">
        <f>IF(Supuestos!B73="","",Supuestos!B73)</f>
        <v>Originación SMS off-net</v>
      </c>
      <c r="D129" s="99" t="s">
        <v>134</v>
      </c>
      <c r="E129" s="99"/>
      <c r="F129" s="103">
        <v>0</v>
      </c>
    </row>
    <row r="130" spans="3:6" x14ac:dyDescent="0.2">
      <c r="C130" s="12" t="str">
        <f>IF(Supuestos!B74="","",Supuestos!B74)</f>
        <v>Originación SMS otros servicios (SVA)</v>
      </c>
      <c r="D130" s="99" t="s">
        <v>134</v>
      </c>
      <c r="E130" s="99"/>
      <c r="F130" s="103">
        <v>0</v>
      </c>
    </row>
    <row r="131" spans="3:6" x14ac:dyDescent="0.2">
      <c r="C131" s="12" t="str">
        <f>IF(Supuestos!B75="","",Supuestos!B75)</f>
        <v>Otros servicios (incluyendo marcaciones especiales)</v>
      </c>
      <c r="D131" s="99" t="s">
        <v>134</v>
      </c>
      <c r="E131" s="99"/>
      <c r="F131" s="103">
        <v>0</v>
      </c>
    </row>
  </sheetData>
  <mergeCells count="5">
    <mergeCell ref="B82:B86"/>
    <mergeCell ref="B87:B97"/>
    <mergeCell ref="B98:B100"/>
    <mergeCell ref="B80:B81"/>
    <mergeCell ref="C108:G108"/>
  </mergeCells>
  <conditionalFormatting sqref="F22">
    <cfRule type="containsText" dxfId="5" priority="4" operator="containsText" text="Error">
      <formula>NOT(ISERROR(SEARCH("Error",F22)))</formula>
    </cfRule>
    <cfRule type="containsText" dxfId="4" priority="5" operator="containsText" text="Ok">
      <formula>NOT(ISERROR(SEARCH("Ok",F22)))</formula>
    </cfRule>
    <cfRule type="expression" dxfId="3" priority="6">
      <formula>"Ok"</formula>
    </cfRule>
  </conditionalFormatting>
  <conditionalFormatting sqref="F104">
    <cfRule type="containsText" dxfId="2" priority="1" operator="containsText" text="Error">
      <formula>NOT(ISERROR(SEARCH("Error",F104)))</formula>
    </cfRule>
    <cfRule type="containsText" dxfId="1" priority="2" operator="containsText" text="Ok">
      <formula>NOT(ISERROR(SEARCH("Ok",F104)))</formula>
    </cfRule>
    <cfRule type="expression" dxfId="0" priority="3">
      <formula>"Ok"</formula>
    </cfRule>
  </conditionalFormatting>
  <hyperlinks>
    <hyperlink ref="C3" location="'Resultados &gt;&gt;'!A1" display="Ir a Resultados &gt;&gt;" xr:uid="{C569F7FC-5FD0-4F7F-B31E-F8F19CC6CE2E}"/>
  </hyperlinks>
  <pageMargins left="0.7" right="0.7" top="0.75" bottom="0.75" header="0.3" footer="0.3"/>
  <ignoredErrors>
    <ignoredError sqref="F29:G2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24CF-89A2-42EA-BA75-88FBA993D0EB}">
  <sheetPr>
    <tabColor theme="7" tint="0.79998168889431442"/>
  </sheetPr>
  <dimension ref="B1:G58"/>
  <sheetViews>
    <sheetView showGridLines="0" zoomScaleNormal="100" workbookViewId="0"/>
  </sheetViews>
  <sheetFormatPr baseColWidth="10" defaultColWidth="8.7109375" defaultRowHeight="12.75" x14ac:dyDescent="0.2"/>
  <cols>
    <col min="1" max="1" width="1.7109375" customWidth="1"/>
    <col min="3" max="3" width="47.28515625" customWidth="1"/>
    <col min="4" max="5" width="15.85546875" customWidth="1"/>
    <col min="6" max="6" width="17" bestFit="1" customWidth="1"/>
    <col min="7" max="7" width="60.5703125" customWidth="1"/>
  </cols>
  <sheetData>
    <row r="1" spans="2:6" s="1" customFormat="1" ht="20.25" x14ac:dyDescent="0.3">
      <c r="B1" s="1" t="s">
        <v>169</v>
      </c>
    </row>
    <row r="3" spans="2:6" ht="20.100000000000001" customHeight="1" x14ac:dyDescent="0.2">
      <c r="C3" s="34" t="s">
        <v>53</v>
      </c>
    </row>
    <row r="5" spans="2:6" x14ac:dyDescent="0.2">
      <c r="C5" s="44" t="s">
        <v>54</v>
      </c>
      <c r="D5" s="158" t="s">
        <v>55</v>
      </c>
      <c r="E5" s="158" t="s">
        <v>56</v>
      </c>
    </row>
    <row r="6" spans="2:6" x14ac:dyDescent="0.2">
      <c r="D6" s="150">
        <f>Supuestos!$C$5</f>
        <v>44197</v>
      </c>
      <c r="E6" s="150">
        <f>Supuestos!$C$6</f>
        <v>44286</v>
      </c>
    </row>
    <row r="8" spans="2:6" x14ac:dyDescent="0.2">
      <c r="C8" s="235" t="s">
        <v>146</v>
      </c>
      <c r="D8" s="236"/>
      <c r="E8" s="236"/>
      <c r="F8" s="237"/>
    </row>
    <row r="10" spans="2:6" s="46" customFormat="1" ht="15.6" customHeight="1" x14ac:dyDescent="0.2">
      <c r="B10" s="46" t="s">
        <v>147</v>
      </c>
    </row>
    <row r="12" spans="2:6" x14ac:dyDescent="0.2">
      <c r="C12" s="75" t="s">
        <v>57</v>
      </c>
      <c r="D12" s="238" t="s">
        <v>170</v>
      </c>
      <c r="E12" s="238"/>
    </row>
    <row r="13" spans="2:6" x14ac:dyDescent="0.2">
      <c r="C13" s="75"/>
    </row>
    <row r="14" spans="2:6" x14ac:dyDescent="0.2">
      <c r="C14" s="112" t="s">
        <v>211</v>
      </c>
      <c r="D14" s="114">
        <v>0.11</v>
      </c>
      <c r="E14" s="217" t="s">
        <v>240</v>
      </c>
    </row>
    <row r="15" spans="2:6" x14ac:dyDescent="0.2">
      <c r="C15" s="12" t="s">
        <v>153</v>
      </c>
      <c r="D15" s="114">
        <v>0.11</v>
      </c>
      <c r="E15" s="217" t="s">
        <v>240</v>
      </c>
    </row>
    <row r="16" spans="2:6" x14ac:dyDescent="0.2">
      <c r="C16" s="12" t="s">
        <v>154</v>
      </c>
      <c r="D16" s="114">
        <v>0.12</v>
      </c>
      <c r="E16" s="217" t="s">
        <v>240</v>
      </c>
    </row>
    <row r="17" spans="3:7" x14ac:dyDescent="0.2">
      <c r="C17" s="12" t="s">
        <v>155</v>
      </c>
      <c r="D17" s="42"/>
      <c r="E17" s="42"/>
    </row>
    <row r="18" spans="3:7" x14ac:dyDescent="0.2">
      <c r="C18" s="12"/>
      <c r="D18" s="42"/>
      <c r="E18" s="42"/>
    </row>
    <row r="19" spans="3:7" x14ac:dyDescent="0.2">
      <c r="D19" s="113" t="s">
        <v>162</v>
      </c>
      <c r="E19" s="113" t="s">
        <v>162</v>
      </c>
    </row>
    <row r="20" spans="3:7" x14ac:dyDescent="0.2">
      <c r="C20" s="112" t="s">
        <v>210</v>
      </c>
      <c r="D20" s="50" t="s">
        <v>163</v>
      </c>
      <c r="E20" s="50" t="s">
        <v>164</v>
      </c>
    </row>
    <row r="21" spans="3:7" x14ac:dyDescent="0.2">
      <c r="C21" s="12" t="s">
        <v>156</v>
      </c>
      <c r="D21" s="117">
        <v>10</v>
      </c>
      <c r="E21" s="117">
        <v>7</v>
      </c>
      <c r="F21" s="218" t="s">
        <v>240</v>
      </c>
    </row>
    <row r="22" spans="3:7" x14ac:dyDescent="0.2">
      <c r="C22" s="12" t="s">
        <v>157</v>
      </c>
      <c r="D22" s="117">
        <v>10</v>
      </c>
      <c r="E22" s="117">
        <v>7</v>
      </c>
      <c r="F22" s="218" t="s">
        <v>240</v>
      </c>
    </row>
    <row r="23" spans="3:7" x14ac:dyDescent="0.2">
      <c r="C23" s="12" t="s">
        <v>158</v>
      </c>
      <c r="D23" s="117">
        <v>14</v>
      </c>
      <c r="E23" s="117">
        <v>10</v>
      </c>
      <c r="F23" s="218" t="s">
        <v>240</v>
      </c>
    </row>
    <row r="24" spans="3:7" x14ac:dyDescent="0.2">
      <c r="C24" s="12" t="s">
        <v>159</v>
      </c>
      <c r="D24" s="117">
        <v>0</v>
      </c>
      <c r="E24" s="117">
        <v>0</v>
      </c>
      <c r="F24" s="218" t="s">
        <v>240</v>
      </c>
    </row>
    <row r="25" spans="3:7" ht="38.1" customHeight="1" x14ac:dyDescent="0.2">
      <c r="C25" s="115" t="s">
        <v>160</v>
      </c>
      <c r="D25" s="182">
        <v>25000</v>
      </c>
    </row>
    <row r="27" spans="3:7" x14ac:dyDescent="0.2">
      <c r="D27" s="113" t="s">
        <v>162</v>
      </c>
    </row>
    <row r="28" spans="3:7" x14ac:dyDescent="0.2">
      <c r="C28" s="112" t="s">
        <v>161</v>
      </c>
      <c r="D28" s="118">
        <v>50000</v>
      </c>
      <c r="E28" s="218" t="s">
        <v>240</v>
      </c>
      <c r="F28" s="116"/>
    </row>
    <row r="29" spans="3:7" x14ac:dyDescent="0.2">
      <c r="D29" s="113"/>
      <c r="E29" s="113"/>
    </row>
    <row r="30" spans="3:7" ht="29.1" customHeight="1" x14ac:dyDescent="0.2">
      <c r="C30" s="222" t="s">
        <v>168</v>
      </c>
      <c r="D30" s="223"/>
      <c r="E30" s="223"/>
      <c r="F30" s="224"/>
    </row>
    <row r="31" spans="3:7" x14ac:dyDescent="0.2">
      <c r="C31" s="116"/>
      <c r="D31" s="113"/>
      <c r="E31" s="113"/>
    </row>
    <row r="32" spans="3:7" x14ac:dyDescent="0.2">
      <c r="C32" s="189" t="s">
        <v>165</v>
      </c>
      <c r="D32" s="191" t="s">
        <v>166</v>
      </c>
      <c r="E32" s="113" t="s">
        <v>167</v>
      </c>
      <c r="G32" s="44" t="s">
        <v>33</v>
      </c>
    </row>
    <row r="33" spans="2:7" x14ac:dyDescent="0.2">
      <c r="B33" s="180" t="s">
        <v>96</v>
      </c>
      <c r="C33" s="183" t="str">
        <f>IF(Supuestos!B57="","",Supuestos!B57)</f>
        <v>Datos</v>
      </c>
      <c r="D33" s="114">
        <v>0</v>
      </c>
      <c r="E33" s="190">
        <f>$D$16</f>
        <v>0.12</v>
      </c>
      <c r="F33" s="218" t="s">
        <v>240</v>
      </c>
      <c r="G33" s="179" t="s">
        <v>207</v>
      </c>
    </row>
    <row r="34" spans="2:7" x14ac:dyDescent="0.2">
      <c r="B34" s="229" t="s">
        <v>212</v>
      </c>
      <c r="C34" s="109" t="str">
        <f>IF(Supuestos!B58="","",Supuestos!B58)</f>
        <v>Originación voz mismo OMV</v>
      </c>
      <c r="D34" s="186">
        <v>0</v>
      </c>
      <c r="E34" s="119">
        <f>$D$14</f>
        <v>0.11</v>
      </c>
      <c r="F34" s="218" t="s">
        <v>240</v>
      </c>
      <c r="G34" s="12"/>
    </row>
    <row r="35" spans="2:7" x14ac:dyDescent="0.2">
      <c r="B35" s="230"/>
      <c r="C35" t="str">
        <f>IF(Supuestos!B59="","",Supuestos!B59)</f>
        <v>Originación voz on-net otro OMV</v>
      </c>
      <c r="D35" s="114">
        <v>0.18690000000000001</v>
      </c>
      <c r="E35" s="119">
        <f t="shared" ref="E35:E41" si="0">$D$14</f>
        <v>0.11</v>
      </c>
      <c r="F35" s="218" t="s">
        <v>240</v>
      </c>
      <c r="G35" s="12"/>
    </row>
    <row r="36" spans="2:7" x14ac:dyDescent="0.2">
      <c r="B36" s="230"/>
      <c r="C36" t="str">
        <f>IF(Supuestos!B60="","",Supuestos!B60)</f>
        <v>Originación voz on-net</v>
      </c>
      <c r="D36" s="114">
        <v>3.088E-3</v>
      </c>
      <c r="E36" s="119">
        <f t="shared" si="0"/>
        <v>0.11</v>
      </c>
      <c r="F36" s="218" t="s">
        <v>240</v>
      </c>
      <c r="G36" s="12"/>
    </row>
    <row r="37" spans="2:7" x14ac:dyDescent="0.2">
      <c r="B37" s="230"/>
      <c r="C37" s="109" t="str">
        <f>IF(Supuestos!B61="","",Supuestos!B61)</f>
        <v>Originación voz off-net móvil</v>
      </c>
      <c r="D37" s="114">
        <v>0</v>
      </c>
      <c r="E37" s="119">
        <f t="shared" si="0"/>
        <v>0.11</v>
      </c>
      <c r="F37" s="218" t="s">
        <v>240</v>
      </c>
      <c r="G37" s="12"/>
    </row>
    <row r="38" spans="2:7" x14ac:dyDescent="0.2">
      <c r="B38" s="230"/>
      <c r="C38" t="str">
        <f>IF(Supuestos!B62="","",Supuestos!B62)</f>
        <v>Originación voz fijo</v>
      </c>
      <c r="D38" s="114">
        <v>0.18690000000000001</v>
      </c>
      <c r="E38" s="119">
        <f t="shared" si="0"/>
        <v>0.11</v>
      </c>
      <c r="F38" s="218" t="s">
        <v>240</v>
      </c>
      <c r="G38" s="12"/>
    </row>
    <row r="39" spans="2:7" x14ac:dyDescent="0.2">
      <c r="B39" s="230"/>
      <c r="C39" s="7" t="str">
        <f>IF(Supuestos!B63="","",Supuestos!B63)</f>
        <v>Originación voz internacional USA-Canadá</v>
      </c>
      <c r="D39" s="114">
        <v>3.088E-3</v>
      </c>
      <c r="E39" s="119">
        <f t="shared" si="0"/>
        <v>0.11</v>
      </c>
      <c r="F39" s="218" t="s">
        <v>240</v>
      </c>
      <c r="G39" s="12"/>
    </row>
    <row r="40" spans="2:7" x14ac:dyDescent="0.2">
      <c r="B40" s="230"/>
      <c r="C40" s="7" t="str">
        <f>IF(Supuestos!B64="","",Supuestos!B64)</f>
        <v xml:space="preserve">Originación voz internacional Mundial </v>
      </c>
      <c r="D40" s="114">
        <v>0.5</v>
      </c>
      <c r="E40" s="119">
        <f t="shared" si="0"/>
        <v>0.11</v>
      </c>
      <c r="F40" s="218" t="s">
        <v>240</v>
      </c>
      <c r="G40" s="12"/>
    </row>
    <row r="41" spans="2:7" x14ac:dyDescent="0.2">
      <c r="B41" s="230"/>
      <c r="C41" s="7" t="str">
        <f>IF(Supuestos!B65="","",Supuestos!B65)</f>
        <v>Originación voz internacional Cuba</v>
      </c>
      <c r="D41" s="114">
        <v>2.5</v>
      </c>
      <c r="E41" s="119">
        <f t="shared" si="0"/>
        <v>0.11</v>
      </c>
      <c r="F41" s="218" t="s">
        <v>240</v>
      </c>
      <c r="G41" s="12"/>
    </row>
    <row r="42" spans="2:7" x14ac:dyDescent="0.2">
      <c r="B42" s="230"/>
      <c r="C42" s="7" t="str">
        <f>IF(Supuestos!B66="","",Supuestos!B66)</f>
        <v/>
      </c>
      <c r="D42" s="114"/>
      <c r="E42" s="119"/>
      <c r="F42" s="218"/>
      <c r="G42" s="12"/>
    </row>
    <row r="43" spans="2:7" x14ac:dyDescent="0.2">
      <c r="B43" s="230"/>
      <c r="C43" s="7" t="str">
        <f>IF(Supuestos!B67="","",Supuestos!B67)</f>
        <v/>
      </c>
      <c r="D43" s="114"/>
      <c r="E43" s="119"/>
      <c r="F43" s="218"/>
      <c r="G43" s="12"/>
    </row>
    <row r="44" spans="2:7" x14ac:dyDescent="0.2">
      <c r="B44" s="230"/>
      <c r="C44" s="7" t="str">
        <f>IF(Supuestos!B68="","",Supuestos!B68)</f>
        <v/>
      </c>
      <c r="D44" s="114"/>
      <c r="E44" s="119"/>
      <c r="F44" s="218"/>
      <c r="G44" s="12"/>
    </row>
    <row r="45" spans="2:7" x14ac:dyDescent="0.2">
      <c r="B45" s="230"/>
      <c r="C45" s="7" t="str">
        <f>IF(Supuestos!B69="","",Supuestos!B69)</f>
        <v/>
      </c>
      <c r="D45" s="114"/>
      <c r="E45" s="119"/>
      <c r="F45" s="218"/>
      <c r="G45" s="12"/>
    </row>
    <row r="46" spans="2:7" x14ac:dyDescent="0.2">
      <c r="B46" s="231"/>
      <c r="C46" s="7" t="str">
        <f>IF(Supuestos!B70="","",Supuestos!B70)</f>
        <v/>
      </c>
      <c r="D46" s="114"/>
      <c r="E46" s="119"/>
      <c r="F46" s="218"/>
      <c r="G46" s="12"/>
    </row>
    <row r="47" spans="2:7" x14ac:dyDescent="0.2">
      <c r="B47" s="229" t="s">
        <v>213</v>
      </c>
      <c r="C47" s="184" t="str">
        <f>IF(Supuestos!B71="","",Supuestos!B71)</f>
        <v>Originación SMS OMV</v>
      </c>
      <c r="D47" s="186">
        <v>0</v>
      </c>
      <c r="E47" s="188">
        <f>$D$15</f>
        <v>0.11</v>
      </c>
      <c r="F47" s="218" t="s">
        <v>240</v>
      </c>
      <c r="G47" s="12"/>
    </row>
    <row r="48" spans="2:7" x14ac:dyDescent="0.2">
      <c r="B48" s="230"/>
      <c r="C48" s="7" t="str">
        <f>IF(Supuestos!B72="","",Supuestos!B72)</f>
        <v>Originación SMS on-net</v>
      </c>
      <c r="D48" s="114">
        <v>1.7354999999999999E-2</v>
      </c>
      <c r="E48" s="119">
        <f t="shared" ref="E48:E50" si="1">$D$15</f>
        <v>0.11</v>
      </c>
      <c r="F48" s="218" t="s">
        <v>240</v>
      </c>
      <c r="G48" s="12"/>
    </row>
    <row r="49" spans="2:7" x14ac:dyDescent="0.2">
      <c r="B49" s="230"/>
      <c r="C49" t="str">
        <f>IF(Supuestos!B73="","",Supuestos!B73)</f>
        <v>Originación SMS off-net</v>
      </c>
      <c r="D49" s="114">
        <v>0.5</v>
      </c>
      <c r="E49" s="119">
        <f t="shared" si="1"/>
        <v>0.11</v>
      </c>
      <c r="F49" s="218" t="s">
        <v>240</v>
      </c>
      <c r="G49" s="12"/>
    </row>
    <row r="50" spans="2:7" x14ac:dyDescent="0.2">
      <c r="B50" s="231"/>
      <c r="C50" s="185" t="str">
        <f>IF(Supuestos!B74="","",Supuestos!B74)</f>
        <v>Originación SMS otros servicios (SVA)</v>
      </c>
      <c r="D50" s="114">
        <v>0.75</v>
      </c>
      <c r="E50" s="187">
        <f t="shared" si="1"/>
        <v>0.11</v>
      </c>
      <c r="F50" s="218" t="s">
        <v>240</v>
      </c>
      <c r="G50" s="12"/>
    </row>
    <row r="51" spans="2:7" x14ac:dyDescent="0.2">
      <c r="B51" s="193" t="s">
        <v>131</v>
      </c>
      <c r="C51" s="192" t="str">
        <f>IF(Supuestos!B75="","",Supuestos!B75)</f>
        <v>Otros servicios (incluyendo marcaciones especiales)</v>
      </c>
      <c r="D51" s="194">
        <v>0</v>
      </c>
      <c r="E51" s="119">
        <f t="shared" ref="E51" si="2">$D$14</f>
        <v>0.11</v>
      </c>
      <c r="F51" s="218" t="s">
        <v>240</v>
      </c>
      <c r="G51" s="12"/>
    </row>
    <row r="52" spans="2:7" x14ac:dyDescent="0.2">
      <c r="C52" t="str">
        <f>IF(Supuestos!B76="","",Supuestos!B76)</f>
        <v/>
      </c>
      <c r="E52" s="195"/>
    </row>
    <row r="53" spans="2:7" ht="32.450000000000003" customHeight="1" x14ac:dyDescent="0.2">
      <c r="B53" s="222" t="s">
        <v>220</v>
      </c>
      <c r="C53" s="223"/>
      <c r="D53" s="223"/>
      <c r="E53" s="224"/>
    </row>
    <row r="54" spans="2:7" x14ac:dyDescent="0.2">
      <c r="E54" s="56"/>
    </row>
    <row r="55" spans="2:7" s="46" customFormat="1" ht="15.6" customHeight="1" x14ac:dyDescent="0.2">
      <c r="B55" s="46" t="s">
        <v>171</v>
      </c>
    </row>
    <row r="57" spans="2:7" x14ac:dyDescent="0.2">
      <c r="C57" s="75" t="s">
        <v>57</v>
      </c>
      <c r="D57" s="74" t="s">
        <v>170</v>
      </c>
      <c r="E57" s="74"/>
    </row>
    <row r="58" spans="2:7" x14ac:dyDescent="0.2">
      <c r="C58" s="51" t="s">
        <v>172</v>
      </c>
      <c r="D58" s="143">
        <v>4.4409999999999996E-3</v>
      </c>
      <c r="E58" s="218" t="s">
        <v>240</v>
      </c>
    </row>
  </sheetData>
  <mergeCells count="6">
    <mergeCell ref="B34:B46"/>
    <mergeCell ref="B47:B50"/>
    <mergeCell ref="B53:E53"/>
    <mergeCell ref="C8:F8"/>
    <mergeCell ref="C30:F30"/>
    <mergeCell ref="D12:E12"/>
  </mergeCells>
  <hyperlinks>
    <hyperlink ref="C3" location="'Resultados &gt;&gt;'!A1" display="Ir a Resultados &gt;&gt;" xr:uid="{5875868C-6B52-4A97-A618-EB20980C653E}"/>
    <hyperlink ref="G33" r:id="rId1" xr:uid="{FEEE28E6-547A-4E00-8B97-0F865CA5F67A}"/>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4405-342E-410C-B2FB-72B072480299}">
  <sheetPr>
    <tabColor theme="7" tint="0.79998168889431442"/>
  </sheetPr>
  <dimension ref="B1:T43"/>
  <sheetViews>
    <sheetView showGridLines="0" zoomScaleNormal="100" workbookViewId="0"/>
  </sheetViews>
  <sheetFormatPr baseColWidth="10" defaultColWidth="8.7109375" defaultRowHeight="12.75" x14ac:dyDescent="0.2"/>
  <cols>
    <col min="1" max="1" width="1.7109375" customWidth="1"/>
    <col min="2" max="2" width="31.140625" customWidth="1"/>
    <col min="3" max="3" width="14.28515625" bestFit="1" customWidth="1"/>
    <col min="4" max="4" width="12.42578125" bestFit="1" customWidth="1"/>
    <col min="5" max="8" width="12.5703125" customWidth="1"/>
    <col min="9" max="9" width="11.140625" bestFit="1" customWidth="1"/>
    <col min="10" max="10" width="11.140625" customWidth="1"/>
    <col min="11" max="11" width="12.42578125" customWidth="1"/>
    <col min="12" max="12" width="10.7109375" bestFit="1" customWidth="1"/>
    <col min="13" max="13" width="27.140625" customWidth="1"/>
    <col min="14" max="14" width="15.140625" customWidth="1"/>
    <col min="15" max="15" width="14.140625" customWidth="1"/>
    <col min="16" max="16" width="14.42578125" customWidth="1"/>
    <col min="20" max="20" width="24.85546875" bestFit="1" customWidth="1"/>
    <col min="21" max="21" width="14.140625" bestFit="1" customWidth="1"/>
  </cols>
  <sheetData>
    <row r="1" spans="2:20" s="1" customFormat="1" ht="20.25" x14ac:dyDescent="0.3">
      <c r="B1" s="1" t="s">
        <v>224</v>
      </c>
    </row>
    <row r="3" spans="2:20" x14ac:dyDescent="0.2">
      <c r="B3" s="44" t="s">
        <v>54</v>
      </c>
      <c r="C3" s="158" t="s">
        <v>55</v>
      </c>
      <c r="D3" s="158" t="s">
        <v>56</v>
      </c>
    </row>
    <row r="4" spans="2:20" x14ac:dyDescent="0.2">
      <c r="C4" s="150">
        <f>Supuestos!$C$5</f>
        <v>44197</v>
      </c>
      <c r="D4" s="150">
        <f>Supuestos!$C$6</f>
        <v>44286</v>
      </c>
    </row>
    <row r="6" spans="2:20" x14ac:dyDescent="0.2">
      <c r="B6" s="75" t="s">
        <v>57</v>
      </c>
      <c r="C6" s="227" t="s">
        <v>228</v>
      </c>
      <c r="D6" s="227"/>
      <c r="E6" s="227"/>
      <c r="F6" s="227"/>
      <c r="G6" s="227"/>
      <c r="H6" s="227"/>
      <c r="I6" s="227"/>
      <c r="J6" s="227"/>
      <c r="K6" s="227"/>
      <c r="L6" s="200"/>
      <c r="N6" s="227" t="s">
        <v>42</v>
      </c>
      <c r="O6" s="227"/>
      <c r="P6" s="227"/>
      <c r="Q6" s="200"/>
      <c r="R6" s="200"/>
      <c r="S6" s="200"/>
      <c r="T6" s="200"/>
    </row>
    <row r="7" spans="2:20" ht="18.95" customHeight="1" x14ac:dyDescent="0.2">
      <c r="C7" s="125" t="str">
        <f>TEXT(C4,"mmm-yy")</f>
        <v>Jan-21</v>
      </c>
      <c r="D7" s="199" t="str">
        <f>TEXT(C7+32,"mmm-yy")</f>
        <v>Feb-21</v>
      </c>
      <c r="E7" s="199" t="str">
        <f t="shared" ref="E7:H7" si="0">TEXT(D7+32,"mmm-yy")</f>
        <v>Mar-21</v>
      </c>
      <c r="F7" s="199" t="str">
        <f t="shared" si="0"/>
        <v>Apr-21</v>
      </c>
      <c r="G7" s="199" t="str">
        <f t="shared" si="0"/>
        <v>May-21</v>
      </c>
      <c r="H7" s="199" t="str">
        <f t="shared" si="0"/>
        <v>Jun-21</v>
      </c>
      <c r="I7" s="126" t="s">
        <v>91</v>
      </c>
      <c r="J7" s="126"/>
      <c r="K7" s="126"/>
      <c r="L7" s="201"/>
      <c r="M7" s="204" t="str">
        <f>_xlfn.CONCAT(C7," - ", H7)</f>
        <v>Jan-21 - Jun-21</v>
      </c>
      <c r="O7" s="206"/>
      <c r="P7" s="206"/>
    </row>
    <row r="8" spans="2:20" x14ac:dyDescent="0.2">
      <c r="B8" s="67" t="s">
        <v>69</v>
      </c>
      <c r="C8" s="81">
        <f>SUM(C9:C11)</f>
        <v>3401432</v>
      </c>
      <c r="D8" s="81">
        <f t="shared" ref="D8:H8" si="1">SUM(D9:D11)</f>
        <v>3401432</v>
      </c>
      <c r="E8" s="81">
        <f t="shared" si="1"/>
        <v>3401432</v>
      </c>
      <c r="F8" s="81">
        <f t="shared" si="1"/>
        <v>3401432</v>
      </c>
      <c r="G8" s="81">
        <f t="shared" si="1"/>
        <v>3401432</v>
      </c>
      <c r="H8" s="81">
        <f t="shared" si="1"/>
        <v>3401432</v>
      </c>
      <c r="I8" s="81">
        <f>AVERAGE(C8:H8)</f>
        <v>3401432</v>
      </c>
      <c r="J8" s="206"/>
      <c r="K8" s="206"/>
      <c r="M8" s="67" t="s">
        <v>229</v>
      </c>
      <c r="N8" s="81">
        <f>SUM(N9:N10)</f>
        <v>150000000</v>
      </c>
      <c r="O8" s="208"/>
      <c r="P8" s="208"/>
    </row>
    <row r="9" spans="2:20" x14ac:dyDescent="0.2">
      <c r="B9" s="198" t="s">
        <v>67</v>
      </c>
      <c r="C9" s="78">
        <v>1800766</v>
      </c>
      <c r="D9" s="78">
        <v>1800766</v>
      </c>
      <c r="E9" s="78">
        <v>1800766</v>
      </c>
      <c r="F9" s="78">
        <v>1800766</v>
      </c>
      <c r="G9" s="78">
        <v>1800766</v>
      </c>
      <c r="H9" s="78">
        <v>1800766</v>
      </c>
      <c r="I9" s="80">
        <f>AVERAGE(C9:H9)</f>
        <v>1800766</v>
      </c>
      <c r="J9" s="208"/>
      <c r="K9" s="208"/>
      <c r="M9" s="198" t="s">
        <v>67</v>
      </c>
      <c r="N9" s="78">
        <v>75000000</v>
      </c>
      <c r="O9" s="208"/>
      <c r="P9" s="208"/>
    </row>
    <row r="10" spans="2:20" x14ac:dyDescent="0.2">
      <c r="B10" s="198" t="s">
        <v>71</v>
      </c>
      <c r="C10" s="78">
        <v>800333</v>
      </c>
      <c r="D10" s="78">
        <v>800333</v>
      </c>
      <c r="E10" s="78">
        <v>800333</v>
      </c>
      <c r="F10" s="78">
        <v>800333</v>
      </c>
      <c r="G10" s="78">
        <v>800333</v>
      </c>
      <c r="H10" s="78">
        <v>800333</v>
      </c>
      <c r="I10" s="80">
        <f t="shared" ref="I10:I11" si="2">AVERAGE(C10:H10)</f>
        <v>800333</v>
      </c>
      <c r="J10" s="208"/>
      <c r="K10" s="208"/>
      <c r="M10" s="198" t="s">
        <v>225</v>
      </c>
      <c r="N10" s="78">
        <v>75000000</v>
      </c>
      <c r="O10" s="206"/>
      <c r="P10" s="206"/>
    </row>
    <row r="11" spans="2:20" x14ac:dyDescent="0.2">
      <c r="B11" s="198" t="s">
        <v>72</v>
      </c>
      <c r="C11" s="78">
        <v>800333</v>
      </c>
      <c r="D11" s="78">
        <v>800333</v>
      </c>
      <c r="E11" s="78">
        <v>800333</v>
      </c>
      <c r="F11" s="78">
        <v>800333</v>
      </c>
      <c r="G11" s="78">
        <v>800333</v>
      </c>
      <c r="H11" s="78">
        <v>800333</v>
      </c>
      <c r="I11" s="80">
        <f t="shared" si="2"/>
        <v>800333</v>
      </c>
      <c r="J11" s="80"/>
      <c r="K11" s="80"/>
      <c r="P11" s="80"/>
    </row>
    <row r="12" spans="2:20" ht="25.5" x14ac:dyDescent="0.2">
      <c r="B12" s="49"/>
      <c r="J12" s="211" t="s">
        <v>231</v>
      </c>
      <c r="K12" s="211" t="s">
        <v>232</v>
      </c>
      <c r="O12" s="126" t="s">
        <v>231</v>
      </c>
      <c r="P12" s="126" t="s">
        <v>232</v>
      </c>
    </row>
    <row r="13" spans="2:20" x14ac:dyDescent="0.2">
      <c r="B13" s="67" t="s">
        <v>67</v>
      </c>
      <c r="C13" s="202">
        <v>3500000</v>
      </c>
      <c r="D13" s="202">
        <v>3500000</v>
      </c>
      <c r="E13" s="202">
        <v>4500000</v>
      </c>
      <c r="F13" s="202">
        <v>4500000</v>
      </c>
      <c r="G13" s="202">
        <v>3500000</v>
      </c>
      <c r="H13" s="202">
        <v>3500000</v>
      </c>
      <c r="I13" s="205">
        <f>AVERAGE(C13:H13)</f>
        <v>3833333.3333333335</v>
      </c>
      <c r="J13" s="212"/>
      <c r="K13" s="212"/>
      <c r="M13" s="67" t="s">
        <v>67</v>
      </c>
      <c r="N13" s="202">
        <v>35000000</v>
      </c>
      <c r="O13" s="215"/>
      <c r="P13" s="207"/>
    </row>
    <row r="14" spans="2:20" x14ac:dyDescent="0.2">
      <c r="B14" s="198" t="s">
        <v>241</v>
      </c>
      <c r="C14" s="78">
        <v>1000000</v>
      </c>
      <c r="D14" s="78">
        <v>1000000</v>
      </c>
      <c r="E14" s="78">
        <v>2000000</v>
      </c>
      <c r="F14" s="78">
        <v>2000000</v>
      </c>
      <c r="G14" s="78">
        <v>1000000</v>
      </c>
      <c r="H14" s="78">
        <v>1000000</v>
      </c>
      <c r="I14" s="80">
        <f>AVERAGE(C14:H14)</f>
        <v>1333333.3333333333</v>
      </c>
      <c r="J14" s="210">
        <f>RANK($I14,$I$14:$I$16)</f>
        <v>1</v>
      </c>
      <c r="K14" s="209">
        <f>SUM($I$14:$I14)/$I$13</f>
        <v>0.34782608695652173</v>
      </c>
      <c r="M14" s="198" t="s">
        <v>241</v>
      </c>
      <c r="N14" s="78">
        <v>50000000</v>
      </c>
      <c r="O14" s="210">
        <f>RANK($I14,$I$14:$I$16)</f>
        <v>1</v>
      </c>
      <c r="P14" s="209">
        <f>SUM($N$14:$N14)/$N$13</f>
        <v>1.4285714285714286</v>
      </c>
    </row>
    <row r="15" spans="2:20" x14ac:dyDescent="0.2">
      <c r="B15" s="198" t="s">
        <v>242</v>
      </c>
      <c r="C15" s="78">
        <v>1000000</v>
      </c>
      <c r="D15" s="78">
        <v>1000000</v>
      </c>
      <c r="E15" s="78">
        <v>2000000</v>
      </c>
      <c r="F15" s="78">
        <v>2000000</v>
      </c>
      <c r="G15" s="78">
        <v>1000000</v>
      </c>
      <c r="H15" s="78">
        <v>1000000</v>
      </c>
      <c r="I15" s="80">
        <f t="shared" ref="I15" si="3">AVERAGE(C15:H15)</f>
        <v>1333333.3333333333</v>
      </c>
      <c r="J15" s="210">
        <f t="shared" ref="J15:J16" si="4">RANK($I15,$I$14:$I$16)</f>
        <v>1</v>
      </c>
      <c r="K15" s="209">
        <f>SUM($I$14:$I15)/$I$13</f>
        <v>0.69565217391304346</v>
      </c>
      <c r="M15" s="198" t="s">
        <v>242</v>
      </c>
      <c r="N15" s="78">
        <v>50000000</v>
      </c>
      <c r="O15" s="210">
        <f t="shared" ref="O15:O16" si="5">RANK($I15,$I$14:$I$16)</f>
        <v>1</v>
      </c>
      <c r="P15" s="209">
        <f>SUM($N$14:$N15)/$N$13</f>
        <v>2.8571428571428572</v>
      </c>
    </row>
    <row r="16" spans="2:20" x14ac:dyDescent="0.2">
      <c r="B16" s="198" t="s">
        <v>243</v>
      </c>
      <c r="C16" s="78">
        <v>1000000</v>
      </c>
      <c r="D16" s="78">
        <v>1000000</v>
      </c>
      <c r="E16" s="78">
        <v>2000000</v>
      </c>
      <c r="F16" s="78">
        <v>2000000</v>
      </c>
      <c r="G16" s="78">
        <v>1000000</v>
      </c>
      <c r="H16" s="78">
        <v>1000000</v>
      </c>
      <c r="I16" s="80">
        <f>AVERAGE(C16:H16)</f>
        <v>1333333.3333333333</v>
      </c>
      <c r="J16" s="210">
        <f t="shared" si="4"/>
        <v>1</v>
      </c>
      <c r="K16" s="209">
        <f>SUM($I$14:$I16)/$I$13</f>
        <v>1.0434782608695652</v>
      </c>
      <c r="M16" s="198" t="s">
        <v>243</v>
      </c>
      <c r="N16" s="78">
        <v>50000000</v>
      </c>
      <c r="O16" s="210">
        <f t="shared" si="5"/>
        <v>1</v>
      </c>
      <c r="P16" s="209">
        <f>SUM($N$14:$N16)/$N$13</f>
        <v>4.2857142857142856</v>
      </c>
    </row>
    <row r="17" spans="2:18" x14ac:dyDescent="0.2">
      <c r="B17" s="67" t="s">
        <v>226</v>
      </c>
      <c r="C17" s="81">
        <f>SUM(C14:C16)</f>
        <v>3000000</v>
      </c>
      <c r="D17" s="81">
        <f t="shared" ref="D17:H17" si="6">SUM(D14:D16)</f>
        <v>3000000</v>
      </c>
      <c r="E17" s="81">
        <f t="shared" si="6"/>
        <v>6000000</v>
      </c>
      <c r="F17" s="81">
        <f t="shared" si="6"/>
        <v>6000000</v>
      </c>
      <c r="G17" s="81">
        <f t="shared" si="6"/>
        <v>3000000</v>
      </c>
      <c r="H17" s="81">
        <f t="shared" si="6"/>
        <v>3000000</v>
      </c>
      <c r="I17" s="81">
        <f>AVERAGE(C17:H17)</f>
        <v>4000000</v>
      </c>
      <c r="J17" s="210"/>
      <c r="K17" s="213"/>
      <c r="M17" s="67" t="s">
        <v>226</v>
      </c>
      <c r="N17" s="81">
        <f>SUM(N14:N16)</f>
        <v>150000000</v>
      </c>
      <c r="O17" s="206"/>
      <c r="P17" s="206"/>
    </row>
    <row r="18" spans="2:18" x14ac:dyDescent="0.2">
      <c r="B18" s="49"/>
      <c r="C18" s="203">
        <f>C17/C13</f>
        <v>0.8571428571428571</v>
      </c>
      <c r="D18" s="203">
        <f t="shared" ref="D18:I18" si="7">D17/D13</f>
        <v>0.8571428571428571</v>
      </c>
      <c r="E18" s="203">
        <f t="shared" si="7"/>
        <v>1.3333333333333333</v>
      </c>
      <c r="F18" s="203">
        <f t="shared" si="7"/>
        <v>1.3333333333333333</v>
      </c>
      <c r="G18" s="203">
        <f t="shared" si="7"/>
        <v>0.8571428571428571</v>
      </c>
      <c r="H18" s="203">
        <f t="shared" si="7"/>
        <v>0.8571428571428571</v>
      </c>
      <c r="I18" s="203">
        <f t="shared" si="7"/>
        <v>1.0434782608695652</v>
      </c>
      <c r="J18" s="209"/>
      <c r="K18" s="209"/>
      <c r="N18" s="203">
        <f>N17/N13</f>
        <v>4.2857142857142856</v>
      </c>
      <c r="O18" s="209"/>
      <c r="P18" s="209"/>
    </row>
    <row r="19" spans="2:18" x14ac:dyDescent="0.2">
      <c r="B19" s="49"/>
      <c r="J19" s="214"/>
      <c r="K19" s="214"/>
      <c r="O19" s="56"/>
      <c r="P19" s="56"/>
    </row>
    <row r="20" spans="2:18" x14ac:dyDescent="0.2">
      <c r="B20" s="67" t="s">
        <v>68</v>
      </c>
      <c r="C20" s="202">
        <v>13500000</v>
      </c>
      <c r="D20" s="202">
        <v>13500000</v>
      </c>
      <c r="E20" s="202">
        <v>13500000</v>
      </c>
      <c r="F20" s="202">
        <v>13500000</v>
      </c>
      <c r="G20" s="202">
        <v>13500000</v>
      </c>
      <c r="H20" s="202">
        <v>13500000</v>
      </c>
      <c r="I20" s="205">
        <f>AVERAGE(C20:H20)</f>
        <v>13500000</v>
      </c>
      <c r="J20" s="212"/>
      <c r="K20" s="212"/>
      <c r="M20" s="67" t="s">
        <v>68</v>
      </c>
      <c r="N20" s="202">
        <v>45000000</v>
      </c>
      <c r="O20" s="215"/>
      <c r="P20" s="207"/>
    </row>
    <row r="21" spans="2:18" x14ac:dyDescent="0.2">
      <c r="B21" s="198" t="s">
        <v>244</v>
      </c>
      <c r="C21" s="78">
        <v>1000000</v>
      </c>
      <c r="D21" s="78">
        <v>1000000</v>
      </c>
      <c r="E21" s="78">
        <v>1000000</v>
      </c>
      <c r="F21" s="78">
        <v>1000000</v>
      </c>
      <c r="G21" s="78">
        <v>1000000</v>
      </c>
      <c r="H21" s="78">
        <v>1000000</v>
      </c>
      <c r="I21" s="80">
        <f>AVERAGE(C21:H21)</f>
        <v>1000000</v>
      </c>
      <c r="J21" s="210">
        <f>RANK($I21,$I$21:$I$32)</f>
        <v>1</v>
      </c>
      <c r="K21" s="209">
        <f>SUM($I$21:$I21)/$I$20</f>
        <v>7.407407407407407E-2</v>
      </c>
      <c r="L21" s="209"/>
      <c r="M21" s="198" t="s">
        <v>244</v>
      </c>
      <c r="N21" s="78">
        <v>3000000</v>
      </c>
      <c r="O21" s="210">
        <f>RANK($N21,$N$21:$N$32)</f>
        <v>1</v>
      </c>
      <c r="P21" s="209">
        <f>SUM($N$21:$N21)/$N$20</f>
        <v>6.6666666666666666E-2</v>
      </c>
      <c r="R21" s="209"/>
    </row>
    <row r="22" spans="2:18" x14ac:dyDescent="0.2">
      <c r="B22" s="198" t="s">
        <v>245</v>
      </c>
      <c r="C22" s="78">
        <v>1000000</v>
      </c>
      <c r="D22" s="78">
        <v>1000000</v>
      </c>
      <c r="E22" s="78">
        <v>1000000</v>
      </c>
      <c r="F22" s="78">
        <v>1000000</v>
      </c>
      <c r="G22" s="78">
        <v>1000000</v>
      </c>
      <c r="H22" s="78">
        <v>1000000</v>
      </c>
      <c r="I22" s="80">
        <f t="shared" ref="I22:I32" si="8">AVERAGE(C22:H22)</f>
        <v>1000000</v>
      </c>
      <c r="J22" s="210">
        <f t="shared" ref="J22:J32" si="9">RANK($I22,$I$21:$I$32)</f>
        <v>1</v>
      </c>
      <c r="K22" s="209">
        <f>SUM($I$21:$I22)/$I$20</f>
        <v>0.14814814814814814</v>
      </c>
      <c r="L22" s="209"/>
      <c r="M22" s="198" t="s">
        <v>245</v>
      </c>
      <c r="N22" s="78">
        <v>3000000</v>
      </c>
      <c r="O22" s="210">
        <f t="shared" ref="O22:O32" si="10">RANK($N22,$N$21:$N$32)</f>
        <v>1</v>
      </c>
      <c r="P22" s="209">
        <f>SUM($N$21:$N22)/$N$20</f>
        <v>0.13333333333333333</v>
      </c>
      <c r="R22" s="209"/>
    </row>
    <row r="23" spans="2:18" x14ac:dyDescent="0.2">
      <c r="B23" s="198" t="s">
        <v>246</v>
      </c>
      <c r="C23" s="78">
        <v>1000000</v>
      </c>
      <c r="D23" s="78">
        <v>1000000</v>
      </c>
      <c r="E23" s="78">
        <v>1000000</v>
      </c>
      <c r="F23" s="78">
        <v>1000000</v>
      </c>
      <c r="G23" s="78">
        <v>1000000</v>
      </c>
      <c r="H23" s="78">
        <v>1000000</v>
      </c>
      <c r="I23" s="80">
        <f t="shared" si="8"/>
        <v>1000000</v>
      </c>
      <c r="J23" s="210">
        <f t="shared" si="9"/>
        <v>1</v>
      </c>
      <c r="K23" s="209">
        <f>SUM($I$21:$I23)/$I$20</f>
        <v>0.22222222222222221</v>
      </c>
      <c r="L23" s="209"/>
      <c r="M23" s="198" t="s">
        <v>246</v>
      </c>
      <c r="N23" s="78">
        <v>3000000</v>
      </c>
      <c r="O23" s="210">
        <f t="shared" si="10"/>
        <v>1</v>
      </c>
      <c r="P23" s="209">
        <f>SUM($N$21:$N23)/$N$20</f>
        <v>0.2</v>
      </c>
      <c r="R23" s="209"/>
    </row>
    <row r="24" spans="2:18" x14ac:dyDescent="0.2">
      <c r="B24" s="198" t="s">
        <v>247</v>
      </c>
      <c r="C24" s="78">
        <v>1000000</v>
      </c>
      <c r="D24" s="78">
        <v>1000000</v>
      </c>
      <c r="E24" s="78">
        <v>1000000</v>
      </c>
      <c r="F24" s="78">
        <v>1000000</v>
      </c>
      <c r="G24" s="78">
        <v>1000000</v>
      </c>
      <c r="H24" s="78">
        <v>1000000</v>
      </c>
      <c r="I24" s="80">
        <f t="shared" si="8"/>
        <v>1000000</v>
      </c>
      <c r="J24" s="210">
        <f t="shared" si="9"/>
        <v>1</v>
      </c>
      <c r="K24" s="209">
        <f>SUM($I$21:$I24)/$I$20</f>
        <v>0.29629629629629628</v>
      </c>
      <c r="L24" s="209"/>
      <c r="M24" s="198" t="s">
        <v>247</v>
      </c>
      <c r="N24" s="78">
        <v>3000000</v>
      </c>
      <c r="O24" s="210">
        <f t="shared" si="10"/>
        <v>1</v>
      </c>
      <c r="P24" s="209">
        <f>SUM($N$21:$N24)/$N$20</f>
        <v>0.26666666666666666</v>
      </c>
      <c r="R24" s="209"/>
    </row>
    <row r="25" spans="2:18" x14ac:dyDescent="0.2">
      <c r="B25" s="198" t="s">
        <v>248</v>
      </c>
      <c r="C25" s="78">
        <v>1000000</v>
      </c>
      <c r="D25" s="78">
        <v>1000000</v>
      </c>
      <c r="E25" s="78">
        <v>1000000</v>
      </c>
      <c r="F25" s="78">
        <v>1000000</v>
      </c>
      <c r="G25" s="78">
        <v>1000000</v>
      </c>
      <c r="H25" s="78">
        <v>1000000</v>
      </c>
      <c r="I25" s="80">
        <f t="shared" si="8"/>
        <v>1000000</v>
      </c>
      <c r="J25" s="210">
        <f t="shared" si="9"/>
        <v>1</v>
      </c>
      <c r="K25" s="209">
        <f>SUM($I$21:$I25)/$I$20</f>
        <v>0.37037037037037035</v>
      </c>
      <c r="L25" s="209"/>
      <c r="M25" s="198" t="s">
        <v>248</v>
      </c>
      <c r="N25" s="78">
        <v>3000000</v>
      </c>
      <c r="O25" s="210">
        <f t="shared" si="10"/>
        <v>1</v>
      </c>
      <c r="P25" s="209">
        <f>SUM($N$21:$N25)/$N$20</f>
        <v>0.33333333333333331</v>
      </c>
      <c r="R25" s="209"/>
    </row>
    <row r="26" spans="2:18" x14ac:dyDescent="0.2">
      <c r="B26" s="198" t="s">
        <v>249</v>
      </c>
      <c r="C26" s="78">
        <v>1000000</v>
      </c>
      <c r="D26" s="78">
        <v>1000000</v>
      </c>
      <c r="E26" s="78">
        <v>1000000</v>
      </c>
      <c r="F26" s="78">
        <v>1000000</v>
      </c>
      <c r="G26" s="78">
        <v>1000000</v>
      </c>
      <c r="H26" s="78">
        <v>1000000</v>
      </c>
      <c r="I26" s="80">
        <f t="shared" si="8"/>
        <v>1000000</v>
      </c>
      <c r="J26" s="210">
        <f t="shared" si="9"/>
        <v>1</v>
      </c>
      <c r="K26" s="209">
        <f>SUM($I$21:$I26)/$I$20</f>
        <v>0.44444444444444442</v>
      </c>
      <c r="L26" s="209"/>
      <c r="M26" s="198" t="s">
        <v>249</v>
      </c>
      <c r="N26" s="78">
        <v>3000000</v>
      </c>
      <c r="O26" s="210">
        <f t="shared" si="10"/>
        <v>1</v>
      </c>
      <c r="P26" s="209">
        <f>SUM($N$21:$N26)/$N$20</f>
        <v>0.4</v>
      </c>
      <c r="R26" s="209"/>
    </row>
    <row r="27" spans="2:18" x14ac:dyDescent="0.2">
      <c r="B27" s="198" t="s">
        <v>250</v>
      </c>
      <c r="C27" s="78">
        <v>1000000</v>
      </c>
      <c r="D27" s="78">
        <v>1000000</v>
      </c>
      <c r="E27" s="78">
        <v>1000000</v>
      </c>
      <c r="F27" s="78">
        <v>1000000</v>
      </c>
      <c r="G27" s="78">
        <v>1000000</v>
      </c>
      <c r="H27" s="78">
        <v>1000000</v>
      </c>
      <c r="I27" s="80">
        <f t="shared" si="8"/>
        <v>1000000</v>
      </c>
      <c r="J27" s="210">
        <f t="shared" si="9"/>
        <v>1</v>
      </c>
      <c r="K27" s="209">
        <f>SUM($I$21:$I27)/$I$20</f>
        <v>0.51851851851851849</v>
      </c>
      <c r="L27" s="209"/>
      <c r="M27" s="198" t="s">
        <v>250</v>
      </c>
      <c r="N27" s="78">
        <v>3000000</v>
      </c>
      <c r="O27" s="210">
        <f t="shared" si="10"/>
        <v>1</v>
      </c>
      <c r="P27" s="209">
        <f>SUM($N$21:$N27)/$N$20</f>
        <v>0.46666666666666667</v>
      </c>
      <c r="R27" s="209"/>
    </row>
    <row r="28" spans="2:18" x14ac:dyDescent="0.2">
      <c r="B28" s="198" t="s">
        <v>251</v>
      </c>
      <c r="C28" s="78">
        <v>1000000</v>
      </c>
      <c r="D28" s="78">
        <v>1000000</v>
      </c>
      <c r="E28" s="78">
        <v>1000000</v>
      </c>
      <c r="F28" s="78">
        <v>1000000</v>
      </c>
      <c r="G28" s="78">
        <v>1000000</v>
      </c>
      <c r="H28" s="78">
        <v>1000000</v>
      </c>
      <c r="I28" s="80">
        <f t="shared" si="8"/>
        <v>1000000</v>
      </c>
      <c r="J28" s="210">
        <f t="shared" si="9"/>
        <v>1</v>
      </c>
      <c r="K28" s="209">
        <f>SUM($I$21:$I28)/$I$20</f>
        <v>0.59259259259259256</v>
      </c>
      <c r="L28" s="209"/>
      <c r="M28" s="198" t="s">
        <v>251</v>
      </c>
      <c r="N28" s="78">
        <v>3000000</v>
      </c>
      <c r="O28" s="210">
        <f t="shared" si="10"/>
        <v>1</v>
      </c>
      <c r="P28" s="209">
        <f>SUM($N$21:$N28)/$N$20</f>
        <v>0.53333333333333333</v>
      </c>
      <c r="R28" s="209"/>
    </row>
    <row r="29" spans="2:18" x14ac:dyDescent="0.2">
      <c r="B29" s="198" t="s">
        <v>252</v>
      </c>
      <c r="C29" s="78">
        <v>1000000</v>
      </c>
      <c r="D29" s="78">
        <v>1000000</v>
      </c>
      <c r="E29" s="78">
        <v>1000000</v>
      </c>
      <c r="F29" s="78">
        <v>1000000</v>
      </c>
      <c r="G29" s="78">
        <v>1000000</v>
      </c>
      <c r="H29" s="78">
        <v>1000000</v>
      </c>
      <c r="I29" s="80">
        <f t="shared" si="8"/>
        <v>1000000</v>
      </c>
      <c r="J29" s="210">
        <f t="shared" si="9"/>
        <v>1</v>
      </c>
      <c r="K29" s="209">
        <f>SUM($I$21:$I29)/$I$20</f>
        <v>0.66666666666666663</v>
      </c>
      <c r="L29" s="209"/>
      <c r="M29" s="198" t="s">
        <v>252</v>
      </c>
      <c r="N29" s="78">
        <v>3000000</v>
      </c>
      <c r="O29" s="210">
        <f t="shared" si="10"/>
        <v>1</v>
      </c>
      <c r="P29" s="209">
        <f>SUM($N$21:$N29)/$N$20</f>
        <v>0.6</v>
      </c>
      <c r="R29" s="209"/>
    </row>
    <row r="30" spans="2:18" x14ac:dyDescent="0.2">
      <c r="B30" s="198" t="s">
        <v>253</v>
      </c>
      <c r="C30" s="78">
        <v>1000000</v>
      </c>
      <c r="D30" s="78">
        <v>1000000</v>
      </c>
      <c r="E30" s="78">
        <v>1000000</v>
      </c>
      <c r="F30" s="78">
        <v>1000000</v>
      </c>
      <c r="G30" s="78">
        <v>1000000</v>
      </c>
      <c r="H30" s="78">
        <v>1000000</v>
      </c>
      <c r="I30" s="80">
        <f t="shared" si="8"/>
        <v>1000000</v>
      </c>
      <c r="J30" s="210">
        <f t="shared" si="9"/>
        <v>1</v>
      </c>
      <c r="K30" s="209">
        <f>SUM($I$21:$I30)/$I$20</f>
        <v>0.7407407407407407</v>
      </c>
      <c r="L30" s="209"/>
      <c r="M30" s="198" t="s">
        <v>253</v>
      </c>
      <c r="N30" s="78">
        <v>3000000</v>
      </c>
      <c r="O30" s="210">
        <f t="shared" si="10"/>
        <v>1</v>
      </c>
      <c r="P30" s="209">
        <f>SUM($N$21:$N30)/$N$20</f>
        <v>0.66666666666666663</v>
      </c>
      <c r="R30" s="209"/>
    </row>
    <row r="31" spans="2:18" x14ac:dyDescent="0.2">
      <c r="B31" s="198" t="s">
        <v>254</v>
      </c>
      <c r="C31" s="78">
        <v>1000000</v>
      </c>
      <c r="D31" s="78">
        <v>1000000</v>
      </c>
      <c r="E31" s="78">
        <v>1000000</v>
      </c>
      <c r="F31" s="78">
        <v>1000000</v>
      </c>
      <c r="G31" s="78">
        <v>1000000</v>
      </c>
      <c r="H31" s="78">
        <v>1000000</v>
      </c>
      <c r="I31" s="80">
        <f t="shared" si="8"/>
        <v>1000000</v>
      </c>
      <c r="J31" s="210">
        <f t="shared" si="9"/>
        <v>1</v>
      </c>
      <c r="K31" s="209">
        <f>SUM($I$21:$I31)/$I$20</f>
        <v>0.81481481481481477</v>
      </c>
      <c r="L31" s="209"/>
      <c r="M31" s="198" t="s">
        <v>254</v>
      </c>
      <c r="N31" s="78">
        <v>3000000</v>
      </c>
      <c r="O31" s="210">
        <f t="shared" si="10"/>
        <v>1</v>
      </c>
      <c r="P31" s="209">
        <f>SUM($N$21:$N31)/$N$20</f>
        <v>0.73333333333333328</v>
      </c>
      <c r="R31" s="209"/>
    </row>
    <row r="32" spans="2:18" x14ac:dyDescent="0.2">
      <c r="B32" s="198" t="s">
        <v>255</v>
      </c>
      <c r="C32" s="78">
        <v>1000000</v>
      </c>
      <c r="D32" s="78">
        <v>1000000</v>
      </c>
      <c r="E32" s="78">
        <v>1000000</v>
      </c>
      <c r="F32" s="78">
        <v>1000000</v>
      </c>
      <c r="G32" s="78">
        <v>1000000</v>
      </c>
      <c r="H32" s="78">
        <v>1000000</v>
      </c>
      <c r="I32" s="80">
        <f t="shared" si="8"/>
        <v>1000000</v>
      </c>
      <c r="J32" s="210">
        <f t="shared" si="9"/>
        <v>1</v>
      </c>
      <c r="K32" s="209">
        <f>SUM($I$21:$I32)/$I$20</f>
        <v>0.88888888888888884</v>
      </c>
      <c r="L32" s="209"/>
      <c r="M32" s="198" t="s">
        <v>255</v>
      </c>
      <c r="N32" s="78">
        <v>3000000</v>
      </c>
      <c r="O32" s="210">
        <f t="shared" si="10"/>
        <v>1</v>
      </c>
      <c r="P32" s="209">
        <f>SUM($N$21:$N32)/$N$20</f>
        <v>0.8</v>
      </c>
      <c r="R32" s="209"/>
    </row>
    <row r="33" spans="2:16" x14ac:dyDescent="0.2">
      <c r="B33" s="67" t="s">
        <v>227</v>
      </c>
      <c r="C33" s="81">
        <f>SUM(C21:C32)</f>
        <v>12000000</v>
      </c>
      <c r="D33" s="81">
        <f t="shared" ref="D33:H33" si="11">SUM(D21:D32)</f>
        <v>12000000</v>
      </c>
      <c r="E33" s="81">
        <f t="shared" si="11"/>
        <v>12000000</v>
      </c>
      <c r="F33" s="81">
        <f t="shared" si="11"/>
        <v>12000000</v>
      </c>
      <c r="G33" s="81">
        <f t="shared" si="11"/>
        <v>12000000</v>
      </c>
      <c r="H33" s="81">
        <f t="shared" si="11"/>
        <v>12000000</v>
      </c>
      <c r="I33" s="81">
        <f>AVERAGE(C33:H33)</f>
        <v>12000000</v>
      </c>
      <c r="J33" s="213"/>
      <c r="K33" s="213"/>
      <c r="M33" s="67" t="s">
        <v>227</v>
      </c>
      <c r="N33" s="81">
        <f>SUM(N21:N32)</f>
        <v>36000000</v>
      </c>
      <c r="O33" s="206"/>
      <c r="P33" s="206"/>
    </row>
    <row r="34" spans="2:16" x14ac:dyDescent="0.2">
      <c r="B34" s="49"/>
      <c r="C34" s="203">
        <f>C33/C20</f>
        <v>0.88888888888888884</v>
      </c>
      <c r="D34" s="203">
        <f t="shared" ref="D34:I34" si="12">D33/D20</f>
        <v>0.88888888888888884</v>
      </c>
      <c r="E34" s="203">
        <f t="shared" si="12"/>
        <v>0.88888888888888884</v>
      </c>
      <c r="F34" s="203">
        <f t="shared" si="12"/>
        <v>0.88888888888888884</v>
      </c>
      <c r="G34" s="203">
        <f t="shared" si="12"/>
        <v>0.88888888888888884</v>
      </c>
      <c r="H34" s="203">
        <f t="shared" si="12"/>
        <v>0.88888888888888884</v>
      </c>
      <c r="I34" s="203">
        <f t="shared" si="12"/>
        <v>0.88888888888888884</v>
      </c>
      <c r="J34" s="209"/>
      <c r="K34" s="209"/>
      <c r="N34" s="203">
        <f t="shared" ref="N34" si="13">N33/N20</f>
        <v>0.8</v>
      </c>
      <c r="O34" s="203"/>
    </row>
    <row r="36" spans="2:16" s="46" customFormat="1" ht="15.6" customHeight="1" x14ac:dyDescent="0.2">
      <c r="B36" s="46" t="s">
        <v>230</v>
      </c>
    </row>
    <row r="38" spans="2:16" x14ac:dyDescent="0.2">
      <c r="B38" s="181" t="s">
        <v>256</v>
      </c>
      <c r="C38" s="218" t="s">
        <v>239</v>
      </c>
    </row>
    <row r="39" spans="2:16" x14ac:dyDescent="0.2">
      <c r="B39" s="181" t="s">
        <v>257</v>
      </c>
      <c r="C39" s="218" t="s">
        <v>239</v>
      </c>
    </row>
    <row r="40" spans="2:16" x14ac:dyDescent="0.2">
      <c r="B40" s="181" t="s">
        <v>258</v>
      </c>
      <c r="C40" s="218" t="s">
        <v>239</v>
      </c>
    </row>
    <row r="41" spans="2:16" x14ac:dyDescent="0.2">
      <c r="B41" s="181" t="s">
        <v>259</v>
      </c>
      <c r="C41" s="218" t="s">
        <v>239</v>
      </c>
    </row>
    <row r="42" spans="2:16" x14ac:dyDescent="0.2">
      <c r="B42" s="181" t="s">
        <v>260</v>
      </c>
      <c r="C42" s="218" t="s">
        <v>239</v>
      </c>
    </row>
    <row r="43" spans="2:16" x14ac:dyDescent="0.2">
      <c r="B43" s="181" t="s">
        <v>261</v>
      </c>
      <c r="C43" s="218" t="s">
        <v>239</v>
      </c>
    </row>
  </sheetData>
  <mergeCells count="2">
    <mergeCell ref="C6:K6"/>
    <mergeCell ref="N6:P6"/>
  </mergeCells>
  <phoneticPr fontId="55" type="noConversion"/>
  <pageMargins left="0.7" right="0.7" top="0.75" bottom="0.75" header="0.3" footer="0.3"/>
  <pageSetup paperSize="9" orientation="portrait" r:id="rId1"/>
  <ignoredErrors>
    <ignoredError sqref="C7:H7" unlockedFormula="1"/>
    <ignoredError sqref="D17:I17" formulaRange="1" unlockedFormula="1"/>
    <ignoredError sqref="C17 C33:H33 N17 N33 P22:P31 P1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CA3A7-AC84-4EF9-9D94-3887B2BE4F37}">
  <sheetPr>
    <tabColor theme="2" tint="-9.9978637043366805E-2"/>
  </sheetPr>
  <dimension ref="B1:D101"/>
  <sheetViews>
    <sheetView showGridLines="0" workbookViewId="0"/>
  </sheetViews>
  <sheetFormatPr baseColWidth="10" defaultColWidth="8.7109375" defaultRowHeight="12.75" x14ac:dyDescent="0.2"/>
  <cols>
    <col min="1" max="1" width="1.7109375" style="90" customWidth="1"/>
    <col min="2" max="2" width="45.5703125" style="90" customWidth="1"/>
    <col min="3" max="11" width="11.85546875" style="90" customWidth="1"/>
    <col min="12" max="16384" width="8.7109375" style="90"/>
  </cols>
  <sheetData>
    <row r="1" spans="2:3" s="1" customFormat="1" ht="20.25" x14ac:dyDescent="0.3">
      <c r="B1" s="1" t="s">
        <v>101</v>
      </c>
    </row>
    <row r="2" spans="2:3" s="89" customFormat="1" x14ac:dyDescent="0.2"/>
    <row r="3" spans="2:3" s="46" customFormat="1" ht="15.6" customHeight="1" x14ac:dyDescent="0.2">
      <c r="B3" s="46" t="s">
        <v>54</v>
      </c>
    </row>
    <row r="4" spans="2:3" s="89" customFormat="1" x14ac:dyDescent="0.2"/>
    <row r="5" spans="2:3" s="89" customFormat="1" x14ac:dyDescent="0.2">
      <c r="B5" s="12" t="s">
        <v>55</v>
      </c>
      <c r="C5" s="111">
        <v>44197</v>
      </c>
    </row>
    <row r="6" spans="2:3" s="89" customFormat="1" x14ac:dyDescent="0.2">
      <c r="B6" s="12" t="s">
        <v>56</v>
      </c>
      <c r="C6" s="111">
        <v>44286</v>
      </c>
    </row>
    <row r="7" spans="2:3" s="89" customFormat="1" x14ac:dyDescent="0.2">
      <c r="B7" s="12" t="s">
        <v>107</v>
      </c>
      <c r="C7" s="177">
        <v>3</v>
      </c>
    </row>
    <row r="8" spans="2:3" s="89" customFormat="1" x14ac:dyDescent="0.2"/>
    <row r="9" spans="2:3" s="46" customFormat="1" ht="15.6" customHeight="1" x14ac:dyDescent="0.2">
      <c r="B9" s="46" t="s">
        <v>106</v>
      </c>
    </row>
    <row r="10" spans="2:3" s="89" customFormat="1" x14ac:dyDescent="0.2"/>
    <row r="11" spans="2:3" s="89" customFormat="1" x14ac:dyDescent="0.2">
      <c r="B11" s="12" t="s">
        <v>103</v>
      </c>
      <c r="C11" s="177">
        <v>24</v>
      </c>
    </row>
    <row r="12" spans="2:3" s="89" customFormat="1" x14ac:dyDescent="0.2"/>
    <row r="13" spans="2:3" s="89" customFormat="1" x14ac:dyDescent="0.2">
      <c r="B13" s="12" t="s">
        <v>105</v>
      </c>
      <c r="C13" s="178">
        <f>C11/C7</f>
        <v>8</v>
      </c>
    </row>
    <row r="14" spans="2:3" s="89" customFormat="1" x14ac:dyDescent="0.2">
      <c r="B14" s="12"/>
      <c r="C14" s="91"/>
    </row>
    <row r="15" spans="2:3" s="46" customFormat="1" ht="15.6" customHeight="1" x14ac:dyDescent="0.2">
      <c r="B15" s="46" t="s">
        <v>109</v>
      </c>
    </row>
    <row r="17" spans="2:4" x14ac:dyDescent="0.2">
      <c r="B17" s="90" t="s">
        <v>109</v>
      </c>
      <c r="C17" s="92">
        <v>0.02</v>
      </c>
      <c r="D17" s="216" t="s">
        <v>239</v>
      </c>
    </row>
    <row r="18" spans="2:4" s="89" customFormat="1" x14ac:dyDescent="0.2">
      <c r="B18" s="12"/>
      <c r="C18" s="91"/>
    </row>
    <row r="19" spans="2:4" s="46" customFormat="1" ht="15.6" customHeight="1" x14ac:dyDescent="0.2">
      <c r="B19" s="46" t="s">
        <v>104</v>
      </c>
    </row>
    <row r="21" spans="2:4" x14ac:dyDescent="0.2">
      <c r="B21" s="90" t="s">
        <v>104</v>
      </c>
      <c r="C21" s="93">
        <v>300000</v>
      </c>
      <c r="D21" s="216" t="s">
        <v>239</v>
      </c>
    </row>
    <row r="22" spans="2:4" x14ac:dyDescent="0.2">
      <c r="B22" s="90" t="s">
        <v>110</v>
      </c>
      <c r="C22" s="94">
        <f>$C$17*$C$21</f>
        <v>6000</v>
      </c>
    </row>
    <row r="24" spans="2:4" s="46" customFormat="1" ht="15.6" customHeight="1" x14ac:dyDescent="0.2">
      <c r="B24" s="46" t="s">
        <v>108</v>
      </c>
    </row>
    <row r="26" spans="2:4" x14ac:dyDescent="0.2">
      <c r="B26" s="90" t="s">
        <v>108</v>
      </c>
      <c r="C26" s="95">
        <f>($C$22/'Informacion del AEP'!$H$29)</f>
        <v>1.7639629426665004E-3</v>
      </c>
      <c r="D26" s="216" t="s">
        <v>239</v>
      </c>
    </row>
    <row r="29" spans="2:4" s="46" customFormat="1" ht="15.6" customHeight="1" x14ac:dyDescent="0.2">
      <c r="B29" s="46" t="s">
        <v>200</v>
      </c>
    </row>
    <row r="31" spans="2:4" x14ac:dyDescent="0.2">
      <c r="B31" s="12" t="s">
        <v>114</v>
      </c>
      <c r="C31" s="102">
        <v>0.1</v>
      </c>
      <c r="D31" s="216" t="s">
        <v>239</v>
      </c>
    </row>
    <row r="32" spans="2:4" x14ac:dyDescent="0.2">
      <c r="B32" s="12" t="s">
        <v>63</v>
      </c>
      <c r="C32" s="102">
        <v>0.1</v>
      </c>
      <c r="D32" s="216" t="s">
        <v>239</v>
      </c>
    </row>
    <row r="33" spans="2:4" x14ac:dyDescent="0.2">
      <c r="B33" s="12" t="s">
        <v>64</v>
      </c>
      <c r="C33" s="102">
        <v>0.1</v>
      </c>
      <c r="D33" s="216" t="s">
        <v>239</v>
      </c>
    </row>
    <row r="34" spans="2:4" x14ac:dyDescent="0.2">
      <c r="B34" s="12" t="s">
        <v>115</v>
      </c>
      <c r="C34" s="102">
        <v>0.1</v>
      </c>
      <c r="D34" s="216" t="s">
        <v>239</v>
      </c>
    </row>
    <row r="35" spans="2:4" x14ac:dyDescent="0.2">
      <c r="B35" s="12" t="s">
        <v>116</v>
      </c>
      <c r="C35" s="102">
        <v>0.1</v>
      </c>
      <c r="D35" s="216" t="s">
        <v>239</v>
      </c>
    </row>
    <row r="36" spans="2:4" x14ac:dyDescent="0.2">
      <c r="B36" s="12" t="s">
        <v>117</v>
      </c>
      <c r="C36" s="102">
        <v>0.1</v>
      </c>
      <c r="D36" s="216" t="s">
        <v>239</v>
      </c>
    </row>
    <row r="37" spans="2:4" x14ac:dyDescent="0.2">
      <c r="B37" s="12" t="s">
        <v>118</v>
      </c>
      <c r="C37" s="102">
        <v>0.1</v>
      </c>
      <c r="D37" s="216" t="s">
        <v>239</v>
      </c>
    </row>
    <row r="38" spans="2:4" x14ac:dyDescent="0.2">
      <c r="B38" s="12" t="s">
        <v>119</v>
      </c>
      <c r="C38" s="102">
        <v>0.1</v>
      </c>
      <c r="D38" s="216" t="s">
        <v>239</v>
      </c>
    </row>
    <row r="39" spans="2:4" x14ac:dyDescent="0.2">
      <c r="B39" s="12" t="s">
        <v>120</v>
      </c>
      <c r="C39" s="102">
        <v>0.1</v>
      </c>
      <c r="D39" s="216" t="s">
        <v>239</v>
      </c>
    </row>
    <row r="40" spans="2:4" x14ac:dyDescent="0.2">
      <c r="B40" s="12" t="s">
        <v>136</v>
      </c>
      <c r="C40" s="102">
        <v>0.1</v>
      </c>
      <c r="D40" s="216" t="s">
        <v>239</v>
      </c>
    </row>
    <row r="41" spans="2:4" x14ac:dyDescent="0.2">
      <c r="B41" s="12" t="s">
        <v>137</v>
      </c>
      <c r="C41" s="102">
        <v>0.1</v>
      </c>
      <c r="D41" s="216" t="s">
        <v>239</v>
      </c>
    </row>
    <row r="42" spans="2:4" x14ac:dyDescent="0.2">
      <c r="B42" s="12" t="s">
        <v>138</v>
      </c>
      <c r="C42" s="102">
        <v>0.1</v>
      </c>
      <c r="D42" s="216" t="s">
        <v>239</v>
      </c>
    </row>
    <row r="43" spans="2:4" x14ac:dyDescent="0.2">
      <c r="B43" s="12" t="s">
        <v>139</v>
      </c>
      <c r="C43" s="102">
        <v>0.1</v>
      </c>
      <c r="D43" s="216" t="s">
        <v>239</v>
      </c>
    </row>
    <row r="44" spans="2:4" x14ac:dyDescent="0.2">
      <c r="B44" s="12" t="s">
        <v>140</v>
      </c>
      <c r="C44" s="102">
        <v>0.1</v>
      </c>
      <c r="D44" s="216" t="s">
        <v>239</v>
      </c>
    </row>
    <row r="45" spans="2:4" x14ac:dyDescent="0.2">
      <c r="B45" s="12" t="s">
        <v>141</v>
      </c>
      <c r="C45" s="102">
        <v>0.1</v>
      </c>
      <c r="D45" s="216" t="s">
        <v>239</v>
      </c>
    </row>
    <row r="46" spans="2:4" x14ac:dyDescent="0.2">
      <c r="B46" s="12" t="s">
        <v>142</v>
      </c>
      <c r="C46" s="102">
        <v>0.1</v>
      </c>
      <c r="D46" s="216" t="s">
        <v>239</v>
      </c>
    </row>
    <row r="47" spans="2:4" x14ac:dyDescent="0.2">
      <c r="B47" s="12" t="s">
        <v>143</v>
      </c>
      <c r="C47" s="102">
        <v>0.1</v>
      </c>
      <c r="D47" s="216" t="s">
        <v>239</v>
      </c>
    </row>
    <row r="48" spans="2:4" x14ac:dyDescent="0.2">
      <c r="B48" s="12" t="s">
        <v>121</v>
      </c>
      <c r="C48" s="102">
        <v>0.1</v>
      </c>
      <c r="D48" s="216" t="s">
        <v>239</v>
      </c>
    </row>
    <row r="49" spans="2:4" x14ac:dyDescent="0.2">
      <c r="B49" s="12" t="s">
        <v>122</v>
      </c>
      <c r="C49" s="102">
        <v>0.1</v>
      </c>
      <c r="D49" s="216" t="s">
        <v>239</v>
      </c>
    </row>
    <row r="50" spans="2:4" x14ac:dyDescent="0.2">
      <c r="B50" s="12" t="s">
        <v>123</v>
      </c>
      <c r="C50" s="102">
        <v>0.1</v>
      </c>
      <c r="D50" s="216" t="s">
        <v>239</v>
      </c>
    </row>
    <row r="51" spans="2:4" x14ac:dyDescent="0.2">
      <c r="B51" s="12" t="s">
        <v>144</v>
      </c>
      <c r="C51" s="102">
        <v>0.1</v>
      </c>
      <c r="D51" s="216" t="s">
        <v>239</v>
      </c>
    </row>
    <row r="52" spans="2:4" x14ac:dyDescent="0.2">
      <c r="B52" s="12" t="s">
        <v>124</v>
      </c>
      <c r="C52" s="102">
        <v>0.1</v>
      </c>
      <c r="D52" s="216" t="s">
        <v>239</v>
      </c>
    </row>
    <row r="53" spans="2:4" x14ac:dyDescent="0.2">
      <c r="B53" s="12" t="s">
        <v>125</v>
      </c>
      <c r="C53" s="102">
        <v>0.1</v>
      </c>
      <c r="D53" s="216" t="s">
        <v>239</v>
      </c>
    </row>
    <row r="54" spans="2:4" x14ac:dyDescent="0.2">
      <c r="C54" s="151"/>
    </row>
    <row r="55" spans="2:4" s="46" customFormat="1" ht="15.6" customHeight="1" x14ac:dyDescent="0.2">
      <c r="B55" s="46" t="s">
        <v>102</v>
      </c>
    </row>
    <row r="56" spans="2:4" s="89" customFormat="1" x14ac:dyDescent="0.2"/>
    <row r="57" spans="2:4" s="89" customFormat="1" x14ac:dyDescent="0.2">
      <c r="B57" s="12" t="s">
        <v>96</v>
      </c>
    </row>
    <row r="58" spans="2:4" s="89" customFormat="1" x14ac:dyDescent="0.2">
      <c r="B58" s="12" t="s">
        <v>215</v>
      </c>
    </row>
    <row r="59" spans="2:4" s="89" customFormat="1" x14ac:dyDescent="0.2">
      <c r="B59" s="12" t="s">
        <v>214</v>
      </c>
    </row>
    <row r="60" spans="2:4" s="89" customFormat="1" x14ac:dyDescent="0.2">
      <c r="B60" s="12" t="s">
        <v>216</v>
      </c>
    </row>
    <row r="61" spans="2:4" s="89" customFormat="1" x14ac:dyDescent="0.2">
      <c r="B61" s="12" t="s">
        <v>217</v>
      </c>
    </row>
    <row r="62" spans="2:4" s="89" customFormat="1" x14ac:dyDescent="0.2">
      <c r="B62" s="12" t="s">
        <v>218</v>
      </c>
    </row>
    <row r="63" spans="2:4" s="89" customFormat="1" ht="12.6" customHeight="1" x14ac:dyDescent="0.4">
      <c r="B63" s="12" t="s">
        <v>97</v>
      </c>
      <c r="C63" s="88"/>
    </row>
    <row r="64" spans="2:4" s="89" customFormat="1" x14ac:dyDescent="0.2">
      <c r="B64" s="12" t="s">
        <v>219</v>
      </c>
    </row>
    <row r="65" spans="2:2" s="89" customFormat="1" x14ac:dyDescent="0.2">
      <c r="B65" s="12" t="s">
        <v>98</v>
      </c>
    </row>
    <row r="66" spans="2:2" s="89" customFormat="1" x14ac:dyDescent="0.2">
      <c r="B66" s="12"/>
    </row>
    <row r="67" spans="2:2" s="89" customFormat="1" x14ac:dyDescent="0.2">
      <c r="B67" s="12"/>
    </row>
    <row r="68" spans="2:2" s="89" customFormat="1" x14ac:dyDescent="0.2">
      <c r="B68" s="12"/>
    </row>
    <row r="69" spans="2:2" s="89" customFormat="1" x14ac:dyDescent="0.2">
      <c r="B69" s="12"/>
    </row>
    <row r="70" spans="2:2" s="89" customFormat="1" x14ac:dyDescent="0.2">
      <c r="B70" s="12"/>
    </row>
    <row r="71" spans="2:2" s="89" customFormat="1" x14ac:dyDescent="0.2">
      <c r="B71" s="12" t="s">
        <v>221</v>
      </c>
    </row>
    <row r="72" spans="2:2" s="89" customFormat="1" x14ac:dyDescent="0.2">
      <c r="B72" s="12" t="s">
        <v>99</v>
      </c>
    </row>
    <row r="73" spans="2:2" s="89" customFormat="1" x14ac:dyDescent="0.2">
      <c r="B73" s="12" t="s">
        <v>222</v>
      </c>
    </row>
    <row r="74" spans="2:2" s="89" customFormat="1" x14ac:dyDescent="0.2">
      <c r="B74" s="12" t="s">
        <v>223</v>
      </c>
    </row>
    <row r="75" spans="2:2" s="89" customFormat="1" x14ac:dyDescent="0.2">
      <c r="B75" s="12" t="s">
        <v>100</v>
      </c>
    </row>
    <row r="76" spans="2:2" s="89" customFormat="1" x14ac:dyDescent="0.2"/>
    <row r="77" spans="2:2" s="46" customFormat="1" ht="15.6" customHeight="1" x14ac:dyDescent="0.2">
      <c r="B77" s="46" t="s">
        <v>189</v>
      </c>
    </row>
    <row r="79" spans="2:2" x14ac:dyDescent="0.2">
      <c r="B79" s="90" t="s">
        <v>179</v>
      </c>
    </row>
    <row r="80" spans="2:2" x14ac:dyDescent="0.2">
      <c r="B80" s="90" t="s">
        <v>180</v>
      </c>
    </row>
    <row r="82" spans="2:3" s="46" customFormat="1" ht="15.6" customHeight="1" x14ac:dyDescent="0.2">
      <c r="B82" s="46" t="s">
        <v>208</v>
      </c>
    </row>
    <row r="84" spans="2:3" x14ac:dyDescent="0.2">
      <c r="B84" s="181" t="s">
        <v>262</v>
      </c>
      <c r="C84" s="218" t="s">
        <v>239</v>
      </c>
    </row>
    <row r="85" spans="2:3" x14ac:dyDescent="0.2">
      <c r="B85" s="181" t="s">
        <v>67</v>
      </c>
      <c r="C85" s="218" t="s">
        <v>239</v>
      </c>
    </row>
    <row r="86" spans="2:3" x14ac:dyDescent="0.2">
      <c r="B86" s="181" t="s">
        <v>68</v>
      </c>
      <c r="C86" s="218" t="s">
        <v>239</v>
      </c>
    </row>
    <row r="87" spans="2:3" x14ac:dyDescent="0.2">
      <c r="B87" s="181" t="s">
        <v>241</v>
      </c>
      <c r="C87" s="218" t="s">
        <v>239</v>
      </c>
    </row>
    <row r="88" spans="2:3" x14ac:dyDescent="0.2">
      <c r="B88" s="181" t="s">
        <v>242</v>
      </c>
      <c r="C88" s="218" t="s">
        <v>239</v>
      </c>
    </row>
    <row r="89" spans="2:3" x14ac:dyDescent="0.2">
      <c r="B89" s="181" t="s">
        <v>243</v>
      </c>
      <c r="C89" s="218" t="s">
        <v>239</v>
      </c>
    </row>
    <row r="90" spans="2:3" x14ac:dyDescent="0.2">
      <c r="B90" s="181" t="s">
        <v>244</v>
      </c>
      <c r="C90" s="218" t="s">
        <v>239</v>
      </c>
    </row>
    <row r="91" spans="2:3" x14ac:dyDescent="0.2">
      <c r="B91" s="181" t="s">
        <v>245</v>
      </c>
      <c r="C91" s="218" t="s">
        <v>239</v>
      </c>
    </row>
    <row r="92" spans="2:3" x14ac:dyDescent="0.2">
      <c r="B92" s="181" t="s">
        <v>246</v>
      </c>
      <c r="C92" s="218" t="s">
        <v>239</v>
      </c>
    </row>
    <row r="93" spans="2:3" x14ac:dyDescent="0.2">
      <c r="B93" s="181" t="str">
        <f>IF('Ofertas insignia'!B44="","",'Ofertas insignia'!B44)</f>
        <v/>
      </c>
    </row>
    <row r="94" spans="2:3" x14ac:dyDescent="0.2">
      <c r="B94" s="181" t="str">
        <f>IF('Ofertas insignia'!B45="","",'Ofertas insignia'!B45)</f>
        <v/>
      </c>
    </row>
    <row r="95" spans="2:3" x14ac:dyDescent="0.2">
      <c r="B95" s="181" t="str">
        <f>IF('Ofertas insignia'!B46="","",'Ofertas insignia'!B46)</f>
        <v/>
      </c>
    </row>
    <row r="96" spans="2:3" x14ac:dyDescent="0.2">
      <c r="B96" s="181" t="str">
        <f>IF('Ofertas insignia'!B47="","",'Ofertas insignia'!B47)</f>
        <v/>
      </c>
    </row>
    <row r="97" spans="2:2" x14ac:dyDescent="0.2">
      <c r="B97" s="181" t="str">
        <f>IF('Ofertas insignia'!B48="","",'Ofertas insignia'!B48)</f>
        <v/>
      </c>
    </row>
    <row r="98" spans="2:2" x14ac:dyDescent="0.2">
      <c r="B98" s="181" t="str">
        <f>IF('Ofertas insignia'!B49="","",'Ofertas insignia'!B49)</f>
        <v/>
      </c>
    </row>
    <row r="99" spans="2:2" x14ac:dyDescent="0.2">
      <c r="B99" s="181" t="str">
        <f>IF('Ofertas insignia'!B50="","",'Ofertas insignia'!B50)</f>
        <v/>
      </c>
    </row>
    <row r="100" spans="2:2" x14ac:dyDescent="0.2">
      <c r="B100" s="181" t="str">
        <f>IF('Ofertas insignia'!B51="","",'Ofertas insignia'!B51)</f>
        <v/>
      </c>
    </row>
    <row r="101" spans="2:2" x14ac:dyDescent="0.2">
      <c r="B101" s="181" t="str">
        <f>IF('Ofertas insignia'!B52="","",'Ofertas insignia'!B52)</f>
        <v/>
      </c>
    </row>
  </sheetData>
  <phoneticPr fontId="55"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F58D-70D8-4982-8659-34F5E8ADCB3B}">
  <dimension ref="A1"/>
  <sheetViews>
    <sheetView workbookViewId="0"/>
  </sheetViews>
  <sheetFormatPr baseColWidth="10" defaultColWidth="8.710937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2BADC-D042-4055-B314-3785C46456C4}">
  <sheetPr>
    <tabColor theme="3"/>
  </sheetPr>
  <dimension ref="A1:E55"/>
  <sheetViews>
    <sheetView showGridLines="0" tabSelected="1" zoomScaleNormal="100" workbookViewId="0"/>
  </sheetViews>
  <sheetFormatPr baseColWidth="10" defaultColWidth="8.7109375" defaultRowHeight="12.75" x14ac:dyDescent="0.2"/>
  <cols>
    <col min="1" max="1" width="5.7109375" customWidth="1"/>
    <col min="3" max="3" width="34.42578125" customWidth="1"/>
    <col min="4" max="4" width="82" customWidth="1"/>
    <col min="5" max="5" width="22" customWidth="1"/>
  </cols>
  <sheetData>
    <row r="1" spans="1:4" s="1" customFormat="1" ht="20.25" x14ac:dyDescent="0.3">
      <c r="B1" s="1" t="s">
        <v>31</v>
      </c>
    </row>
    <row r="3" spans="1:4" x14ac:dyDescent="0.2">
      <c r="C3" s="44" t="s">
        <v>264</v>
      </c>
    </row>
    <row r="4" spans="1:4" s="2" customFormat="1" ht="15" customHeight="1" thickBot="1" x14ac:dyDescent="0.3">
      <c r="A4" s="2">
        <v>1</v>
      </c>
      <c r="B4" s="2" t="s">
        <v>75</v>
      </c>
    </row>
    <row r="5" spans="1:4" ht="13.5" thickTop="1" x14ac:dyDescent="0.2"/>
    <row r="6" spans="1:4" ht="12.95" customHeight="1" x14ac:dyDescent="0.2">
      <c r="C6" s="54" t="s">
        <v>32</v>
      </c>
      <c r="D6" s="54" t="s">
        <v>33</v>
      </c>
    </row>
    <row r="8" spans="1:4" ht="20.100000000000001" customHeight="1" x14ac:dyDescent="0.2">
      <c r="C8" s="34" t="s">
        <v>38</v>
      </c>
    </row>
    <row r="9" spans="1:4" ht="20.100000000000001" customHeight="1" x14ac:dyDescent="0.2">
      <c r="C9" s="149" t="s">
        <v>194</v>
      </c>
      <c r="D9" s="57" t="s">
        <v>44</v>
      </c>
    </row>
    <row r="10" spans="1:4" ht="20.100000000000001" customHeight="1" x14ac:dyDescent="0.2">
      <c r="C10" s="35" t="s">
        <v>196</v>
      </c>
      <c r="D10" s="57"/>
    </row>
    <row r="11" spans="1:4" ht="20.100000000000001" customHeight="1" x14ac:dyDescent="0.2">
      <c r="C11" s="36" t="s">
        <v>192</v>
      </c>
      <c r="D11" s="57" t="s">
        <v>51</v>
      </c>
    </row>
    <row r="12" spans="1:4" ht="20.100000000000001" customHeight="1" x14ac:dyDescent="0.2">
      <c r="C12" s="36" t="s">
        <v>43</v>
      </c>
      <c r="D12" s="57" t="s">
        <v>195</v>
      </c>
    </row>
    <row r="13" spans="1:4" ht="20.100000000000001" customHeight="1" x14ac:dyDescent="0.2">
      <c r="C13" s="37" t="s">
        <v>39</v>
      </c>
      <c r="D13" s="57"/>
    </row>
    <row r="14" spans="1:4" ht="20.100000000000001" customHeight="1" x14ac:dyDescent="0.2">
      <c r="C14" s="38" t="s">
        <v>29</v>
      </c>
      <c r="D14" s="57" t="s">
        <v>50</v>
      </c>
    </row>
    <row r="15" spans="1:4" ht="20.100000000000001" customHeight="1" x14ac:dyDescent="0.2">
      <c r="C15" s="38" t="s">
        <v>30</v>
      </c>
      <c r="D15" s="57" t="s">
        <v>52</v>
      </c>
    </row>
    <row r="16" spans="1:4" ht="20.100000000000001" customHeight="1" x14ac:dyDescent="0.2">
      <c r="C16" s="39" t="s">
        <v>40</v>
      </c>
      <c r="D16" s="57"/>
    </row>
    <row r="17" spans="1:5" ht="20.100000000000001" customHeight="1" x14ac:dyDescent="0.2">
      <c r="C17" s="41" t="s">
        <v>45</v>
      </c>
      <c r="D17" s="57" t="s">
        <v>47</v>
      </c>
    </row>
    <row r="18" spans="1:5" ht="20.100000000000001" customHeight="1" x14ac:dyDescent="0.2">
      <c r="C18" s="41" t="s">
        <v>46</v>
      </c>
      <c r="D18" s="57" t="s">
        <v>48</v>
      </c>
    </row>
    <row r="19" spans="1:5" ht="20.100000000000001" customHeight="1" x14ac:dyDescent="0.2">
      <c r="C19" s="41" t="s">
        <v>233</v>
      </c>
      <c r="D19" s="57" t="s">
        <v>234</v>
      </c>
    </row>
    <row r="20" spans="1:5" ht="20.100000000000001" customHeight="1" x14ac:dyDescent="0.2">
      <c r="C20" s="40" t="s">
        <v>41</v>
      </c>
      <c r="D20" s="57" t="s">
        <v>49</v>
      </c>
    </row>
    <row r="21" spans="1:5" x14ac:dyDescent="0.2">
      <c r="D21" s="42"/>
    </row>
    <row r="23" spans="1:5" s="2" customFormat="1" ht="15" customHeight="1" thickBot="1" x14ac:dyDescent="0.3">
      <c r="A23" s="2">
        <v>2</v>
      </c>
      <c r="B23" s="2" t="s">
        <v>74</v>
      </c>
    </row>
    <row r="24" spans="1:5" ht="13.5" thickTop="1" x14ac:dyDescent="0.2"/>
    <row r="26" spans="1:5" ht="17.100000000000001" customHeight="1" x14ac:dyDescent="0.2">
      <c r="C26" s="58" t="s">
        <v>77</v>
      </c>
      <c r="D26" s="69" t="s">
        <v>81</v>
      </c>
      <c r="E26" s="55"/>
    </row>
    <row r="27" spans="1:5" ht="17.100000000000001" customHeight="1" x14ac:dyDescent="0.2">
      <c r="C27" s="59" t="s">
        <v>76</v>
      </c>
      <c r="D27" s="70" t="s">
        <v>83</v>
      </c>
      <c r="E27" s="55"/>
    </row>
    <row r="28" spans="1:5" ht="17.100000000000001" customHeight="1" x14ac:dyDescent="0.2">
      <c r="C28" s="60" t="s">
        <v>79</v>
      </c>
      <c r="D28" s="69" t="s">
        <v>85</v>
      </c>
      <c r="E28" s="55"/>
    </row>
    <row r="29" spans="1:5" ht="17.100000000000001" customHeight="1" x14ac:dyDescent="0.2">
      <c r="C29" s="61" t="s">
        <v>78</v>
      </c>
      <c r="D29" s="69" t="s">
        <v>86</v>
      </c>
      <c r="E29" s="55"/>
    </row>
    <row r="30" spans="1:5" ht="17.100000000000001" customHeight="1" x14ac:dyDescent="0.2">
      <c r="C30" s="64" t="s">
        <v>82</v>
      </c>
      <c r="D30" s="69" t="s">
        <v>87</v>
      </c>
      <c r="E30" s="55"/>
    </row>
    <row r="31" spans="1:5" ht="17.100000000000001" customHeight="1" x14ac:dyDescent="0.2">
      <c r="C31" s="62" t="s">
        <v>41</v>
      </c>
      <c r="D31" s="69" t="s">
        <v>84</v>
      </c>
      <c r="E31" s="55"/>
    </row>
    <row r="32" spans="1:5" ht="17.100000000000001" customHeight="1" x14ac:dyDescent="0.2">
      <c r="C32" s="63" t="s">
        <v>80</v>
      </c>
      <c r="D32" s="69" t="s">
        <v>88</v>
      </c>
      <c r="E32" s="55"/>
    </row>
    <row r="33" spans="1:5" ht="17.100000000000001" customHeight="1" x14ac:dyDescent="0.2">
      <c r="C33" s="166" t="s">
        <v>38</v>
      </c>
      <c r="D33" s="69" t="s">
        <v>89</v>
      </c>
      <c r="E33" s="56"/>
    </row>
    <row r="35" spans="1:5" s="2" customFormat="1" ht="15" customHeight="1" thickBot="1" x14ac:dyDescent="0.3">
      <c r="A35" s="2">
        <v>3</v>
      </c>
      <c r="B35" s="2" t="s">
        <v>197</v>
      </c>
    </row>
    <row r="36" spans="1:5" ht="13.5" thickTop="1" x14ac:dyDescent="0.2"/>
    <row r="37" spans="1:5" s="44" customFormat="1" x14ac:dyDescent="0.2">
      <c r="A37" s="44">
        <v>3.1</v>
      </c>
      <c r="B37" s="44" t="s">
        <v>209</v>
      </c>
    </row>
    <row r="39" spans="1:5" ht="20.100000000000001" customHeight="1" x14ac:dyDescent="0.2">
      <c r="C39" s="156" t="s">
        <v>199</v>
      </c>
    </row>
    <row r="41" spans="1:5" x14ac:dyDescent="0.2">
      <c r="A41" s="44">
        <v>3.2</v>
      </c>
      <c r="B41" s="44" t="s">
        <v>148</v>
      </c>
    </row>
    <row r="42" spans="1:5" x14ac:dyDescent="0.2">
      <c r="B42" s="42"/>
    </row>
    <row r="43" spans="1:5" ht="20.100000000000001" customHeight="1" x14ac:dyDescent="0.2">
      <c r="C43" s="108" t="s">
        <v>149</v>
      </c>
    </row>
    <row r="44" spans="1:5" s="109" customFormat="1" x14ac:dyDescent="0.2">
      <c r="B44" s="110"/>
    </row>
    <row r="45" spans="1:5" ht="15.6" customHeight="1" x14ac:dyDescent="0.2">
      <c r="A45" s="155" t="s">
        <v>198</v>
      </c>
      <c r="B45" s="42" t="s">
        <v>150</v>
      </c>
    </row>
    <row r="46" spans="1:5" x14ac:dyDescent="0.2">
      <c r="A46" s="155" t="s">
        <v>198</v>
      </c>
      <c r="B46" s="42" t="s">
        <v>151</v>
      </c>
    </row>
    <row r="47" spans="1:5" x14ac:dyDescent="0.2">
      <c r="A47" s="155" t="s">
        <v>198</v>
      </c>
      <c r="B47" s="42" t="s">
        <v>152</v>
      </c>
    </row>
    <row r="50" spans="1:4" s="2" customFormat="1" ht="15" customHeight="1" thickBot="1" x14ac:dyDescent="0.3">
      <c r="A50" s="2">
        <v>4</v>
      </c>
      <c r="B50" s="2" t="s">
        <v>7</v>
      </c>
    </row>
    <row r="51" spans="1:4" ht="13.5" thickTop="1" x14ac:dyDescent="0.2"/>
    <row r="52" spans="1:4" ht="28.5" customHeight="1" x14ac:dyDescent="0.2">
      <c r="B52" s="66">
        <v>1</v>
      </c>
      <c r="C52" s="219" t="s">
        <v>238</v>
      </c>
      <c r="D52" s="219"/>
    </row>
    <row r="53" spans="1:4" ht="15" customHeight="1" x14ac:dyDescent="0.2">
      <c r="B53" s="66">
        <v>2</v>
      </c>
      <c r="C53" s="65" t="s">
        <v>90</v>
      </c>
      <c r="D53" s="42"/>
    </row>
    <row r="54" spans="1:4" x14ac:dyDescent="0.2">
      <c r="B54" s="44">
        <v>3</v>
      </c>
      <c r="C54" s="42" t="s">
        <v>263</v>
      </c>
    </row>
    <row r="55" spans="1:4" x14ac:dyDescent="0.2">
      <c r="C55" s="42"/>
    </row>
  </sheetData>
  <mergeCells count="1">
    <mergeCell ref="C52:D52"/>
  </mergeCells>
  <hyperlinks>
    <hyperlink ref="C8" location="'Resultados &gt;&gt;'!A1" display="Resultados" xr:uid="{B5054F0C-D202-4CEB-AE5E-4E32D2D52DC1}"/>
    <hyperlink ref="C11" location="Descripción!A1" display="Ingresos minoristas" xr:uid="{516587DA-E975-4C3A-B7DE-978D203F5D0C}"/>
    <hyperlink ref="C12" location="Costos!A1" display="Costos" xr:uid="{608F3E45-7D6F-4C1D-A958-0DBC0FDF7F14}"/>
    <hyperlink ref="C13" location="'Cálculos intermedios &gt;&gt;'!A1" display="Cálculos intermedios" xr:uid="{D6C78D7B-6733-4ED4-B5EA-3F2F5BA00B83}"/>
    <hyperlink ref="C14" location="'Pagos mayoristas'!A1" display="Pagos mayoristas" xr:uid="{C7CCA713-E704-4824-8C94-861A02BF2387}"/>
    <hyperlink ref="C15" location="'Costos aguas abajo'!A1" display="Costos aguas abajo" xr:uid="{811D96C6-1DFA-4B5D-8F8C-2D0278A6F921}"/>
    <hyperlink ref="C16" location="'Requerimiento de información &gt;&gt;'!A1" display="Requerimientos de información" xr:uid="{10DB1D14-9604-4B5C-9893-967DF68BDA96}"/>
    <hyperlink ref="C20" location="'Supuestos &gt;&gt;'!A1" display="Supuestos" xr:uid="{98CCED35-C217-4403-AFF6-DE9327B71EA6}"/>
    <hyperlink ref="C17" location="'Informacion del AEP'!A1" display="Informacion del AEP" xr:uid="{DCC4D93B-3AF5-486A-B715-E13CC3111488}"/>
    <hyperlink ref="C18" location="'Precios mayoristas'!A1" display="Precios mayoristas" xr:uid="{63B34421-5E55-4CD8-8D0B-1828F341D342}"/>
    <hyperlink ref="C43" location="'Precios mayoristas'!A1" display="Ir a Precios mayoristas &gt;&gt;" xr:uid="{B23DCBE7-ACBC-414B-81EC-608F04B38789}"/>
    <hyperlink ref="C10" location="Descripción!A1" display="Resultados intermedios" xr:uid="{F2AF85C7-411D-48E2-96DF-197F4ACB868F}"/>
    <hyperlink ref="C39" location="Supuestos!A1" display="Ir a Supuestos &gt;&gt;" xr:uid="{53356266-7D7A-4988-A79F-0A7C8ADD3FE9}"/>
    <hyperlink ref="C19" location="'Ofertas insignia'!A1" display="Ofertas insignia" xr:uid="{9FF0C3C2-DED0-4DB1-95B9-79D6C834743F}"/>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FD5C-0CB7-4049-9663-6D1781307A5D}">
  <sheetPr>
    <tabColor theme="4"/>
  </sheetPr>
  <dimension ref="C13"/>
  <sheetViews>
    <sheetView showGridLines="0" workbookViewId="0"/>
  </sheetViews>
  <sheetFormatPr baseColWidth="10" defaultColWidth="8.7109375" defaultRowHeight="12.75" x14ac:dyDescent="0.2"/>
  <cols>
    <col min="1" max="16384" width="8.7109375" style="25"/>
  </cols>
  <sheetData>
    <row r="13" spans="3:3" ht="27.75" x14ac:dyDescent="0.4">
      <c r="C13" s="31" t="s">
        <v>34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DA5D-8FAB-4B21-A110-29890E01084A}">
  <sheetPr>
    <tabColor theme="4" tint="0.79998168889431442"/>
  </sheetPr>
  <dimension ref="B1:K46"/>
  <sheetViews>
    <sheetView showGridLines="0" zoomScaleNormal="100" workbookViewId="0"/>
  </sheetViews>
  <sheetFormatPr baseColWidth="10" defaultColWidth="8.7109375" defaultRowHeight="12.75" x14ac:dyDescent="0.2"/>
  <cols>
    <col min="1" max="1" width="6.140625" customWidth="1"/>
    <col min="2" max="2" width="23.7109375" customWidth="1"/>
    <col min="3" max="3" width="18.140625" bestFit="1" customWidth="1"/>
    <col min="4" max="6" width="17.140625" bestFit="1" customWidth="1"/>
    <col min="7" max="11" width="15.5703125" customWidth="1"/>
  </cols>
  <sheetData>
    <row r="1" spans="2:11" s="1" customFormat="1" ht="20.25" x14ac:dyDescent="0.3">
      <c r="B1" s="1" t="s">
        <v>187</v>
      </c>
    </row>
    <row r="3" spans="2:11" x14ac:dyDescent="0.2">
      <c r="B3" s="44" t="s">
        <v>54</v>
      </c>
      <c r="C3" s="158" t="s">
        <v>55</v>
      </c>
      <c r="D3" s="132"/>
      <c r="E3" s="158" t="s">
        <v>56</v>
      </c>
    </row>
    <row r="4" spans="2:11" x14ac:dyDescent="0.2">
      <c r="C4" s="150">
        <f>Supuestos!$C$5</f>
        <v>44197</v>
      </c>
      <c r="D4" s="160"/>
      <c r="E4" s="150">
        <f>Supuestos!$C$6</f>
        <v>44286</v>
      </c>
    </row>
    <row r="6" spans="2:11" ht="20.100000000000001" customHeight="1" x14ac:dyDescent="0.2">
      <c r="B6" s="73" t="s">
        <v>188</v>
      </c>
      <c r="C6" s="147" t="s">
        <v>180</v>
      </c>
    </row>
    <row r="8" spans="2:11" s="46" customFormat="1" ht="15.6" customHeight="1" x14ac:dyDescent="0.2">
      <c r="B8" s="46" t="s">
        <v>38</v>
      </c>
    </row>
    <row r="10" spans="2:11" x14ac:dyDescent="0.2">
      <c r="F10" s="220" t="s">
        <v>235</v>
      </c>
      <c r="G10" s="220"/>
      <c r="H10" s="220"/>
      <c r="I10" s="220"/>
      <c r="J10" s="220"/>
      <c r="K10" s="220"/>
    </row>
    <row r="11" spans="2:11" x14ac:dyDescent="0.2">
      <c r="F11" s="221" t="s">
        <v>236</v>
      </c>
      <c r="G11" s="221"/>
      <c r="H11" s="221"/>
      <c r="I11" s="221" t="s">
        <v>237</v>
      </c>
      <c r="J11" s="221"/>
      <c r="K11" s="221"/>
    </row>
    <row r="12" spans="2:11" ht="45.95" customHeight="1" x14ac:dyDescent="0.2">
      <c r="B12" s="75" t="s">
        <v>57</v>
      </c>
      <c r="C12" s="53" t="str">
        <f>Supuestos!B$84</f>
        <v>Todos los segmentos</v>
      </c>
      <c r="D12" s="53" t="str">
        <f>Supuestos!B$85</f>
        <v>Segmento Prepago</v>
      </c>
      <c r="E12" s="53" t="str">
        <f>Supuestos!B$86</f>
        <v>Segmento Pospago</v>
      </c>
      <c r="F12" s="53" t="str">
        <f>Supuestos!B$87</f>
        <v>Oferta 1</v>
      </c>
      <c r="G12" s="53" t="str">
        <f>Supuestos!B$88</f>
        <v>Oferta 2</v>
      </c>
      <c r="H12" s="53" t="str">
        <f>Supuestos!B$89</f>
        <v>Oferta 3</v>
      </c>
      <c r="I12" s="53" t="str">
        <f>Supuestos!B$90</f>
        <v>Oferta 4</v>
      </c>
      <c r="J12" s="53" t="str">
        <f>Supuestos!B$91</f>
        <v>Oferta 5</v>
      </c>
      <c r="K12" s="53" t="str">
        <f>Supuestos!B$92</f>
        <v>Oferta 6</v>
      </c>
    </row>
    <row r="13" spans="2:11" x14ac:dyDescent="0.2">
      <c r="B13" s="164" t="s">
        <v>203</v>
      </c>
      <c r="C13" s="167" t="str">
        <f>IF(C14&lt;0,"No","Sí")</f>
        <v>No</v>
      </c>
      <c r="D13" s="167" t="str">
        <f t="shared" ref="D13:E13" si="0">IF(D14&lt;0,"No","Sí")</f>
        <v>No</v>
      </c>
      <c r="E13" s="167" t="str">
        <f t="shared" si="0"/>
        <v>No</v>
      </c>
      <c r="F13" s="168"/>
      <c r="G13" s="168"/>
      <c r="H13" s="168"/>
      <c r="I13" s="168"/>
      <c r="J13" s="168"/>
      <c r="K13" s="168"/>
    </row>
    <row r="14" spans="2:11" x14ac:dyDescent="0.2">
      <c r="B14" s="164" t="s">
        <v>201</v>
      </c>
      <c r="C14" s="165">
        <f>(C15-C16)/C15</f>
        <v>-12.533504638105754</v>
      </c>
      <c r="D14" s="165">
        <f t="shared" ref="D14:K14" si="1">(D15-D16)/D15</f>
        <v>-13.398588313843769</v>
      </c>
      <c r="E14" s="165">
        <f t="shared" si="1"/>
        <v>-12.578634361650888</v>
      </c>
      <c r="F14" s="165">
        <f t="shared" si="1"/>
        <v>-12.617722001532766</v>
      </c>
      <c r="G14" s="165">
        <f t="shared" si="1"/>
        <v>-12.422443202548028</v>
      </c>
      <c r="H14" s="165">
        <f t="shared" si="1"/>
        <v>-12.422443202548028</v>
      </c>
      <c r="I14" s="165">
        <f t="shared" si="1"/>
        <v>-12.032044137812811</v>
      </c>
      <c r="J14" s="165">
        <f t="shared" si="1"/>
        <v>-12.032044137812811</v>
      </c>
      <c r="K14" s="165">
        <f t="shared" si="1"/>
        <v>-12.032044137812811</v>
      </c>
    </row>
    <row r="15" spans="2:11" x14ac:dyDescent="0.2">
      <c r="B15" s="67" t="s">
        <v>192</v>
      </c>
      <c r="C15" s="163">
        <f>INDEX('Ingresos minoristas'!$D$13:$L$21,MATCH('Prueba Servicios Moviles'!$B$15,'Ingresos minoristas'!$C$13:$C$21,0),MATCH('Prueba Servicios Moviles'!C$12,'Ingresos minoristas'!$D$12:$L$12,0))</f>
        <v>92251950</v>
      </c>
      <c r="D15" s="163">
        <f>INDEX('Ingresos minoristas'!$D$13:$L$21,MATCH('Prueba Servicios Moviles'!$B$15,'Ingresos minoristas'!$C$13:$C$21,0),MATCH('Prueba Servicios Moviles'!D$12,'Ingresos minoristas'!$D$12:$L$12,0))</f>
        <v>30750650</v>
      </c>
      <c r="E15" s="163">
        <f>INDEX('Ingresos minoristas'!$D$13:$L$21,MATCH('Prueba Servicios Moviles'!$B$15,'Ingresos minoristas'!$C$13:$C$21,0),MATCH('Prueba Servicios Moviles'!E$12,'Ingresos minoristas'!$D$12:$L$12,0))</f>
        <v>61501300</v>
      </c>
      <c r="F15" s="163">
        <f>INDEX('Ingresos minoristas'!$D$13:$L$21,MATCH('Prueba Servicios Moviles'!$B$15,'Ingresos minoristas'!$C$13:$C$21,0),MATCH('Prueba Servicios Moviles'!F$12,'Ingresos minoristas'!$D$12:$L$12,0))</f>
        <v>6150130</v>
      </c>
      <c r="G15" s="163">
        <f>INDEX('Ingresos minoristas'!$D$13:$L$21,MATCH('Prueba Servicios Moviles'!$B$15,'Ingresos minoristas'!$C$13:$C$21,0),MATCH('Prueba Servicios Moviles'!G$12,'Ingresos minoristas'!$D$12:$L$12,0))</f>
        <v>6150130</v>
      </c>
      <c r="H15" s="163">
        <f>INDEX('Ingresos minoristas'!$D$13:$L$21,MATCH('Prueba Servicios Moviles'!$B$15,'Ingresos minoristas'!$C$13:$C$21,0),MATCH('Prueba Servicios Moviles'!H$12,'Ingresos minoristas'!$D$12:$L$12,0))</f>
        <v>6150130</v>
      </c>
      <c r="I15" s="163">
        <f>INDEX('Ingresos minoristas'!$D$13:$L$21,MATCH('Prueba Servicios Moviles'!$B$15,'Ingresos minoristas'!$C$13:$C$21,0),MATCH('Prueba Servicios Moviles'!I$12,'Ingresos minoristas'!$D$12:$L$12,0))</f>
        <v>12300260</v>
      </c>
      <c r="J15" s="163">
        <f>INDEX('Ingresos minoristas'!$D$13:$L$21,MATCH('Prueba Servicios Moviles'!$B$15,'Ingresos minoristas'!$C$13:$C$21,0),MATCH('Prueba Servicios Moviles'!J$12,'Ingresos minoristas'!$D$12:$L$12,0))</f>
        <v>12300260</v>
      </c>
      <c r="K15" s="163">
        <f>INDEX('Ingresos minoristas'!$D$13:$L$21,MATCH('Prueba Servicios Moviles'!$B$15,'Ingresos minoristas'!$C$13:$C$21,0),MATCH('Prueba Servicios Moviles'!K$12,'Ingresos minoristas'!$D$12:$L$12,0))</f>
        <v>12300260</v>
      </c>
    </row>
    <row r="16" spans="2:11" x14ac:dyDescent="0.2">
      <c r="B16" s="67" t="s">
        <v>43</v>
      </c>
      <c r="C16" s="163">
        <f>SUM(C17:C18)</f>
        <v>1248492193.1993001</v>
      </c>
      <c r="D16" s="163">
        <f t="shared" ref="D16:K16" si="2">SUM(D17:D18)</f>
        <v>442765949.73309988</v>
      </c>
      <c r="E16" s="163">
        <f t="shared" si="2"/>
        <v>835103665.46619976</v>
      </c>
      <c r="F16" s="163">
        <f t="shared" si="2"/>
        <v>83750760.613286704</v>
      </c>
      <c r="G16" s="163">
        <f t="shared" si="2"/>
        <v>82549770.613286704</v>
      </c>
      <c r="H16" s="163">
        <f t="shared" si="2"/>
        <v>82549770.613286704</v>
      </c>
      <c r="I16" s="163">
        <f t="shared" si="2"/>
        <v>160297531.22657341</v>
      </c>
      <c r="J16" s="163">
        <f t="shared" si="2"/>
        <v>160297531.22657341</v>
      </c>
      <c r="K16" s="163">
        <f t="shared" si="2"/>
        <v>160297531.22657341</v>
      </c>
    </row>
    <row r="17" spans="2:11" x14ac:dyDescent="0.2">
      <c r="B17" s="146" t="s">
        <v>29</v>
      </c>
      <c r="C17" s="157">
        <f>INDEX(Costos!$D$11:$L$16,MATCH('Prueba Servicios Moviles'!$B$17,Costos!$C$11:$C$16,0),MATCH('Prueba Servicios Moviles'!C$12,Costos!$D$10:$L$10,0))</f>
        <v>111655065.19930001</v>
      </c>
      <c r="D17" s="157">
        <f>INDEX(Costos!$D$11:$L$16,MATCH('Prueba Servicios Moviles'!$B$17,Costos!$C$11:$C$16,0),MATCH('Prueba Servicios Moviles'!D$12,Costos!$D$10:$L$10,0))</f>
        <v>54029849.733099997</v>
      </c>
      <c r="E17" s="157">
        <f>INDEX(Costos!$D$11:$L$16,MATCH('Prueba Servicios Moviles'!$B$17,Costos!$C$11:$C$16,0),MATCH('Prueba Servicios Moviles'!E$12,Costos!$D$10:$L$10,0))</f>
        <v>57631465.466200002</v>
      </c>
      <c r="F17" s="157">
        <f>INDEX(Costos!$D$11:$L$16,MATCH('Prueba Servicios Moviles'!$B$17,Costos!$C$11:$C$16,0),MATCH('Prueba Servicios Moviles'!F$12,Costos!$D$10:$L$10,0))</f>
        <v>6003540.6132866666</v>
      </c>
      <c r="G17" s="157">
        <f>INDEX(Costos!$D$11:$L$16,MATCH('Prueba Servicios Moviles'!$B$17,Costos!$C$11:$C$16,0),MATCH('Prueba Servicios Moviles'!G$12,Costos!$D$10:$L$10,0))</f>
        <v>4802550.6132866666</v>
      </c>
      <c r="H17" s="157">
        <f>INDEX(Costos!$D$11:$L$16,MATCH('Prueba Servicios Moviles'!$B$17,Costos!$C$11:$C$16,0),MATCH('Prueba Servicios Moviles'!H$12,Costos!$D$10:$L$10,0))</f>
        <v>4802550.6132866666</v>
      </c>
      <c r="I17" s="157">
        <f>INDEX(Costos!$D$11:$L$16,MATCH('Prueba Servicios Moviles'!$B$17,Costos!$C$11:$C$16,0),MATCH('Prueba Servicios Moviles'!I$12,Costos!$D$10:$L$10,0))</f>
        <v>4803091.2265733331</v>
      </c>
      <c r="J17" s="157">
        <f>INDEX(Costos!$D$11:$L$16,MATCH('Prueba Servicios Moviles'!$B$17,Costos!$C$11:$C$16,0),MATCH('Prueba Servicios Moviles'!J$12,Costos!$D$10:$L$10,0))</f>
        <v>4803091.2265733331</v>
      </c>
      <c r="K17" s="157">
        <f>INDEX(Costos!$D$11:$L$16,MATCH('Prueba Servicios Moviles'!$B$17,Costos!$C$11:$C$16,0),MATCH('Prueba Servicios Moviles'!K$12,Costos!$D$10:$L$10,0))</f>
        <v>4803091.2265733331</v>
      </c>
    </row>
    <row r="18" spans="2:11" x14ac:dyDescent="0.2">
      <c r="B18" s="146" t="str">
        <f>IF(C6="EEO",'Costos aguas abajo'!$D$9,'Costos aguas abajo'!$K$9)</f>
        <v xml:space="preserve">Costos totales ajustados </v>
      </c>
      <c r="C18" s="157">
        <f>INDEX(Costos!$D$25:$L$25,1,MATCH('Prueba Servicios Moviles'!C$12,Costos!$D$24:$L$24,))</f>
        <v>1136837128</v>
      </c>
      <c r="D18" s="157">
        <f>INDEX(Costos!$D$25:$L$25,1,MATCH('Prueba Servicios Moviles'!D$12,Costos!$D$24:$L$24,))</f>
        <v>388736099.99999988</v>
      </c>
      <c r="E18" s="157">
        <f>INDEX(Costos!$D$25:$L$25,1,MATCH('Prueba Servicios Moviles'!E$12,Costos!$D$24:$L$24,))</f>
        <v>777472199.99999976</v>
      </c>
      <c r="F18" s="157">
        <f>INDEX(Costos!$D$25:$L$25,1,MATCH('Prueba Servicios Moviles'!F$12,Costos!$D$24:$L$24,))</f>
        <v>77747220.00000003</v>
      </c>
      <c r="G18" s="157">
        <f>INDEX(Costos!$D$25:$L$25,1,MATCH('Prueba Servicios Moviles'!G$12,Costos!$D$24:$L$24,))</f>
        <v>77747220.00000003</v>
      </c>
      <c r="H18" s="157">
        <f>INDEX(Costos!$D$25:$L$25,1,MATCH('Prueba Servicios Moviles'!H$12,Costos!$D$24:$L$24,))</f>
        <v>77747220.00000003</v>
      </c>
      <c r="I18" s="157">
        <f>INDEX(Costos!$D$25:$L$25,1,MATCH('Prueba Servicios Moviles'!I$12,Costos!$D$24:$L$24,))</f>
        <v>155494440.00000006</v>
      </c>
      <c r="J18" s="157">
        <f>INDEX(Costos!$D$25:$L$25,1,MATCH('Prueba Servicios Moviles'!J$12,Costos!$D$24:$L$24,))</f>
        <v>155494440.00000006</v>
      </c>
      <c r="K18" s="157">
        <f>INDEX(Costos!$D$25:$L$25,1,MATCH('Prueba Servicios Moviles'!K$12,Costos!$D$24:$L$24,))</f>
        <v>155494440.00000006</v>
      </c>
    </row>
    <row r="20" spans="2:11" x14ac:dyDescent="0.2">
      <c r="B20" s="75"/>
    </row>
    <row r="21" spans="2:11" s="46" customFormat="1" ht="15.6" customHeight="1" x14ac:dyDescent="0.2">
      <c r="B21" s="46" t="s">
        <v>202</v>
      </c>
    </row>
    <row r="22" spans="2:11" x14ac:dyDescent="0.2">
      <c r="B22" s="42"/>
    </row>
    <row r="23" spans="2:11" x14ac:dyDescent="0.2">
      <c r="H23" s="56"/>
    </row>
    <row r="41" spans="2:5" ht="38.25" x14ac:dyDescent="0.2">
      <c r="B41" s="170" t="s">
        <v>57</v>
      </c>
      <c r="C41" s="171" t="s">
        <v>204</v>
      </c>
      <c r="D41" s="171" t="s">
        <v>205</v>
      </c>
      <c r="E41" s="171" t="s">
        <v>206</v>
      </c>
    </row>
    <row r="42" spans="2:5" x14ac:dyDescent="0.2">
      <c r="B42" s="172" t="s">
        <v>201</v>
      </c>
      <c r="C42" s="173">
        <f>C14</f>
        <v>-12.533504638105754</v>
      </c>
      <c r="D42" s="173">
        <f>D14</f>
        <v>-13.398588313843769</v>
      </c>
      <c r="E42" s="173">
        <f>E14</f>
        <v>-12.578634361650888</v>
      </c>
    </row>
    <row r="43" spans="2:5" x14ac:dyDescent="0.2">
      <c r="B43" s="174" t="s">
        <v>192</v>
      </c>
      <c r="C43" s="175">
        <v>1</v>
      </c>
      <c r="D43" s="175">
        <v>1</v>
      </c>
      <c r="E43" s="175">
        <v>1</v>
      </c>
    </row>
    <row r="44" spans="2:5" x14ac:dyDescent="0.2">
      <c r="B44" s="174" t="s">
        <v>43</v>
      </c>
      <c r="C44" s="175">
        <f>C16/C15</f>
        <v>13.533504638105754</v>
      </c>
      <c r="D44" s="175">
        <f>D16/D15</f>
        <v>14.398588313843769</v>
      </c>
      <c r="E44" s="175">
        <f>E16/E15</f>
        <v>13.578634361650888</v>
      </c>
    </row>
    <row r="45" spans="2:5" x14ac:dyDescent="0.2">
      <c r="B45" s="176" t="s">
        <v>29</v>
      </c>
      <c r="C45" s="169">
        <f t="shared" ref="C45:E46" si="3">C17/C15</f>
        <v>1.2103274261335397</v>
      </c>
      <c r="D45" s="169">
        <f t="shared" si="3"/>
        <v>1.7570311435075354</v>
      </c>
      <c r="E45" s="169">
        <f t="shared" si="3"/>
        <v>0.93707719131465517</v>
      </c>
    </row>
    <row r="46" spans="2:5" x14ac:dyDescent="0.2">
      <c r="B46" s="176" t="str">
        <f>IF(C18="EEO",'Costos aguas abajo'!$D$9,'Costos aguas abajo'!$K$9)</f>
        <v xml:space="preserve">Costos totales ajustados </v>
      </c>
      <c r="C46" s="169">
        <f t="shared" si="3"/>
        <v>0.91056807098394388</v>
      </c>
      <c r="D46" s="169">
        <f t="shared" si="3"/>
        <v>0.87797198550234201</v>
      </c>
      <c r="E46" s="169">
        <f t="shared" si="3"/>
        <v>0.93098884863111331</v>
      </c>
    </row>
  </sheetData>
  <mergeCells count="3">
    <mergeCell ref="F10:K10"/>
    <mergeCell ref="F11:H11"/>
    <mergeCell ref="I11:K11"/>
  </mergeCells>
  <conditionalFormatting sqref="C14:K14">
    <cfRule type="cellIs" dxfId="58" priority="2" operator="lessThan">
      <formula>0</formula>
    </cfRule>
  </conditionalFormatting>
  <conditionalFormatting sqref="C42:E42">
    <cfRule type="cellIs" dxfId="57" priority="1" operator="lessThan">
      <formula>0</formula>
    </cfRule>
  </conditionalFormatting>
  <pageMargins left="0.7" right="0.7" top="0.75" bottom="0.75" header="0.3" footer="0.3"/>
  <ignoredErrors>
    <ignoredError sqref="C18:K18 C17:K17" unlockedFormula="1"/>
  </ignoredError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FE8B8D9-9524-4129-87BC-C7C09761149F}">
          <x14:formula1>
            <xm:f>Supuestos!$B$79:$B$80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1A7A-4403-408B-B0B2-784D708FD1AB}">
  <sheetPr>
    <tabColor theme="6"/>
  </sheetPr>
  <dimension ref="C13"/>
  <sheetViews>
    <sheetView showGridLines="0" workbookViewId="0">
      <selection activeCell="M44" sqref="M44"/>
    </sheetView>
  </sheetViews>
  <sheetFormatPr baseColWidth="10" defaultColWidth="8.7109375" defaultRowHeight="12.75" x14ac:dyDescent="0.2"/>
  <cols>
    <col min="1" max="16384" width="8.7109375" style="27"/>
  </cols>
  <sheetData>
    <row r="13" spans="3:3" ht="27.75" x14ac:dyDescent="0.4">
      <c r="C13" s="26" t="s">
        <v>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AFD3-04E1-45CA-BA09-535E9B28DCDB}">
  <sheetPr>
    <tabColor theme="5" tint="0.39997558519241921"/>
  </sheetPr>
  <dimension ref="B1:L23"/>
  <sheetViews>
    <sheetView showGridLines="0" zoomScaleNormal="100" workbookViewId="0"/>
  </sheetViews>
  <sheetFormatPr baseColWidth="10" defaultColWidth="8.7109375" defaultRowHeight="12.75" x14ac:dyDescent="0.2"/>
  <cols>
    <col min="1" max="1" width="1.7109375" style="24" customWidth="1"/>
    <col min="2" max="2" width="8.7109375" style="24"/>
    <col min="3" max="3" width="47.28515625" style="24" customWidth="1"/>
    <col min="4" max="12" width="16.42578125" style="24" customWidth="1"/>
    <col min="13" max="16384" width="8.7109375" style="24"/>
  </cols>
  <sheetData>
    <row r="1" spans="2:12" s="1" customFormat="1" ht="20.25" x14ac:dyDescent="0.3">
      <c r="B1" s="1" t="s">
        <v>193</v>
      </c>
    </row>
    <row r="3" spans="2:12" ht="20.100000000000001" customHeight="1" x14ac:dyDescent="0.2">
      <c r="C3" s="34" t="s">
        <v>53</v>
      </c>
    </row>
    <row r="5" spans="2:12" x14ac:dyDescent="0.2">
      <c r="C5" s="44" t="s">
        <v>54</v>
      </c>
      <c r="D5" s="158" t="s">
        <v>55</v>
      </c>
      <c r="E5" s="132"/>
      <c r="F5" s="158" t="s">
        <v>56</v>
      </c>
    </row>
    <row r="6" spans="2:12" x14ac:dyDescent="0.2">
      <c r="C6"/>
      <c r="D6" s="150">
        <f>Supuestos!$C$5</f>
        <v>44197</v>
      </c>
      <c r="E6" s="160"/>
      <c r="F6" s="150">
        <f>Supuestos!$C$6</f>
        <v>44286</v>
      </c>
    </row>
    <row r="7" spans="2:12" x14ac:dyDescent="0.2">
      <c r="C7"/>
    </row>
    <row r="8" spans="2:12" ht="30" customHeight="1" x14ac:dyDescent="0.2">
      <c r="C8" s="222" t="s">
        <v>191</v>
      </c>
      <c r="D8" s="223"/>
      <c r="E8" s="223"/>
      <c r="F8" s="224"/>
    </row>
    <row r="10" spans="2:12" s="46" customFormat="1" ht="15.6" customHeight="1" x14ac:dyDescent="0.2">
      <c r="B10" s="46" t="s">
        <v>192</v>
      </c>
    </row>
    <row r="12" spans="2:12" ht="42.95" customHeight="1" x14ac:dyDescent="0.2">
      <c r="C12" s="75" t="s">
        <v>57</v>
      </c>
      <c r="D12" s="53" t="str">
        <f>Supuestos!B$84</f>
        <v>Todos los segmentos</v>
      </c>
      <c r="E12" s="53" t="str">
        <f>Supuestos!B$85</f>
        <v>Segmento Prepago</v>
      </c>
      <c r="F12" s="53" t="str">
        <f>Supuestos!B$86</f>
        <v>Segmento Pospago</v>
      </c>
      <c r="G12" s="53" t="str">
        <f>Supuestos!B$87</f>
        <v>Oferta 1</v>
      </c>
      <c r="H12" s="53" t="str">
        <f>Supuestos!B$88</f>
        <v>Oferta 2</v>
      </c>
      <c r="I12" s="53" t="str">
        <f>Supuestos!B$89</f>
        <v>Oferta 3</v>
      </c>
      <c r="J12" s="53" t="str">
        <f>Supuestos!B$90</f>
        <v>Oferta 4</v>
      </c>
      <c r="K12" s="53" t="str">
        <f>Supuestos!B$91</f>
        <v>Oferta 5</v>
      </c>
      <c r="L12" s="53" t="str">
        <f>Supuestos!B$92</f>
        <v>Oferta 6</v>
      </c>
    </row>
    <row r="13" spans="2:12" x14ac:dyDescent="0.2">
      <c r="C13" s="24" t="str">
        <f>'Informacion del AEP'!$C13</f>
        <v>Pago recurrente</v>
      </c>
      <c r="D13" s="157">
        <f>INDEX('Informacion del AEP'!$D$13:$N$20,MATCH('Ingresos minoristas'!$C13,'Informacion del AEP'!$C$13:$C$20,0),MATCH('Ingresos minoristas'!D$12,'Informacion del AEP'!$D$11:$N$11,0))</f>
        <v>2250000</v>
      </c>
      <c r="E13" s="157">
        <f>INDEX('Informacion del AEP'!$D$13:$N$20,MATCH('Ingresos minoristas'!$C13,'Informacion del AEP'!$C$13:$C$20,0),MATCH('Ingresos minoristas'!E$12,'Informacion del AEP'!$D$11:$N$11,0))</f>
        <v>750000</v>
      </c>
      <c r="F13" s="157">
        <f>INDEX('Informacion del AEP'!$D$13:$N$20,MATCH('Ingresos minoristas'!$C13,'Informacion del AEP'!$C$13:$C$20,0),MATCH('Ingresos minoristas'!F$12,'Informacion del AEP'!$D$11:$N$11,0))</f>
        <v>1500000</v>
      </c>
      <c r="G13" s="157">
        <f>INDEX('Informacion del AEP'!$D$13:$N$20,MATCH('Ingresos minoristas'!$C13,'Informacion del AEP'!$C$13:$C$20,0),MATCH('Ingresos minoristas'!G$12,'Informacion del AEP'!$D$11:$N$11,0))</f>
        <v>150000</v>
      </c>
      <c r="H13" s="157">
        <f>INDEX('Informacion del AEP'!$D$13:$N$20,MATCH('Ingresos minoristas'!$C13,'Informacion del AEP'!$C$13:$C$20,0),MATCH('Ingresos minoristas'!H$12,'Informacion del AEP'!$D$11:$N$11,0))</f>
        <v>150000</v>
      </c>
      <c r="I13" s="157">
        <f>INDEX('Informacion del AEP'!$D$13:$N$20,MATCH('Ingresos minoristas'!$C13,'Informacion del AEP'!$C$13:$C$20,0),MATCH('Ingresos minoristas'!I$12,'Informacion del AEP'!$D$11:$N$11,0))</f>
        <v>150000</v>
      </c>
      <c r="J13" s="157">
        <f>INDEX('Informacion del AEP'!$D$13:$N$20,MATCH('Ingresos minoristas'!$C13,'Informacion del AEP'!$C$13:$C$20,0),MATCH('Ingresos minoristas'!J$12,'Informacion del AEP'!$D$11:$N$11,0))</f>
        <v>300000</v>
      </c>
      <c r="K13" s="157">
        <f>INDEX('Informacion del AEP'!$D$13:$N$20,MATCH('Ingresos minoristas'!$C13,'Informacion del AEP'!$C$13:$C$20,0),MATCH('Ingresos minoristas'!K$12,'Informacion del AEP'!$D$11:$N$11,0))</f>
        <v>300000</v>
      </c>
      <c r="L13" s="157">
        <f>INDEX('Informacion del AEP'!$D$13:$N$20,MATCH('Ingresos minoristas'!$C13,'Informacion del AEP'!$C$13:$C$20,0),MATCH('Ingresos minoristas'!L$12,'Informacion del AEP'!$D$11:$N$11,0))</f>
        <v>300000</v>
      </c>
    </row>
    <row r="14" spans="2:12" x14ac:dyDescent="0.2">
      <c r="C14" s="24" t="str">
        <f>'Informacion del AEP'!$C14</f>
        <v>Servicio de Telefonía Móvil - voz</v>
      </c>
      <c r="D14" s="157">
        <f>INDEX('Informacion del AEP'!$D$13:$N$20,MATCH('Ingresos minoristas'!$C14,'Informacion del AEP'!$C$13:$C$20,0),MATCH('Ingresos minoristas'!D$12,'Informacion del AEP'!$D$11:$N$11,0))</f>
        <v>1500000</v>
      </c>
      <c r="E14" s="157">
        <f>INDEX('Informacion del AEP'!$D$13:$N$20,MATCH('Ingresos minoristas'!$C14,'Informacion del AEP'!$C$13:$C$20,0),MATCH('Ingresos minoristas'!E$12,'Informacion del AEP'!$D$11:$N$11,0))</f>
        <v>500000</v>
      </c>
      <c r="F14" s="157">
        <f>INDEX('Informacion del AEP'!$D$13:$N$20,MATCH('Ingresos minoristas'!$C14,'Informacion del AEP'!$C$13:$C$20,0),MATCH('Ingresos minoristas'!F$12,'Informacion del AEP'!$D$11:$N$11,0))</f>
        <v>1000000</v>
      </c>
      <c r="G14" s="157">
        <f>INDEX('Informacion del AEP'!$D$13:$N$20,MATCH('Ingresos minoristas'!$C14,'Informacion del AEP'!$C$13:$C$20,0),MATCH('Ingresos minoristas'!G$12,'Informacion del AEP'!$D$11:$N$11,0))</f>
        <v>100000</v>
      </c>
      <c r="H14" s="157">
        <f>INDEX('Informacion del AEP'!$D$13:$N$20,MATCH('Ingresos minoristas'!$C14,'Informacion del AEP'!$C$13:$C$20,0),MATCH('Ingresos minoristas'!H$12,'Informacion del AEP'!$D$11:$N$11,0))</f>
        <v>100000</v>
      </c>
      <c r="I14" s="157">
        <f>INDEX('Informacion del AEP'!$D$13:$N$20,MATCH('Ingresos minoristas'!$C14,'Informacion del AEP'!$C$13:$C$20,0),MATCH('Ingresos minoristas'!I$12,'Informacion del AEP'!$D$11:$N$11,0))</f>
        <v>100000</v>
      </c>
      <c r="J14" s="157">
        <f>INDEX('Informacion del AEP'!$D$13:$N$20,MATCH('Ingresos minoristas'!$C14,'Informacion del AEP'!$C$13:$C$20,0),MATCH('Ingresos minoristas'!J$12,'Informacion del AEP'!$D$11:$N$11,0))</f>
        <v>200000</v>
      </c>
      <c r="K14" s="157">
        <f>INDEX('Informacion del AEP'!$D$13:$N$20,MATCH('Ingresos minoristas'!$C14,'Informacion del AEP'!$C$13:$C$20,0),MATCH('Ingresos minoristas'!K$12,'Informacion del AEP'!$D$11:$N$11,0))</f>
        <v>200000</v>
      </c>
      <c r="L14" s="157">
        <f>INDEX('Informacion del AEP'!$D$13:$N$20,MATCH('Ingresos minoristas'!$C14,'Informacion del AEP'!$C$13:$C$20,0),MATCH('Ingresos minoristas'!L$12,'Informacion del AEP'!$D$11:$N$11,0))</f>
        <v>200000</v>
      </c>
    </row>
    <row r="15" spans="2:12" x14ac:dyDescent="0.2">
      <c r="C15" s="24" t="str">
        <f>'Informacion del AEP'!$C15</f>
        <v>Servicio de Acceso a Internet Móvil</v>
      </c>
      <c r="D15" s="157">
        <f>INDEX('Informacion del AEP'!$D$13:$N$20,MATCH('Ingresos minoristas'!$C15,'Informacion del AEP'!$C$13:$C$20,0),MATCH('Ingresos minoristas'!D$12,'Informacion del AEP'!$D$11:$N$11,0))</f>
        <v>75000000</v>
      </c>
      <c r="E15" s="157">
        <f>INDEX('Informacion del AEP'!$D$13:$N$20,MATCH('Ingresos minoristas'!$C15,'Informacion del AEP'!$C$13:$C$20,0),MATCH('Ingresos minoristas'!E$12,'Informacion del AEP'!$D$11:$N$11,0))</f>
        <v>25000000</v>
      </c>
      <c r="F15" s="157">
        <f>INDEX('Informacion del AEP'!$D$13:$N$20,MATCH('Ingresos minoristas'!$C15,'Informacion del AEP'!$C$13:$C$20,0),MATCH('Ingresos minoristas'!F$12,'Informacion del AEP'!$D$11:$N$11,0))</f>
        <v>50000000</v>
      </c>
      <c r="G15" s="157">
        <f>INDEX('Informacion del AEP'!$D$13:$N$20,MATCH('Ingresos minoristas'!$C15,'Informacion del AEP'!$C$13:$C$20,0),MATCH('Ingresos minoristas'!G$12,'Informacion del AEP'!$D$11:$N$11,0))</f>
        <v>5000000</v>
      </c>
      <c r="H15" s="157">
        <f>INDEX('Informacion del AEP'!$D$13:$N$20,MATCH('Ingresos minoristas'!$C15,'Informacion del AEP'!$C$13:$C$20,0),MATCH('Ingresos minoristas'!H$12,'Informacion del AEP'!$D$11:$N$11,0))</f>
        <v>5000000</v>
      </c>
      <c r="I15" s="157">
        <f>INDEX('Informacion del AEP'!$D$13:$N$20,MATCH('Ingresos minoristas'!$C15,'Informacion del AEP'!$C$13:$C$20,0),MATCH('Ingresos minoristas'!I$12,'Informacion del AEP'!$D$11:$N$11,0))</f>
        <v>5000000</v>
      </c>
      <c r="J15" s="157">
        <f>INDEX('Informacion del AEP'!$D$13:$N$20,MATCH('Ingresos minoristas'!$C15,'Informacion del AEP'!$C$13:$C$20,0),MATCH('Ingresos minoristas'!J$12,'Informacion del AEP'!$D$11:$N$11,0))</f>
        <v>10000000</v>
      </c>
      <c r="K15" s="157">
        <f>INDEX('Informacion del AEP'!$D$13:$N$20,MATCH('Ingresos minoristas'!$C15,'Informacion del AEP'!$C$13:$C$20,0),MATCH('Ingresos minoristas'!K$12,'Informacion del AEP'!$D$11:$N$11,0))</f>
        <v>10000000</v>
      </c>
      <c r="L15" s="157">
        <f>INDEX('Informacion del AEP'!$D$13:$N$20,MATCH('Ingresos minoristas'!$C15,'Informacion del AEP'!$C$13:$C$20,0),MATCH('Ingresos minoristas'!L$12,'Informacion del AEP'!$D$11:$N$11,0))</f>
        <v>10000000</v>
      </c>
    </row>
    <row r="16" spans="2:12" x14ac:dyDescent="0.2">
      <c r="C16" s="24" t="str">
        <f>'Informacion del AEP'!$C16</f>
        <v>Servicio de Telefonía Móvil - mensajes</v>
      </c>
      <c r="D16" s="157">
        <f>INDEX('Informacion del AEP'!$D$13:$N$20,MATCH('Ingresos minoristas'!$C16,'Informacion del AEP'!$C$13:$C$20,0),MATCH('Ingresos minoristas'!D$12,'Informacion del AEP'!$D$11:$N$11,0))</f>
        <v>13500000</v>
      </c>
      <c r="E16" s="157">
        <f>INDEX('Informacion del AEP'!$D$13:$N$20,MATCH('Ingresos minoristas'!$C16,'Informacion del AEP'!$C$13:$C$20,0),MATCH('Ingresos minoristas'!E$12,'Informacion del AEP'!$D$11:$N$11,0))</f>
        <v>4500000</v>
      </c>
      <c r="F16" s="157">
        <f>INDEX('Informacion del AEP'!$D$13:$N$20,MATCH('Ingresos minoristas'!$C16,'Informacion del AEP'!$C$13:$C$20,0),MATCH('Ingresos minoristas'!F$12,'Informacion del AEP'!$D$11:$N$11,0))</f>
        <v>9000000</v>
      </c>
      <c r="G16" s="157">
        <f>INDEX('Informacion del AEP'!$D$13:$N$20,MATCH('Ingresos minoristas'!$C16,'Informacion del AEP'!$C$13:$C$20,0),MATCH('Ingresos minoristas'!G$12,'Informacion del AEP'!$D$11:$N$11,0))</f>
        <v>900000</v>
      </c>
      <c r="H16" s="157">
        <f>INDEX('Informacion del AEP'!$D$13:$N$20,MATCH('Ingresos minoristas'!$C16,'Informacion del AEP'!$C$13:$C$20,0),MATCH('Ingresos minoristas'!H$12,'Informacion del AEP'!$D$11:$N$11,0))</f>
        <v>900000</v>
      </c>
      <c r="I16" s="157">
        <f>INDEX('Informacion del AEP'!$D$13:$N$20,MATCH('Ingresos minoristas'!$C16,'Informacion del AEP'!$C$13:$C$20,0),MATCH('Ingresos minoristas'!I$12,'Informacion del AEP'!$D$11:$N$11,0))</f>
        <v>900000</v>
      </c>
      <c r="J16" s="157">
        <f>INDEX('Informacion del AEP'!$D$13:$N$20,MATCH('Ingresos minoristas'!$C16,'Informacion del AEP'!$C$13:$C$20,0),MATCH('Ingresos minoristas'!J$12,'Informacion del AEP'!$D$11:$N$11,0))</f>
        <v>1800000</v>
      </c>
      <c r="K16" s="157">
        <f>INDEX('Informacion del AEP'!$D$13:$N$20,MATCH('Ingresos minoristas'!$C16,'Informacion del AEP'!$C$13:$C$20,0),MATCH('Ingresos minoristas'!K$12,'Informacion del AEP'!$D$11:$N$11,0))</f>
        <v>1800000</v>
      </c>
      <c r="L16" s="157">
        <f>INDEX('Informacion del AEP'!$D$13:$N$20,MATCH('Ingresos minoristas'!$C16,'Informacion del AEP'!$C$13:$C$20,0),MATCH('Ingresos minoristas'!L$12,'Informacion del AEP'!$D$11:$N$11,0))</f>
        <v>1800000</v>
      </c>
    </row>
    <row r="17" spans="3:12" x14ac:dyDescent="0.2">
      <c r="C17" s="24" t="str">
        <f>'Informacion del AEP'!$C17</f>
        <v>Servicios OTT de vídeo</v>
      </c>
      <c r="D17" s="157">
        <f>INDEX('Informacion del AEP'!$D$13:$N$20,MATCH('Ingresos minoristas'!$C17,'Informacion del AEP'!$C$13:$C$20,0),MATCH('Ingresos minoristas'!D$12,'Informacion del AEP'!$D$11:$N$11,0))</f>
        <v>150</v>
      </c>
      <c r="E17" s="157">
        <f>INDEX('Informacion del AEP'!$D$13:$N$20,MATCH('Ingresos minoristas'!$C17,'Informacion del AEP'!$C$13:$C$20,0),MATCH('Ingresos minoristas'!E$12,'Informacion del AEP'!$D$11:$N$11,0))</f>
        <v>50</v>
      </c>
      <c r="F17" s="157">
        <f>INDEX('Informacion del AEP'!$D$13:$N$20,MATCH('Ingresos minoristas'!$C17,'Informacion del AEP'!$C$13:$C$20,0),MATCH('Ingresos minoristas'!F$12,'Informacion del AEP'!$D$11:$N$11,0))</f>
        <v>100</v>
      </c>
      <c r="G17" s="157">
        <f>INDEX('Informacion del AEP'!$D$13:$N$20,MATCH('Ingresos minoristas'!$C17,'Informacion del AEP'!$C$13:$C$20,0),MATCH('Ingresos minoristas'!G$12,'Informacion del AEP'!$D$11:$N$11,0))</f>
        <v>10</v>
      </c>
      <c r="H17" s="157">
        <f>INDEX('Informacion del AEP'!$D$13:$N$20,MATCH('Ingresos minoristas'!$C17,'Informacion del AEP'!$C$13:$C$20,0),MATCH('Ingresos minoristas'!H$12,'Informacion del AEP'!$D$11:$N$11,0))</f>
        <v>10</v>
      </c>
      <c r="I17" s="157">
        <f>INDEX('Informacion del AEP'!$D$13:$N$20,MATCH('Ingresos minoristas'!$C17,'Informacion del AEP'!$C$13:$C$20,0),MATCH('Ingresos minoristas'!I$12,'Informacion del AEP'!$D$11:$N$11,0))</f>
        <v>10</v>
      </c>
      <c r="J17" s="157">
        <f>INDEX('Informacion del AEP'!$D$13:$N$20,MATCH('Ingresos minoristas'!$C17,'Informacion del AEP'!$C$13:$C$20,0),MATCH('Ingresos minoristas'!J$12,'Informacion del AEP'!$D$11:$N$11,0))</f>
        <v>20</v>
      </c>
      <c r="K17" s="157">
        <f>INDEX('Informacion del AEP'!$D$13:$N$20,MATCH('Ingresos minoristas'!$C17,'Informacion del AEP'!$C$13:$C$20,0),MATCH('Ingresos minoristas'!K$12,'Informacion del AEP'!$D$11:$N$11,0))</f>
        <v>20</v>
      </c>
      <c r="L17" s="157">
        <f>INDEX('Informacion del AEP'!$D$13:$N$20,MATCH('Ingresos minoristas'!$C17,'Informacion del AEP'!$C$13:$C$20,0),MATCH('Ingresos minoristas'!L$12,'Informacion del AEP'!$D$11:$N$11,0))</f>
        <v>20</v>
      </c>
    </row>
    <row r="18" spans="3:12" x14ac:dyDescent="0.2">
      <c r="C18" s="24" t="str">
        <f>'Informacion del AEP'!$C18</f>
        <v>Servicios OTT de audio</v>
      </c>
      <c r="D18" s="157">
        <f>INDEX('Informacion del AEP'!$D$13:$N$20,MATCH('Ingresos minoristas'!$C18,'Informacion del AEP'!$C$13:$C$20,0),MATCH('Ingresos minoristas'!D$12,'Informacion del AEP'!$D$11:$N$11,0))</f>
        <v>150</v>
      </c>
      <c r="E18" s="157">
        <f>INDEX('Informacion del AEP'!$D$13:$N$20,MATCH('Ingresos minoristas'!$C18,'Informacion del AEP'!$C$13:$C$20,0),MATCH('Ingresos minoristas'!E$12,'Informacion del AEP'!$D$11:$N$11,0))</f>
        <v>50</v>
      </c>
      <c r="F18" s="157">
        <f>INDEX('Informacion del AEP'!$D$13:$N$20,MATCH('Ingresos minoristas'!$C18,'Informacion del AEP'!$C$13:$C$20,0),MATCH('Ingresos minoristas'!F$12,'Informacion del AEP'!$D$11:$N$11,0))</f>
        <v>100</v>
      </c>
      <c r="G18" s="157">
        <f>INDEX('Informacion del AEP'!$D$13:$N$20,MATCH('Ingresos minoristas'!$C18,'Informacion del AEP'!$C$13:$C$20,0),MATCH('Ingresos minoristas'!G$12,'Informacion del AEP'!$D$11:$N$11,0))</f>
        <v>10</v>
      </c>
      <c r="H18" s="157">
        <f>INDEX('Informacion del AEP'!$D$13:$N$20,MATCH('Ingresos minoristas'!$C18,'Informacion del AEP'!$C$13:$C$20,0),MATCH('Ingresos minoristas'!H$12,'Informacion del AEP'!$D$11:$N$11,0))</f>
        <v>10</v>
      </c>
      <c r="I18" s="157">
        <f>INDEX('Informacion del AEP'!$D$13:$N$20,MATCH('Ingresos minoristas'!$C18,'Informacion del AEP'!$C$13:$C$20,0),MATCH('Ingresos minoristas'!I$12,'Informacion del AEP'!$D$11:$N$11,0))</f>
        <v>10</v>
      </c>
      <c r="J18" s="157">
        <f>INDEX('Informacion del AEP'!$D$13:$N$20,MATCH('Ingresos minoristas'!$C18,'Informacion del AEP'!$C$13:$C$20,0),MATCH('Ingresos minoristas'!J$12,'Informacion del AEP'!$D$11:$N$11,0))</f>
        <v>20</v>
      </c>
      <c r="K18" s="157">
        <f>INDEX('Informacion del AEP'!$D$13:$N$20,MATCH('Ingresos minoristas'!$C18,'Informacion del AEP'!$C$13:$C$20,0),MATCH('Ingresos minoristas'!K$12,'Informacion del AEP'!$D$11:$N$11,0))</f>
        <v>20</v>
      </c>
      <c r="L18" s="157">
        <f>INDEX('Informacion del AEP'!$D$13:$N$20,MATCH('Ingresos minoristas'!$C18,'Informacion del AEP'!$C$13:$C$20,0),MATCH('Ingresos minoristas'!L$12,'Informacion del AEP'!$D$11:$N$11,0))</f>
        <v>20</v>
      </c>
    </row>
    <row r="19" spans="3:12" x14ac:dyDescent="0.2">
      <c r="C19" s="24" t="str">
        <f>'Informacion del AEP'!$C19</f>
        <v>Venta de equipos terminales</v>
      </c>
      <c r="D19" s="157">
        <f>INDEX('Informacion del AEP'!$D$13:$N$20,MATCH('Ingresos minoristas'!$C19,'Informacion del AEP'!$C$13:$C$20,0),MATCH('Ingresos minoristas'!D$12,'Informacion del AEP'!$D$11:$N$11,0))</f>
        <v>150</v>
      </c>
      <c r="E19" s="157">
        <f>INDEX('Informacion del AEP'!$D$13:$N$20,MATCH('Ingresos minoristas'!$C19,'Informacion del AEP'!$C$13:$C$20,0),MATCH('Ingresos minoristas'!E$12,'Informacion del AEP'!$D$11:$N$11,0))</f>
        <v>50</v>
      </c>
      <c r="F19" s="157">
        <f>INDEX('Informacion del AEP'!$D$13:$N$20,MATCH('Ingresos minoristas'!$C19,'Informacion del AEP'!$C$13:$C$20,0),MATCH('Ingresos minoristas'!F$12,'Informacion del AEP'!$D$11:$N$11,0))</f>
        <v>100</v>
      </c>
      <c r="G19" s="157">
        <f>INDEX('Informacion del AEP'!$D$13:$N$20,MATCH('Ingresos minoristas'!$C19,'Informacion del AEP'!$C$13:$C$20,0),MATCH('Ingresos minoristas'!G$12,'Informacion del AEP'!$D$11:$N$11,0))</f>
        <v>10</v>
      </c>
      <c r="H19" s="157">
        <f>INDEX('Informacion del AEP'!$D$13:$N$20,MATCH('Ingresos minoristas'!$C19,'Informacion del AEP'!$C$13:$C$20,0),MATCH('Ingresos minoristas'!H$12,'Informacion del AEP'!$D$11:$N$11,0))</f>
        <v>10</v>
      </c>
      <c r="I19" s="157">
        <f>INDEX('Informacion del AEP'!$D$13:$N$20,MATCH('Ingresos minoristas'!$C19,'Informacion del AEP'!$C$13:$C$20,0),MATCH('Ingresos minoristas'!I$12,'Informacion del AEP'!$D$11:$N$11,0))</f>
        <v>10</v>
      </c>
      <c r="J19" s="157">
        <f>INDEX('Informacion del AEP'!$D$13:$N$20,MATCH('Ingresos minoristas'!$C19,'Informacion del AEP'!$C$13:$C$20,0),MATCH('Ingresos minoristas'!J$12,'Informacion del AEP'!$D$11:$N$11,0))</f>
        <v>20</v>
      </c>
      <c r="K19" s="157">
        <f>INDEX('Informacion del AEP'!$D$13:$N$20,MATCH('Ingresos minoristas'!$C19,'Informacion del AEP'!$C$13:$C$20,0),MATCH('Ingresos minoristas'!K$12,'Informacion del AEP'!$D$11:$N$11,0))</f>
        <v>20</v>
      </c>
      <c r="L19" s="157">
        <f>INDEX('Informacion del AEP'!$D$13:$N$20,MATCH('Ingresos minoristas'!$C19,'Informacion del AEP'!$C$13:$C$20,0),MATCH('Ingresos minoristas'!L$12,'Informacion del AEP'!$D$11:$N$11,0))</f>
        <v>20</v>
      </c>
    </row>
    <row r="20" spans="3:12" x14ac:dyDescent="0.2">
      <c r="C20" s="24" t="str">
        <f>'Informacion del AEP'!$C20</f>
        <v>Otros servicios minoristas</v>
      </c>
      <c r="D20" s="157">
        <f>INDEX('Informacion del AEP'!$D$13:$N$20,MATCH('Ingresos minoristas'!$C20,'Informacion del AEP'!$C$13:$C$20,0),MATCH('Ingresos minoristas'!D$12,'Informacion del AEP'!$D$11:$N$11,0))</f>
        <v>1500</v>
      </c>
      <c r="E20" s="157">
        <f>INDEX('Informacion del AEP'!$D$13:$N$20,MATCH('Ingresos minoristas'!$C20,'Informacion del AEP'!$C$13:$C$20,0),MATCH('Ingresos minoristas'!E$12,'Informacion del AEP'!$D$11:$N$11,0))</f>
        <v>500</v>
      </c>
      <c r="F20" s="157">
        <f>INDEX('Informacion del AEP'!$D$13:$N$20,MATCH('Ingresos minoristas'!$C20,'Informacion del AEP'!$C$13:$C$20,0),MATCH('Ingresos minoristas'!F$12,'Informacion del AEP'!$D$11:$N$11,0))</f>
        <v>1000</v>
      </c>
      <c r="G20" s="157">
        <f>INDEX('Informacion del AEP'!$D$13:$N$20,MATCH('Ingresos minoristas'!$C20,'Informacion del AEP'!$C$13:$C$20,0),MATCH('Ingresos minoristas'!G$12,'Informacion del AEP'!$D$11:$N$11,0))</f>
        <v>100</v>
      </c>
      <c r="H20" s="157">
        <f>INDEX('Informacion del AEP'!$D$13:$N$20,MATCH('Ingresos minoristas'!$C20,'Informacion del AEP'!$C$13:$C$20,0),MATCH('Ingresos minoristas'!H$12,'Informacion del AEP'!$D$11:$N$11,0))</f>
        <v>100</v>
      </c>
      <c r="I20" s="157">
        <f>INDEX('Informacion del AEP'!$D$13:$N$20,MATCH('Ingresos minoristas'!$C20,'Informacion del AEP'!$C$13:$C$20,0),MATCH('Ingresos minoristas'!I$12,'Informacion del AEP'!$D$11:$N$11,0))</f>
        <v>100</v>
      </c>
      <c r="J20" s="157">
        <f>INDEX('Informacion del AEP'!$D$13:$N$20,MATCH('Ingresos minoristas'!$C20,'Informacion del AEP'!$C$13:$C$20,0),MATCH('Ingresos minoristas'!J$12,'Informacion del AEP'!$D$11:$N$11,0))</f>
        <v>200</v>
      </c>
      <c r="K20" s="157">
        <f>INDEX('Informacion del AEP'!$D$13:$N$20,MATCH('Ingresos minoristas'!$C20,'Informacion del AEP'!$C$13:$C$20,0),MATCH('Ingresos minoristas'!K$12,'Informacion del AEP'!$D$11:$N$11,0))</f>
        <v>200</v>
      </c>
      <c r="L20" s="157">
        <f>INDEX('Informacion del AEP'!$D$13:$N$20,MATCH('Ingresos minoristas'!$C20,'Informacion del AEP'!$C$13:$C$20,0),MATCH('Ingresos minoristas'!L$12,'Informacion del AEP'!$D$11:$N$11,0))</f>
        <v>200</v>
      </c>
    </row>
    <row r="21" spans="3:12" x14ac:dyDescent="0.2">
      <c r="C21" s="67" t="s">
        <v>192</v>
      </c>
      <c r="D21" s="163">
        <f>SUM(D13:D20)</f>
        <v>92251950</v>
      </c>
      <c r="E21" s="163">
        <f t="shared" ref="E21:L21" si="0">SUM(E13:E20)</f>
        <v>30750650</v>
      </c>
      <c r="F21" s="163">
        <f t="shared" si="0"/>
        <v>61501300</v>
      </c>
      <c r="G21" s="163">
        <f t="shared" si="0"/>
        <v>6150130</v>
      </c>
      <c r="H21" s="163">
        <f t="shared" si="0"/>
        <v>6150130</v>
      </c>
      <c r="I21" s="163">
        <f t="shared" si="0"/>
        <v>6150130</v>
      </c>
      <c r="J21" s="163">
        <f t="shared" si="0"/>
        <v>12300260</v>
      </c>
      <c r="K21" s="163">
        <f t="shared" si="0"/>
        <v>12300260</v>
      </c>
      <c r="L21" s="163">
        <f t="shared" si="0"/>
        <v>12300260</v>
      </c>
    </row>
    <row r="23" spans="3:12" x14ac:dyDescent="0.2">
      <c r="C23" s="134" t="s">
        <v>82</v>
      </c>
      <c r="D23" s="72" t="str">
        <f>IF(D21='Informacion del AEP'!F$12,"Ok","Error")</f>
        <v>Ok</v>
      </c>
      <c r="E23" s="72" t="str">
        <f>IF(E21='Informacion del AEP'!G$12,"Ok","Error")</f>
        <v>Ok</v>
      </c>
      <c r="F23" s="72" t="str">
        <f>IF(F21='Informacion del AEP'!H$12,"Ok","Error")</f>
        <v>Ok</v>
      </c>
      <c r="G23" s="72" t="str">
        <f>IF(G21='Informacion del AEP'!I$12,"Ok","Error")</f>
        <v>Ok</v>
      </c>
      <c r="H23" s="72" t="str">
        <f>IF(H21='Informacion del AEP'!J$12,"Ok","Error")</f>
        <v>Ok</v>
      </c>
      <c r="I23" s="72" t="str">
        <f>IF(I21='Informacion del AEP'!K$12,"Ok","Error")</f>
        <v>Ok</v>
      </c>
      <c r="J23" s="72" t="str">
        <f>IF(J21='Informacion del AEP'!L$12,"Ok","Error")</f>
        <v>Ok</v>
      </c>
      <c r="K23" s="72" t="str">
        <f>IF(K21='Informacion del AEP'!M$12,"Ok","Error")</f>
        <v>Ok</v>
      </c>
      <c r="L23" s="72" t="str">
        <f>IF(L21='Informacion del AEP'!N$12,"Ok","Error")</f>
        <v>Ok</v>
      </c>
    </row>
  </sheetData>
  <mergeCells count="1">
    <mergeCell ref="C8:F8"/>
  </mergeCells>
  <conditionalFormatting sqref="D23:L23">
    <cfRule type="containsText" dxfId="56" priority="1" operator="containsText" text="Error">
      <formula>NOT(ISERROR(SEARCH("Error",D23)))</formula>
    </cfRule>
    <cfRule type="containsText" dxfId="55" priority="2" operator="containsText" text="Ok">
      <formula>NOT(ISERROR(SEARCH("Ok",D23)))</formula>
    </cfRule>
    <cfRule type="expression" dxfId="54" priority="3">
      <formula>"Ok"</formula>
    </cfRule>
  </conditionalFormatting>
  <hyperlinks>
    <hyperlink ref="C3" location="'Resultados &gt;&gt;'!A1" display="Ir a Resultados &gt;&gt;" xr:uid="{6F574289-1D08-46A2-A0EF-534AB946840B}"/>
  </hyperlinks>
  <pageMargins left="0.7" right="0.7" top="0.75" bottom="0.75" header="0.3" footer="0.3"/>
  <ignoredErrors>
    <ignoredError sqref="D13:L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DCAD-0EE9-40E8-99F5-F77A892517F5}">
  <sheetPr>
    <tabColor theme="5" tint="0.39997558519241921"/>
  </sheetPr>
  <dimension ref="B1:L27"/>
  <sheetViews>
    <sheetView showGridLines="0" zoomScaleNormal="100" workbookViewId="0"/>
  </sheetViews>
  <sheetFormatPr baseColWidth="10" defaultColWidth="8.7109375" defaultRowHeight="12.75" x14ac:dyDescent="0.2"/>
  <cols>
    <col min="1" max="1" width="1.7109375" style="24" customWidth="1"/>
    <col min="2" max="2" width="8.7109375" style="24"/>
    <col min="3" max="3" width="32.140625" style="24" customWidth="1"/>
    <col min="4" max="12" width="16" style="24" customWidth="1"/>
    <col min="13" max="14" width="10.42578125" style="24" customWidth="1"/>
    <col min="15" max="15" width="8" style="24" customWidth="1"/>
    <col min="16" max="16384" width="8.7109375" style="24"/>
  </cols>
  <sheetData>
    <row r="1" spans="2:12" s="1" customFormat="1" ht="20.25" x14ac:dyDescent="0.3">
      <c r="B1" s="1" t="s">
        <v>186</v>
      </c>
    </row>
    <row r="3" spans="2:12" ht="20.100000000000001" customHeight="1" x14ac:dyDescent="0.2">
      <c r="C3" s="34" t="s">
        <v>53</v>
      </c>
    </row>
    <row r="5" spans="2:12" x14ac:dyDescent="0.2">
      <c r="C5" s="44" t="s">
        <v>54</v>
      </c>
      <c r="D5" s="158" t="s">
        <v>55</v>
      </c>
      <c r="E5" s="158" t="s">
        <v>56</v>
      </c>
    </row>
    <row r="6" spans="2:12" x14ac:dyDescent="0.2">
      <c r="C6"/>
      <c r="D6" s="150">
        <f>Supuestos!$C$5</f>
        <v>44197</v>
      </c>
      <c r="E6" s="150">
        <f>Supuestos!$C$6</f>
        <v>44286</v>
      </c>
    </row>
    <row r="7" spans="2:12" x14ac:dyDescent="0.2">
      <c r="C7"/>
    </row>
    <row r="8" spans="2:12" s="46" customFormat="1" ht="15.6" customHeight="1" x14ac:dyDescent="0.2">
      <c r="B8" s="46" t="s">
        <v>29</v>
      </c>
    </row>
    <row r="10" spans="2:12" ht="26.1" customHeight="1" x14ac:dyDescent="0.2">
      <c r="C10" s="75" t="s">
        <v>57</v>
      </c>
      <c r="D10" s="53" t="str">
        <f>Supuestos!B$84</f>
        <v>Todos los segmentos</v>
      </c>
      <c r="E10" s="53" t="str">
        <f>Supuestos!B$85</f>
        <v>Segmento Prepago</v>
      </c>
      <c r="F10" s="53" t="str">
        <f>Supuestos!B$86</f>
        <v>Segmento Pospago</v>
      </c>
      <c r="G10" s="53" t="str">
        <f>Supuestos!B$87</f>
        <v>Oferta 1</v>
      </c>
      <c r="H10" s="53" t="str">
        <f>Supuestos!B$88</f>
        <v>Oferta 2</v>
      </c>
      <c r="I10" s="53" t="str">
        <f>Supuestos!B$89</f>
        <v>Oferta 3</v>
      </c>
      <c r="J10" s="53" t="str">
        <f>Supuestos!B$90</f>
        <v>Oferta 4</v>
      </c>
      <c r="K10" s="53" t="str">
        <f>Supuestos!B$91</f>
        <v>Oferta 5</v>
      </c>
      <c r="L10" s="53" t="str">
        <f>Supuestos!B$92</f>
        <v>Oferta 6</v>
      </c>
    </row>
    <row r="11" spans="2:12" x14ac:dyDescent="0.2">
      <c r="C11" s="146" t="s">
        <v>167</v>
      </c>
      <c r="D11" s="142">
        <f>INDEX('Pagos mayoristas'!$D$11:$L$198,MATCH(D$10,'Pagos mayoristas'!$C$11:$C$198,0),MATCH($C11,'Pagos mayoristas'!$D$10:$L$10,0))</f>
        <v>465</v>
      </c>
      <c r="E11" s="142">
        <f>INDEX('Pagos mayoristas'!$D$11:$L$198,MATCH(E$10,'Pagos mayoristas'!$C$11:$C$198,0),MATCH($C11,'Pagos mayoristas'!$D$10:$L$10,0))</f>
        <v>155</v>
      </c>
      <c r="F11" s="142">
        <f>INDEX('Pagos mayoristas'!$D$11:$L$198,MATCH(F$10,'Pagos mayoristas'!$C$11:$C$198,0),MATCH($C11,'Pagos mayoristas'!$D$10:$L$10,0))</f>
        <v>310</v>
      </c>
      <c r="G11" s="142">
        <f>INDEX('Pagos mayoristas'!$D$11:$L$198,MATCH(G$10,'Pagos mayoristas'!$C$11:$C$198,0),MATCH($C11,'Pagos mayoristas'!$D$10:$L$10,0))</f>
        <v>30.999999999999993</v>
      </c>
      <c r="H11" s="142">
        <f>INDEX('Pagos mayoristas'!$D$11:$L$198,MATCH(H$10,'Pagos mayoristas'!$C$11:$C$198,0),MATCH($C11,'Pagos mayoristas'!$D$10:$L$10,0))</f>
        <v>30.999999999999993</v>
      </c>
      <c r="I11" s="142">
        <f>INDEX('Pagos mayoristas'!$D$11:$L$198,MATCH(I$10,'Pagos mayoristas'!$C$11:$C$198,0),MATCH($C11,'Pagos mayoristas'!$D$10:$L$10,0))</f>
        <v>30.999999999999993</v>
      </c>
      <c r="J11" s="142">
        <f>INDEX('Pagos mayoristas'!$D$11:$L$198,MATCH(J$10,'Pagos mayoristas'!$C$11:$C$198,0),MATCH($C11,'Pagos mayoristas'!$D$10:$L$10,0))</f>
        <v>61.999999999999986</v>
      </c>
      <c r="K11" s="142">
        <f>INDEX('Pagos mayoristas'!$D$11:$L$198,MATCH(K$10,'Pagos mayoristas'!$C$11:$C$198,0),MATCH($C11,'Pagos mayoristas'!$D$10:$L$10,0))</f>
        <v>61.999999999999986</v>
      </c>
      <c r="L11" s="142">
        <f>INDEX('Pagos mayoristas'!$D$11:$L$198,MATCH(L$10,'Pagos mayoristas'!$C$11:$C$198,0),MATCH($C11,'Pagos mayoristas'!$D$10:$L$10,0))</f>
        <v>61.999999999999986</v>
      </c>
    </row>
    <row r="12" spans="2:12" x14ac:dyDescent="0.2">
      <c r="C12" s="146" t="s">
        <v>171</v>
      </c>
      <c r="D12" s="142">
        <f>INDEX('Pagos mayoristas'!$D$11:$L$198,MATCH(D$10,'Pagos mayoristas'!$C$11:$C$198,0),MATCH($C12,'Pagos mayoristas'!$D$10:$L$10,0))</f>
        <v>0</v>
      </c>
      <c r="E12" s="142">
        <f>INDEX('Pagos mayoristas'!$D$11:$L$198,MATCH(E$10,'Pagos mayoristas'!$C$11:$C$198,0),MATCH($C12,'Pagos mayoristas'!$D$10:$L$10,0))</f>
        <v>0</v>
      </c>
      <c r="F12" s="142">
        <f>INDEX('Pagos mayoristas'!$D$11:$L$198,MATCH(F$10,'Pagos mayoristas'!$C$11:$C$198,0),MATCH($C12,'Pagos mayoristas'!$D$10:$L$10,0))</f>
        <v>0</v>
      </c>
      <c r="G12" s="142">
        <f>INDEX('Pagos mayoristas'!$D$11:$L$198,MATCH(G$10,'Pagos mayoristas'!$C$11:$C$198,0),MATCH($C12,'Pagos mayoristas'!$D$10:$L$10,0))</f>
        <v>0</v>
      </c>
      <c r="H12" s="142">
        <f>INDEX('Pagos mayoristas'!$D$11:$L$198,MATCH(H$10,'Pagos mayoristas'!$C$11:$C$198,0),MATCH($C12,'Pagos mayoristas'!$D$10:$L$10,0))</f>
        <v>0</v>
      </c>
      <c r="I12" s="142">
        <f>INDEX('Pagos mayoristas'!$D$11:$L$198,MATCH(I$10,'Pagos mayoristas'!$C$11:$C$198,0),MATCH($C12,'Pagos mayoristas'!$D$10:$L$10,0))</f>
        <v>0</v>
      </c>
      <c r="J12" s="142">
        <f>INDEX('Pagos mayoristas'!$D$11:$L$198,MATCH(J$10,'Pagos mayoristas'!$C$11:$C$198,0),MATCH($C12,'Pagos mayoristas'!$D$10:$L$10,0))</f>
        <v>0</v>
      </c>
      <c r="K12" s="142">
        <f>INDEX('Pagos mayoristas'!$D$11:$L$198,MATCH(K$10,'Pagos mayoristas'!$C$11:$C$198,0),MATCH($C12,'Pagos mayoristas'!$D$10:$L$10,0))</f>
        <v>0</v>
      </c>
      <c r="L12" s="142">
        <f>INDEX('Pagos mayoristas'!$D$11:$L$198,MATCH(L$10,'Pagos mayoristas'!$C$11:$C$198,0),MATCH($C12,'Pagos mayoristas'!$D$10:$L$10,0))</f>
        <v>0</v>
      </c>
    </row>
    <row r="13" spans="2:12" x14ac:dyDescent="0.2">
      <c r="C13" s="146" t="s">
        <v>166</v>
      </c>
      <c r="D13" s="142">
        <f>INDEX('Pagos mayoristas'!$D$11:$L$198,MATCH(D$10,'Pagos mayoristas'!$C$11:$C$198,0),MATCH($C13,'Pagos mayoristas'!$D$10:$L$10,0))</f>
        <v>1394.1993</v>
      </c>
      <c r="E13" s="142">
        <f>INDEX('Pagos mayoristas'!$D$11:$L$198,MATCH(E$10,'Pagos mayoristas'!$C$11:$C$198,0),MATCH($C13,'Pagos mayoristas'!$D$10:$L$10,0))</f>
        <v>464.73310000000004</v>
      </c>
      <c r="F13" s="142">
        <f>INDEX('Pagos mayoristas'!$D$11:$L$198,MATCH(F$10,'Pagos mayoristas'!$C$11:$C$198,0),MATCH($C13,'Pagos mayoristas'!$D$10:$L$10,0))</f>
        <v>929.46620000000007</v>
      </c>
      <c r="G13" s="142">
        <f>INDEX('Pagos mayoristas'!$D$11:$L$198,MATCH(G$10,'Pagos mayoristas'!$C$11:$C$198,0),MATCH($C13,'Pagos mayoristas'!$D$10:$L$10,0))</f>
        <v>92.946619999999996</v>
      </c>
      <c r="H13" s="142">
        <f>INDEX('Pagos mayoristas'!$D$11:$L$198,MATCH(H$10,'Pagos mayoristas'!$C$11:$C$198,0),MATCH($C13,'Pagos mayoristas'!$D$10:$L$10,0))</f>
        <v>92.946619999999996</v>
      </c>
      <c r="I13" s="142">
        <f>INDEX('Pagos mayoristas'!$D$11:$L$198,MATCH(I$10,'Pagos mayoristas'!$C$11:$C$198,0),MATCH($C13,'Pagos mayoristas'!$D$10:$L$10,0))</f>
        <v>92.946619999999996</v>
      </c>
      <c r="J13" s="142">
        <f>INDEX('Pagos mayoristas'!$D$11:$L$198,MATCH(J$10,'Pagos mayoristas'!$C$11:$C$198,0),MATCH($C13,'Pagos mayoristas'!$D$10:$L$10,0))</f>
        <v>185.89323999999999</v>
      </c>
      <c r="K13" s="142">
        <f>INDEX('Pagos mayoristas'!$D$11:$L$198,MATCH(K$10,'Pagos mayoristas'!$C$11:$C$198,0),MATCH($C13,'Pagos mayoristas'!$D$10:$L$10,0))</f>
        <v>185.89323999999999</v>
      </c>
      <c r="L13" s="142">
        <f>INDEX('Pagos mayoristas'!$D$11:$L$198,MATCH(L$10,'Pagos mayoristas'!$C$11:$C$198,0),MATCH($C13,'Pagos mayoristas'!$D$10:$L$10,0))</f>
        <v>185.89323999999999</v>
      </c>
    </row>
    <row r="14" spans="2:12" x14ac:dyDescent="0.2">
      <c r="C14" s="146" t="s">
        <v>182</v>
      </c>
      <c r="D14" s="142">
        <f>INDEX('Pagos mayoristas'!$D$11:$L$198,MATCH(D$10,'Pagos mayoristas'!$C$11:$C$198,0),MATCH($C14,'Pagos mayoristas'!$D$10:$L$10,0))</f>
        <v>111646956</v>
      </c>
      <c r="E14" s="142">
        <f>INDEX('Pagos mayoristas'!$D$11:$L$198,MATCH(E$10,'Pagos mayoristas'!$C$11:$C$198,0),MATCH($C14,'Pagos mayoristas'!$D$10:$L$10,0))</f>
        <v>54022980</v>
      </c>
      <c r="F14" s="142">
        <f>INDEX('Pagos mayoristas'!$D$11:$L$198,MATCH(F$10,'Pagos mayoristas'!$C$11:$C$198,0),MATCH($C14,'Pagos mayoristas'!$D$10:$L$10,0))</f>
        <v>57623976</v>
      </c>
      <c r="G14" s="142">
        <f>INDEX('Pagos mayoristas'!$D$11:$L$198,MATCH(G$10,'Pagos mayoristas'!$C$11:$C$198,0),MATCH($C14,'Pagos mayoristas'!$D$10:$L$10,0))</f>
        <v>6003000</v>
      </c>
      <c r="H14" s="142">
        <f>INDEX('Pagos mayoristas'!$D$11:$L$198,MATCH(H$10,'Pagos mayoristas'!$C$11:$C$198,0),MATCH($C14,'Pagos mayoristas'!$D$10:$L$10,0))</f>
        <v>4802010</v>
      </c>
      <c r="I14" s="142">
        <f>INDEX('Pagos mayoristas'!$D$11:$L$198,MATCH(I$10,'Pagos mayoristas'!$C$11:$C$198,0),MATCH($C14,'Pagos mayoristas'!$D$10:$L$10,0))</f>
        <v>4802010</v>
      </c>
      <c r="J14" s="142">
        <f>INDEX('Pagos mayoristas'!$D$11:$L$198,MATCH(J$10,'Pagos mayoristas'!$C$11:$C$198,0),MATCH($C14,'Pagos mayoristas'!$D$10:$L$10,0))</f>
        <v>4802010</v>
      </c>
      <c r="K14" s="142">
        <f>INDEX('Pagos mayoristas'!$D$11:$L$198,MATCH(K$10,'Pagos mayoristas'!$C$11:$C$198,0),MATCH($C14,'Pagos mayoristas'!$D$10:$L$10,0))</f>
        <v>4802010</v>
      </c>
      <c r="L14" s="142">
        <f>INDEX('Pagos mayoristas'!$D$11:$L$198,MATCH(L$10,'Pagos mayoristas'!$C$11:$C$198,0),MATCH($C14,'Pagos mayoristas'!$D$10:$L$10,0))</f>
        <v>4802010</v>
      </c>
    </row>
    <row r="15" spans="2:12" x14ac:dyDescent="0.2">
      <c r="C15" s="146" t="s">
        <v>183</v>
      </c>
      <c r="D15" s="142">
        <f>INDEX('Pagos mayoristas'!$D$11:$L$198,MATCH(D$10,'Pagos mayoristas'!$C$11:$C$198,0),MATCH($C15,'Pagos mayoristas'!$D$10:$L$10,0))</f>
        <v>6250</v>
      </c>
      <c r="E15" s="142">
        <f>INDEX('Pagos mayoristas'!$D$11:$L$198,MATCH(E$10,'Pagos mayoristas'!$C$11:$C$198,0),MATCH($C15,'Pagos mayoristas'!$D$10:$L$10,0))</f>
        <v>6250</v>
      </c>
      <c r="F15" s="142">
        <f>INDEX('Pagos mayoristas'!$D$11:$L$198,MATCH(F$10,'Pagos mayoristas'!$C$11:$C$198,0),MATCH($C15,'Pagos mayoristas'!$D$10:$L$10,0))</f>
        <v>6250</v>
      </c>
      <c r="G15" s="142">
        <f>INDEX('Pagos mayoristas'!$D$11:$L$198,MATCH(G$10,'Pagos mayoristas'!$C$11:$C$198,0),MATCH($C15,'Pagos mayoristas'!$D$10:$L$10,0))</f>
        <v>416.66666666666669</v>
      </c>
      <c r="H15" s="142">
        <f>INDEX('Pagos mayoristas'!$D$11:$L$198,MATCH(H$10,'Pagos mayoristas'!$C$11:$C$198,0),MATCH($C15,'Pagos mayoristas'!$D$10:$L$10,0))</f>
        <v>416.66666666666669</v>
      </c>
      <c r="I15" s="142">
        <f>INDEX('Pagos mayoristas'!$D$11:$L$198,MATCH(I$10,'Pagos mayoristas'!$C$11:$C$198,0),MATCH($C15,'Pagos mayoristas'!$D$10:$L$10,0))</f>
        <v>416.66666666666669</v>
      </c>
      <c r="J15" s="142">
        <f>INDEX('Pagos mayoristas'!$D$11:$L$198,MATCH(J$10,'Pagos mayoristas'!$C$11:$C$198,0),MATCH($C15,'Pagos mayoristas'!$D$10:$L$10,0))</f>
        <v>833.33333333333337</v>
      </c>
      <c r="K15" s="142">
        <f>INDEX('Pagos mayoristas'!$D$11:$L$198,MATCH(K$10,'Pagos mayoristas'!$C$11:$C$198,0),MATCH($C15,'Pagos mayoristas'!$D$10:$L$10,0))</f>
        <v>833.33333333333337</v>
      </c>
      <c r="L15" s="142">
        <f>INDEX('Pagos mayoristas'!$D$11:$L$198,MATCH(L$10,'Pagos mayoristas'!$C$11:$C$198,0),MATCH($C15,'Pagos mayoristas'!$D$10:$L$10,0))</f>
        <v>833.33333333333337</v>
      </c>
    </row>
    <row r="16" spans="2:12" x14ac:dyDescent="0.2">
      <c r="C16" s="67" t="s">
        <v>29</v>
      </c>
      <c r="D16" s="163">
        <f>SUM(D11:D15)</f>
        <v>111655065.19930001</v>
      </c>
      <c r="E16" s="163">
        <f t="shared" ref="E16:L16" si="0">SUM(E11:E15)</f>
        <v>54029849.733099997</v>
      </c>
      <c r="F16" s="163">
        <f t="shared" si="0"/>
        <v>57631465.466200002</v>
      </c>
      <c r="G16" s="163">
        <f t="shared" si="0"/>
        <v>6003540.6132866666</v>
      </c>
      <c r="H16" s="163">
        <f t="shared" si="0"/>
        <v>4802550.6132866666</v>
      </c>
      <c r="I16" s="163">
        <f t="shared" si="0"/>
        <v>4802550.6132866666</v>
      </c>
      <c r="J16" s="163">
        <f t="shared" si="0"/>
        <v>4803091.2265733331</v>
      </c>
      <c r="K16" s="163">
        <f t="shared" si="0"/>
        <v>4803091.2265733331</v>
      </c>
      <c r="L16" s="163">
        <f t="shared" si="0"/>
        <v>4803091.2265733331</v>
      </c>
    </row>
    <row r="18" spans="2:12" x14ac:dyDescent="0.2">
      <c r="C18" s="134" t="s">
        <v>82</v>
      </c>
      <c r="D18" s="72" t="str">
        <f>IF(D16=SUM('Pagos mayoristas'!$D$11,'Pagos mayoristas'!$F$11,'Pagos mayoristas'!$H$11,'Pagos mayoristas'!$J$11,'Pagos mayoristas'!$L$11),"Ok","Error")</f>
        <v>Ok</v>
      </c>
      <c r="E18" s="72" t="str">
        <f>IF(E16=SUM('Pagos mayoristas'!D32,'Pagos mayoristas'!$F$32,'Pagos mayoristas'!$H$32,'Pagos mayoristas'!$J$32,'Pagos mayoristas'!$L$32),"Ok","Error")</f>
        <v>Ok</v>
      </c>
      <c r="F18" s="72" t="str">
        <f>IF(F16=SUM('Pagos mayoristas'!$D$53,'Pagos mayoristas'!$F$53,'Pagos mayoristas'!$H$53,'Pagos mayoristas'!$J$53,'Pagos mayoristas'!$L$53),"Ok","Error")</f>
        <v>Ok</v>
      </c>
      <c r="G18" s="72" t="str">
        <f>IF(G16=SUM('Pagos mayoristas'!$D$74,'Pagos mayoristas'!$F$74,'Pagos mayoristas'!$H$74,'Pagos mayoristas'!$J$74,'Pagos mayoristas'!$L$74),"Ok","Error")</f>
        <v>Ok</v>
      </c>
      <c r="H18" s="72" t="str">
        <f>IF(H16=SUM('Pagos mayoristas'!$D$95,'Pagos mayoristas'!$F$95,'Pagos mayoristas'!$H$95,'Pagos mayoristas'!$J$95,'Pagos mayoristas'!$L$95),"Ok","Error")</f>
        <v>Ok</v>
      </c>
      <c r="I18" s="72" t="str">
        <f>IF(I16=SUM('Pagos mayoristas'!$D$116,'Pagos mayoristas'!$F$116,'Pagos mayoristas'!$H$116,'Pagos mayoristas'!$J$116,'Pagos mayoristas'!$L$116),"Ok","Error")</f>
        <v>Ok</v>
      </c>
      <c r="J18" s="72" t="str">
        <f>IF(J16=SUM('Pagos mayoristas'!$D$137,'Pagos mayoristas'!$F$137,'Pagos mayoristas'!$H$137,'Pagos mayoristas'!$J$137,'Pagos mayoristas'!$L$137),"Ok","Error")</f>
        <v>Ok</v>
      </c>
      <c r="K18" s="72" t="str">
        <f>IF(K16=SUM('Pagos mayoristas'!$D$158,'Pagos mayoristas'!$F$158,'Pagos mayoristas'!$H$158,'Pagos mayoristas'!$J$158,'Pagos mayoristas'!$L$158),"Ok","Error")</f>
        <v>Ok</v>
      </c>
      <c r="L18" s="72" t="str">
        <f>IF(L16=SUM('Pagos mayoristas'!$D$179,'Pagos mayoristas'!$F$179,'Pagos mayoristas'!$H$179,'Pagos mayoristas'!$J$179,'Pagos mayoristas'!$L$179),"Ok","Error")</f>
        <v>Ok</v>
      </c>
    </row>
    <row r="20" spans="2:12" s="46" customFormat="1" ht="15.6" customHeight="1" x14ac:dyDescent="0.2">
      <c r="B20" s="46" t="s">
        <v>190</v>
      </c>
    </row>
    <row r="22" spans="2:12" x14ac:dyDescent="0.2">
      <c r="C22" s="87"/>
      <c r="D22" s="121" t="s">
        <v>189</v>
      </c>
      <c r="E22" s="147" t="str">
        <f>'Prueba Servicios Moviles'!C6</f>
        <v>SEO</v>
      </c>
    </row>
    <row r="24" spans="2:12" ht="25.5" x14ac:dyDescent="0.2">
      <c r="C24" s="75" t="s">
        <v>57</v>
      </c>
      <c r="D24" s="53" t="str">
        <f>Supuestos!B$84</f>
        <v>Todos los segmentos</v>
      </c>
      <c r="E24" s="53" t="str">
        <f>Supuestos!B$85</f>
        <v>Segmento Prepago</v>
      </c>
      <c r="F24" s="53" t="str">
        <f>Supuestos!B$86</f>
        <v>Segmento Pospago</v>
      </c>
      <c r="G24" s="53" t="str">
        <f>Supuestos!B$87</f>
        <v>Oferta 1</v>
      </c>
      <c r="H24" s="53" t="str">
        <f>Supuestos!B$88</f>
        <v>Oferta 2</v>
      </c>
      <c r="I24" s="53" t="str">
        <f>Supuestos!B$89</f>
        <v>Oferta 3</v>
      </c>
      <c r="J24" s="53" t="str">
        <f>Supuestos!B$90</f>
        <v>Oferta 4</v>
      </c>
      <c r="K24" s="53" t="str">
        <f>Supuestos!B$91</f>
        <v>Oferta 5</v>
      </c>
      <c r="L24" s="53" t="str">
        <f>Supuestos!B$92</f>
        <v>Oferta 6</v>
      </c>
    </row>
    <row r="25" spans="2:12" x14ac:dyDescent="0.2">
      <c r="C25" s="67" t="str">
        <f>IF(E22="EEO",'Costos aguas abajo'!$D$9,'Costos aguas abajo'!$K$9)</f>
        <v xml:space="preserve">Costos totales ajustados </v>
      </c>
      <c r="D25" s="163">
        <f>INDEX('Costos aguas abajo'!$D$10:$K$251,MATCH(Costos!D$24,'Costos aguas abajo'!$C$10:$C$251,0),MATCH(Costos!$C$25,'Costos aguas abajo'!$D$9:$K$9,0))</f>
        <v>1136837128</v>
      </c>
      <c r="E25" s="163">
        <f>INDEX('Costos aguas abajo'!$D$10:$K$251,MATCH(Costos!E$24,'Costos aguas abajo'!$C$10:$C$251,0),MATCH(Costos!$C$25,'Costos aguas abajo'!$D$9:$K$9,0))</f>
        <v>388736099.99999988</v>
      </c>
      <c r="F25" s="163">
        <f>INDEX('Costos aguas abajo'!$D$10:$K$251,MATCH(Costos!F$24,'Costos aguas abajo'!$C$10:$C$251,0),MATCH(Costos!$C$25,'Costos aguas abajo'!$D$9:$K$9,0))</f>
        <v>777472199.99999976</v>
      </c>
      <c r="G25" s="163">
        <f>INDEX('Costos aguas abajo'!$D$10:$K$251,MATCH(Costos!G$24,'Costos aguas abajo'!$C$10:$C$251,0),MATCH(Costos!$C$25,'Costos aguas abajo'!$D$9:$K$9,0))</f>
        <v>77747220.00000003</v>
      </c>
      <c r="H25" s="163">
        <f>INDEX('Costos aguas abajo'!$D$10:$K$251,MATCH(Costos!H$24,'Costos aguas abajo'!$C$10:$C$251,0),MATCH(Costos!$C$25,'Costos aguas abajo'!$D$9:$K$9,0))</f>
        <v>77747220.00000003</v>
      </c>
      <c r="I25" s="163">
        <f>INDEX('Costos aguas abajo'!$D$10:$K$251,MATCH(Costos!I$24,'Costos aguas abajo'!$C$10:$C$251,0),MATCH(Costos!$C$25,'Costos aguas abajo'!$D$9:$K$9,0))</f>
        <v>77747220.00000003</v>
      </c>
      <c r="J25" s="163">
        <f>INDEX('Costos aguas abajo'!$D$10:$K$251,MATCH(Costos!J$24,'Costos aguas abajo'!$C$10:$C$251,0),MATCH(Costos!$C$25,'Costos aguas abajo'!$D$9:$K$9,0))</f>
        <v>155494440.00000006</v>
      </c>
      <c r="K25" s="163">
        <f>INDEX('Costos aguas abajo'!$D$10:$K$251,MATCH(Costos!K$24,'Costos aguas abajo'!$C$10:$C$251,0),MATCH(Costos!$C$25,'Costos aguas abajo'!$D$9:$K$9,0))</f>
        <v>155494440.00000006</v>
      </c>
      <c r="L25" s="163">
        <f>INDEX('Costos aguas abajo'!$D$10:$K$251,MATCH(Costos!L$24,'Costos aguas abajo'!$C$10:$C$251,0),MATCH(Costos!$C$25,'Costos aguas abajo'!$D$9:$K$9,0))</f>
        <v>155494440.00000006</v>
      </c>
    </row>
    <row r="27" spans="2:12" x14ac:dyDescent="0.2">
      <c r="C27" s="134" t="s">
        <v>82</v>
      </c>
      <c r="D27" s="72" t="str">
        <f>IF(E22="EEO",IF(D25='Costos aguas abajo'!$D$10,"Ok","Error"),IF(D25='Costos aguas abajo'!$K$10,"Ok","Error"))</f>
        <v>Ok</v>
      </c>
      <c r="E27" s="72" t="str">
        <f>IF(F22="EEO",IF(E25='Costos aguas abajo'!$D$37,"Ok","Error"),IF(E25='Costos aguas abajo'!$K$37,"Ok","Error"))</f>
        <v>Ok</v>
      </c>
      <c r="F27" s="72" t="str">
        <f>IF(G22="EEO",IF(F25='Costos aguas abajo'!$D$64,"Ok","Error"),IF(F25='Costos aguas abajo'!$K$64,"Ok","Error"))</f>
        <v>Ok</v>
      </c>
      <c r="G27" s="72" t="str">
        <f>IF(H22="EEO",IF(G25='Costos aguas abajo'!$D$91,"Ok","Error"),IF(G25='Costos aguas abajo'!$K$91,"Ok","Error"))</f>
        <v>Ok</v>
      </c>
      <c r="H27" s="72" t="str">
        <f>IF(I22="EEO",IF(H25='Costos aguas abajo'!$D$118,"Ok","Error"),IF(H25='Costos aguas abajo'!$K$118,"Ok","Error"))</f>
        <v>Ok</v>
      </c>
      <c r="I27" s="72" t="str">
        <f>IF(J22="EEO",IF(I25='Costos aguas abajo'!$D$145,"Ok","Error"),IF(I25='Costos aguas abajo'!$K$145,"Ok","Error"))</f>
        <v>Ok</v>
      </c>
      <c r="J27" s="72" t="str">
        <f>IF(K22="EEO",IF(J25='Costos aguas abajo'!$D$172,"Ok","Error"),IF(J25='Costos aguas abajo'!$K$172,"Ok","Error"))</f>
        <v>Ok</v>
      </c>
      <c r="K27" s="72" t="str">
        <f>IF(L22="EEO",IF(K25='Costos aguas abajo'!$D$199,"Ok","Error"),IF(K25='Costos aguas abajo'!$K$199,"Ok","Error"))</f>
        <v>Ok</v>
      </c>
      <c r="L27" s="72" t="str">
        <f>IF(M22="EEO",IF(L25='Costos aguas abajo'!$D$226,"Ok","Error"),IF(L25='Costos aguas abajo'!$K$226,"Ok","Error"))</f>
        <v>Ok</v>
      </c>
    </row>
  </sheetData>
  <conditionalFormatting sqref="D18:L18">
    <cfRule type="containsText" dxfId="53" priority="4" operator="containsText" text="Error">
      <formula>NOT(ISERROR(SEARCH("Error",D18)))</formula>
    </cfRule>
    <cfRule type="containsText" dxfId="52" priority="5" operator="containsText" text="Ok">
      <formula>NOT(ISERROR(SEARCH("Ok",D18)))</formula>
    </cfRule>
    <cfRule type="expression" dxfId="51" priority="6">
      <formula>"Ok"</formula>
    </cfRule>
  </conditionalFormatting>
  <conditionalFormatting sqref="D27:L27">
    <cfRule type="containsText" dxfId="50" priority="1" operator="containsText" text="Error">
      <formula>NOT(ISERROR(SEARCH("Error",D27)))</formula>
    </cfRule>
    <cfRule type="containsText" dxfId="49" priority="2" operator="containsText" text="Ok">
      <formula>NOT(ISERROR(SEARCH("Ok",D27)))</formula>
    </cfRule>
    <cfRule type="expression" dxfId="48" priority="3">
      <formula>"Ok"</formula>
    </cfRule>
  </conditionalFormatting>
  <hyperlinks>
    <hyperlink ref="C3" location="'Resultados &gt;&gt;'!A1" display="Ir a Resultados &gt;&gt;" xr:uid="{BC75168B-B808-42CC-B946-B2C5846C242B}"/>
  </hyperlinks>
  <pageMargins left="0.7" right="0.7" top="0.75" bottom="0.75" header="0.3" footer="0.3"/>
  <ignoredErrors>
    <ignoredError sqref="E2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B53E-05FE-4B33-9B69-A8987374DEE2}">
  <sheetPr>
    <tabColor theme="8"/>
  </sheetPr>
  <dimension ref="C13"/>
  <sheetViews>
    <sheetView showGridLines="0" workbookViewId="0">
      <selection sqref="A1:XFD1048576"/>
    </sheetView>
  </sheetViews>
  <sheetFormatPr baseColWidth="10" defaultColWidth="8.7109375" defaultRowHeight="12.75" x14ac:dyDescent="0.2"/>
  <cols>
    <col min="1" max="16384" width="8.7109375" style="33"/>
  </cols>
  <sheetData>
    <row r="13" spans="3:3" ht="27.75" x14ac:dyDescent="0.4">
      <c r="C13" s="32" t="s">
        <v>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029D-619B-43DD-889C-1ABA6A8605C0}">
  <sheetPr>
    <tabColor theme="8" tint="0.79998168889431442"/>
  </sheetPr>
  <dimension ref="B1:S198"/>
  <sheetViews>
    <sheetView showGridLines="0" zoomScaleNormal="100" workbookViewId="0">
      <pane ySplit="10" topLeftCell="A11" activePane="bottomLeft" state="frozen"/>
      <selection pane="bottomLeft"/>
    </sheetView>
  </sheetViews>
  <sheetFormatPr baseColWidth="10" defaultColWidth="8.7109375" defaultRowHeight="12.75" x14ac:dyDescent="0.2"/>
  <cols>
    <col min="1" max="1" width="1.7109375" style="24" customWidth="1"/>
    <col min="2" max="2" width="8.7109375" style="24"/>
    <col min="3" max="3" width="47.28515625" style="24" customWidth="1"/>
    <col min="4" max="4" width="15.85546875" style="24" customWidth="1"/>
    <col min="5" max="5" width="4.140625" style="24" customWidth="1"/>
    <col min="6" max="6" width="15.85546875" style="24" customWidth="1"/>
    <col min="7" max="7" width="4.140625" style="24" customWidth="1"/>
    <col min="8" max="8" width="15.85546875" style="24" customWidth="1"/>
    <col min="9" max="9" width="4.140625" style="24" customWidth="1"/>
    <col min="10" max="10" width="15.85546875" style="24" customWidth="1"/>
    <col min="11" max="11" width="4.140625" style="24" customWidth="1"/>
    <col min="12" max="12" width="15.85546875" style="24" customWidth="1"/>
    <col min="13" max="16384" width="8.7109375" style="24"/>
  </cols>
  <sheetData>
    <row r="1" spans="2:19" s="1" customFormat="1" ht="20.25" x14ac:dyDescent="0.3">
      <c r="B1" s="1" t="s">
        <v>173</v>
      </c>
    </row>
    <row r="3" spans="2:19" ht="20.100000000000001" customHeight="1" x14ac:dyDescent="0.2">
      <c r="C3" s="34" t="s">
        <v>53</v>
      </c>
    </row>
    <row r="5" spans="2:19" x14ac:dyDescent="0.2">
      <c r="C5" s="44" t="s">
        <v>54</v>
      </c>
      <c r="D5" s="158" t="s">
        <v>55</v>
      </c>
      <c r="E5" s="132"/>
      <c r="F5" s="158" t="s">
        <v>56</v>
      </c>
    </row>
    <row r="6" spans="2:19" x14ac:dyDescent="0.2">
      <c r="C6"/>
      <c r="D6" s="150">
        <f>Supuestos!$C$5</f>
        <v>44197</v>
      </c>
      <c r="E6" s="132"/>
      <c r="F6" s="150">
        <f>Supuestos!$C$6</f>
        <v>44286</v>
      </c>
    </row>
    <row r="7" spans="2:19" x14ac:dyDescent="0.2">
      <c r="C7"/>
    </row>
    <row r="8" spans="2:19" ht="78.95" customHeight="1" x14ac:dyDescent="0.2">
      <c r="C8" s="225" t="s">
        <v>184</v>
      </c>
      <c r="D8" s="226"/>
      <c r="E8" s="226"/>
      <c r="F8" s="226"/>
      <c r="G8" s="226"/>
      <c r="H8" s="226"/>
      <c r="I8" s="226"/>
      <c r="J8" s="226"/>
      <c r="K8" s="226"/>
      <c r="L8" s="226"/>
    </row>
    <row r="10" spans="2:19" ht="19.5" customHeight="1" x14ac:dyDescent="0.2">
      <c r="C10" s="75" t="s">
        <v>181</v>
      </c>
      <c r="D10" s="138" t="s">
        <v>167</v>
      </c>
      <c r="E10" s="139"/>
      <c r="F10" s="138" t="s">
        <v>171</v>
      </c>
      <c r="G10" s="139"/>
      <c r="H10" s="138" t="s">
        <v>166</v>
      </c>
      <c r="I10" s="139"/>
      <c r="J10" s="138" t="s">
        <v>182</v>
      </c>
      <c r="K10" s="139"/>
      <c r="L10" s="138" t="s">
        <v>183</v>
      </c>
      <c r="M10" s="140"/>
    </row>
    <row r="11" spans="2:19" x14ac:dyDescent="0.2">
      <c r="C11" s="135" t="str">
        <f>Supuestos!$B$84</f>
        <v>Todos los segmentos</v>
      </c>
      <c r="D11" s="141">
        <f>SUM(D12:D30)</f>
        <v>465</v>
      </c>
      <c r="E11" s="136"/>
      <c r="F11" s="141">
        <f>SUM(F12:F30)</f>
        <v>0</v>
      </c>
      <c r="G11" s="136"/>
      <c r="H11" s="141">
        <f>SUM(H12:H30)</f>
        <v>1394.1993</v>
      </c>
      <c r="I11" s="136"/>
      <c r="J11" s="141">
        <f>$J$32+$J$53</f>
        <v>111646956</v>
      </c>
      <c r="K11" s="136"/>
      <c r="L11" s="141">
        <f>'Precios mayoristas'!$D$28/Supuestos!$C$13</f>
        <v>6250</v>
      </c>
      <c r="O11" s="144" t="s">
        <v>82</v>
      </c>
      <c r="P11" s="72" t="str">
        <f>IF(D11=SUM(D32,D53),"Ok","Error")</f>
        <v>Ok</v>
      </c>
      <c r="Q11" s="72" t="str">
        <f>IF(F11=SUM(F32,F53),"Ok","Error")</f>
        <v>Ok</v>
      </c>
      <c r="R11" s="72" t="str">
        <f>IF(H11=SUM(H32,H53),"Ok","Error")</f>
        <v>Ok</v>
      </c>
      <c r="S11" s="72" t="str">
        <f>IF(J11=SUM(J32,J53),"Ok","Error")</f>
        <v>Ok</v>
      </c>
    </row>
    <row r="12" spans="2:19" x14ac:dyDescent="0.2">
      <c r="C12" s="24" t="str">
        <f>IF(Supuestos!B57="","",Supuestos!B57)</f>
        <v>Datos</v>
      </c>
      <c r="D12" s="142">
        <f>IF(C12="","",(INDEX('Precios mayoristas'!$D$33:$E$51,MATCH('Pagos mayoristas'!$C12,'Precios mayoristas'!$C$33:$C$51,0),MATCH('Pagos mayoristas'!$D$10,'Precios mayoristas'!$D$32:$E$32,0)))*INDEX('Informacion del AEP'!$D$54:$N$72,MATCH('Pagos mayoristas'!$C12,'Informacion del AEP'!$C$54:$C$72,0),MATCH('Pagos mayoristas'!$C$11,'Informacion del AEP'!$D$53:$N$53,0)))</f>
        <v>36</v>
      </c>
      <c r="F12" s="142">
        <f>IF(C12="","",('Precios mayoristas'!$D$58*INDEX('Informacion del AEP'!$D$54:$N$72,MATCH('Pagos mayoristas'!$C12,'Informacion del AEP'!$C$54:$C$72,0),MATCH('Pagos mayoristas'!$C$11,'Informacion del AEP'!$D$53:$N$53,0))*INDEX('Informacion del AEP'!$D$113:$F$131,MATCH('Pagos mayoristas'!$C12,'Informacion del AEP'!$C$113:$C$131,0),2)))</f>
        <v>0</v>
      </c>
      <c r="H12" s="142">
        <f>IF(C12="","",(INDEX('Precios mayoristas'!$D$33:$E$51,MATCH('Pagos mayoristas'!$C12,'Precios mayoristas'!$C$33:$C$51,0),MATCH('Pagos mayoristas'!$H$10,'Precios mayoristas'!$D$32:$E$32,0)))*INDEX('Informacion del AEP'!$D$54:$N$72,MATCH('Pagos mayoristas'!$C12,'Informacion del AEP'!$C$54:$C$72,0),MATCH('Pagos mayoristas'!$C$11,'Informacion del AEP'!$D$53:$N$53,0)))</f>
        <v>0</v>
      </c>
    </row>
    <row r="13" spans="2:19" x14ac:dyDescent="0.2">
      <c r="C13" s="24" t="str">
        <f>IF(Supuestos!B58="","",Supuestos!B58)</f>
        <v>Originación voz mismo OMV</v>
      </c>
      <c r="D13" s="142">
        <f>IF(C13="","",(INDEX('Precios mayoristas'!$D$33:$E$51,MATCH('Pagos mayoristas'!$C13,'Precios mayoristas'!$C$33:$C$51,0),MATCH('Pagos mayoristas'!$D$10,'Precios mayoristas'!$D$32:$E$32,0)))*INDEX('Informacion del AEP'!$D$54:$N$72,MATCH('Pagos mayoristas'!$C13,'Informacion del AEP'!$C$54:$C$72,0),MATCH('Pagos mayoristas'!$C$11,'Informacion del AEP'!$D$53:$N$53,0)))</f>
        <v>33</v>
      </c>
      <c r="F13" s="142">
        <f>IF(C13="","",('Precios mayoristas'!$D$58*INDEX('Informacion del AEP'!$D$54:$N$72,MATCH('Pagos mayoristas'!$C13,'Informacion del AEP'!$C$54:$C$72,0),MATCH('Pagos mayoristas'!$C$11,'Informacion del AEP'!$D$53:$N$53,0))*INDEX('Informacion del AEP'!$D$113:$F$131,MATCH('Pagos mayoristas'!$C13,'Informacion del AEP'!$C$113:$C$131,0),2)))</f>
        <v>0</v>
      </c>
      <c r="H13" s="142">
        <f>IF(C13="","",(INDEX('Precios mayoristas'!$D$33:$E$51,MATCH('Pagos mayoristas'!$C13,'Precios mayoristas'!$C$33:$C$51,0),MATCH('Pagos mayoristas'!$H$10,'Precios mayoristas'!$D$32:$E$32,0)))*INDEX('Informacion del AEP'!$D$54:$N$72,MATCH('Pagos mayoristas'!$C13,'Informacion del AEP'!$C$54:$C$72,0),MATCH('Pagos mayoristas'!$C$11,'Informacion del AEP'!$D$53:$N$53,0)))</f>
        <v>0</v>
      </c>
    </row>
    <row r="14" spans="2:19" x14ac:dyDescent="0.2">
      <c r="C14" s="24" t="str">
        <f>IF(Supuestos!B59="","",Supuestos!B59)</f>
        <v>Originación voz on-net otro OMV</v>
      </c>
      <c r="D14" s="142">
        <f>IF(C14="","",(INDEX('Precios mayoristas'!$D$33:$E$51,MATCH('Pagos mayoristas'!$C14,'Precios mayoristas'!$C$33:$C$51,0),MATCH('Pagos mayoristas'!$D$10,'Precios mayoristas'!$D$32:$E$32,0)))*INDEX('Informacion del AEP'!$D$54:$N$72,MATCH('Pagos mayoristas'!$C14,'Informacion del AEP'!$C$54:$C$72,0),MATCH('Pagos mayoristas'!$C$11,'Informacion del AEP'!$D$53:$N$53,0)))</f>
        <v>33</v>
      </c>
      <c r="F14" s="142">
        <f>IF(C14="","",('Precios mayoristas'!$D$58*INDEX('Informacion del AEP'!$D$54:$N$72,MATCH('Pagos mayoristas'!$C14,'Informacion del AEP'!$C$54:$C$72,0),MATCH('Pagos mayoristas'!$C$11,'Informacion del AEP'!$D$53:$N$53,0))*INDEX('Informacion del AEP'!$D$113:$F$131,MATCH('Pagos mayoristas'!$C14,'Informacion del AEP'!$C$113:$C$131,0),2)))</f>
        <v>0</v>
      </c>
      <c r="H14" s="142">
        <f>IF(C14="","",(INDEX('Precios mayoristas'!$D$33:$E$51,MATCH('Pagos mayoristas'!$C14,'Precios mayoristas'!$C$33:$C$51,0),MATCH('Pagos mayoristas'!$H$10,'Precios mayoristas'!$D$32:$E$32,0)))*INDEX('Informacion del AEP'!$D$54:$N$72,MATCH('Pagos mayoristas'!$C14,'Informacion del AEP'!$C$54:$C$72,0),MATCH('Pagos mayoristas'!$C$11,'Informacion del AEP'!$D$53:$N$53,0)))</f>
        <v>56.07</v>
      </c>
    </row>
    <row r="15" spans="2:19" x14ac:dyDescent="0.2">
      <c r="C15" s="24" t="str">
        <f>IF(Supuestos!B60="","",Supuestos!B60)</f>
        <v>Originación voz on-net</v>
      </c>
      <c r="D15" s="142">
        <f>IF(C15="","",(INDEX('Precios mayoristas'!$D$33:$E$51,MATCH('Pagos mayoristas'!$C15,'Precios mayoristas'!$C$33:$C$51,0),MATCH('Pagos mayoristas'!$D$10,'Precios mayoristas'!$D$32:$E$32,0)))*INDEX('Informacion del AEP'!$D$54:$N$72,MATCH('Pagos mayoristas'!$C15,'Informacion del AEP'!$C$54:$C$72,0),MATCH('Pagos mayoristas'!$C$11,'Informacion del AEP'!$D$53:$N$53,0)))</f>
        <v>33</v>
      </c>
      <c r="F15" s="142">
        <f>IF(C15="","",('Precios mayoristas'!$D$58*INDEX('Informacion del AEP'!$D$54:$N$72,MATCH('Pagos mayoristas'!$C15,'Informacion del AEP'!$C$54:$C$72,0),MATCH('Pagos mayoristas'!$C$11,'Informacion del AEP'!$D$53:$N$53,0))*INDEX('Informacion del AEP'!$D$113:$F$131,MATCH('Pagos mayoristas'!$C15,'Informacion del AEP'!$C$113:$C$131,0),2)))</f>
        <v>0</v>
      </c>
      <c r="H15" s="142">
        <f>IF(C15="","",(INDEX('Precios mayoristas'!$D$33:$E$51,MATCH('Pagos mayoristas'!$C15,'Precios mayoristas'!$C$33:$C$51,0),MATCH('Pagos mayoristas'!$H$10,'Precios mayoristas'!$D$32:$E$32,0)))*INDEX('Informacion del AEP'!$D$54:$N$72,MATCH('Pagos mayoristas'!$C15,'Informacion del AEP'!$C$54:$C$72,0),MATCH('Pagos mayoristas'!$C$11,'Informacion del AEP'!$D$53:$N$53,0)))</f>
        <v>0.9264</v>
      </c>
    </row>
    <row r="16" spans="2:19" x14ac:dyDescent="0.2">
      <c r="C16" s="24" t="str">
        <f>IF(Supuestos!B61="","",Supuestos!B61)</f>
        <v>Originación voz off-net móvil</v>
      </c>
      <c r="D16" s="142">
        <f>IF(C16="","",(INDEX('Precios mayoristas'!$D$33:$E$51,MATCH('Pagos mayoristas'!$C16,'Precios mayoristas'!$C$33:$C$51,0),MATCH('Pagos mayoristas'!$D$10,'Precios mayoristas'!$D$32:$E$32,0)))*INDEX('Informacion del AEP'!$D$54:$N$72,MATCH('Pagos mayoristas'!$C16,'Informacion del AEP'!$C$54:$C$72,0),MATCH('Pagos mayoristas'!$C$11,'Informacion del AEP'!$D$53:$N$53,0)))</f>
        <v>33</v>
      </c>
      <c r="F16" s="142">
        <f>IF(C16="","",('Precios mayoristas'!$D$58*INDEX('Informacion del AEP'!$D$54:$N$72,MATCH('Pagos mayoristas'!$C16,'Informacion del AEP'!$C$54:$C$72,0),MATCH('Pagos mayoristas'!$C$11,'Informacion del AEP'!$D$53:$N$53,0))*INDEX('Informacion del AEP'!$D$113:$F$131,MATCH('Pagos mayoristas'!$C16,'Informacion del AEP'!$C$113:$C$131,0),2)))</f>
        <v>0</v>
      </c>
      <c r="H16" s="142">
        <f>IF(C16="","",(INDEX('Precios mayoristas'!$D$33:$E$51,MATCH('Pagos mayoristas'!$C16,'Precios mayoristas'!$C$33:$C$51,0),MATCH('Pagos mayoristas'!$H$10,'Precios mayoristas'!$D$32:$E$32,0)))*INDEX('Informacion del AEP'!$D$54:$N$72,MATCH('Pagos mayoristas'!$C16,'Informacion del AEP'!$C$54:$C$72,0),MATCH('Pagos mayoristas'!$C$11,'Informacion del AEP'!$D$53:$N$53,0)))</f>
        <v>0</v>
      </c>
    </row>
    <row r="17" spans="3:19" x14ac:dyDescent="0.2">
      <c r="C17" s="24" t="str">
        <f>IF(Supuestos!B62="","",Supuestos!B62)</f>
        <v>Originación voz fijo</v>
      </c>
      <c r="D17" s="142">
        <f>IF(C17="","",(INDEX('Precios mayoristas'!$D$33:$E$51,MATCH('Pagos mayoristas'!$C17,'Precios mayoristas'!$C$33:$C$51,0),MATCH('Pagos mayoristas'!$D$10,'Precios mayoristas'!$D$32:$E$32,0)))*INDEX('Informacion del AEP'!$D$54:$N$72,MATCH('Pagos mayoristas'!$C17,'Informacion del AEP'!$C$54:$C$72,0),MATCH('Pagos mayoristas'!$C$11,'Informacion del AEP'!$D$53:$N$53,0)))</f>
        <v>33</v>
      </c>
      <c r="F17" s="142">
        <f>IF(C17="","",('Precios mayoristas'!$D$58*INDEX('Informacion del AEP'!$D$54:$N$72,MATCH('Pagos mayoristas'!$C17,'Informacion del AEP'!$C$54:$C$72,0),MATCH('Pagos mayoristas'!$C$11,'Informacion del AEP'!$D$53:$N$53,0))*INDEX('Informacion del AEP'!$D$113:$F$131,MATCH('Pagos mayoristas'!$C17,'Informacion del AEP'!$C$113:$C$131,0),2)))</f>
        <v>0</v>
      </c>
      <c r="H17" s="142">
        <f>IF(C17="","",(INDEX('Precios mayoristas'!$D$33:$E$51,MATCH('Pagos mayoristas'!$C17,'Precios mayoristas'!$C$33:$C$51,0),MATCH('Pagos mayoristas'!$H$10,'Precios mayoristas'!$D$32:$E$32,0)))*INDEX('Informacion del AEP'!$D$54:$N$72,MATCH('Pagos mayoristas'!$C17,'Informacion del AEP'!$C$54:$C$72,0),MATCH('Pagos mayoristas'!$C$11,'Informacion del AEP'!$D$53:$N$53,0)))</f>
        <v>56.07</v>
      </c>
    </row>
    <row r="18" spans="3:19" x14ac:dyDescent="0.2">
      <c r="C18" s="24" t="str">
        <f>IF(Supuestos!B63="","",Supuestos!B63)</f>
        <v>Originación voz internacional USA-Canadá</v>
      </c>
      <c r="D18" s="142">
        <f>IF(C18="","",(INDEX('Precios mayoristas'!$D$33:$E$51,MATCH('Pagos mayoristas'!$C18,'Precios mayoristas'!$C$33:$C$51,0),MATCH('Pagos mayoristas'!$D$10,'Precios mayoristas'!$D$32:$E$32,0)))*INDEX('Informacion del AEP'!$D$54:$N$72,MATCH('Pagos mayoristas'!$C18,'Informacion del AEP'!$C$54:$C$72,0),MATCH('Pagos mayoristas'!$C$11,'Informacion del AEP'!$D$53:$N$53,0)))</f>
        <v>33</v>
      </c>
      <c r="F18" s="142">
        <f>IF(C18="","",('Precios mayoristas'!$D$58*INDEX('Informacion del AEP'!$D$54:$N$72,MATCH('Pagos mayoristas'!$C18,'Informacion del AEP'!$C$54:$C$72,0),MATCH('Pagos mayoristas'!$C$11,'Informacion del AEP'!$D$53:$N$53,0))*INDEX('Informacion del AEP'!$D$113:$F$131,MATCH('Pagos mayoristas'!$C18,'Informacion del AEP'!$C$113:$C$131,0),2)))</f>
        <v>0</v>
      </c>
      <c r="H18" s="142">
        <f>IF(C18="","",(INDEX('Precios mayoristas'!$D$33:$E$51,MATCH('Pagos mayoristas'!$C18,'Precios mayoristas'!$C$33:$C$51,0),MATCH('Pagos mayoristas'!$H$10,'Precios mayoristas'!$D$32:$E$32,0)))*INDEX('Informacion del AEP'!$D$54:$N$72,MATCH('Pagos mayoristas'!$C18,'Informacion del AEP'!$C$54:$C$72,0),MATCH('Pagos mayoristas'!$C$11,'Informacion del AEP'!$D$53:$N$53,0)))</f>
        <v>0.9264</v>
      </c>
    </row>
    <row r="19" spans="3:19" x14ac:dyDescent="0.2">
      <c r="C19" s="24" t="str">
        <f>IF(Supuestos!B64="","",Supuestos!B64)</f>
        <v xml:space="preserve">Originación voz internacional Mundial </v>
      </c>
      <c r="D19" s="142">
        <f>IF(C19="","",(INDEX('Precios mayoristas'!$D$33:$E$51,MATCH('Pagos mayoristas'!$C19,'Precios mayoristas'!$C$33:$C$51,0),MATCH('Pagos mayoristas'!$D$10,'Precios mayoristas'!$D$32:$E$32,0)))*INDEX('Informacion del AEP'!$D$54:$N$72,MATCH('Pagos mayoristas'!$C19,'Informacion del AEP'!$C$54:$C$72,0),MATCH('Pagos mayoristas'!$C$11,'Informacion del AEP'!$D$53:$N$53,0)))</f>
        <v>33</v>
      </c>
      <c r="F19" s="142">
        <f>IF(C19="","",('Precios mayoristas'!$D$58*INDEX('Informacion del AEP'!$D$54:$N$72,MATCH('Pagos mayoristas'!$C19,'Informacion del AEP'!$C$54:$C$72,0),MATCH('Pagos mayoristas'!$C$11,'Informacion del AEP'!$D$53:$N$53,0))*INDEX('Informacion del AEP'!$D$113:$F$131,MATCH('Pagos mayoristas'!$C19,'Informacion del AEP'!$C$113:$C$131,0),2)))</f>
        <v>0</v>
      </c>
      <c r="H19" s="142">
        <f>IF(C19="","",(INDEX('Precios mayoristas'!$D$33:$E$51,MATCH('Pagos mayoristas'!$C19,'Precios mayoristas'!$C$33:$C$51,0),MATCH('Pagos mayoristas'!$H$10,'Precios mayoristas'!$D$32:$E$32,0)))*INDEX('Informacion del AEP'!$D$54:$N$72,MATCH('Pagos mayoristas'!$C19,'Informacion del AEP'!$C$54:$C$72,0),MATCH('Pagos mayoristas'!$C$11,'Informacion del AEP'!$D$53:$N$53,0)))</f>
        <v>150</v>
      </c>
    </row>
    <row r="20" spans="3:19" x14ac:dyDescent="0.2">
      <c r="C20" s="24" t="str">
        <f>IF(Supuestos!B65="","",Supuestos!B65)</f>
        <v>Originación voz internacional Cuba</v>
      </c>
      <c r="D20" s="142">
        <f>IF(C20="","",(INDEX('Precios mayoristas'!$D$33:$E$51,MATCH('Pagos mayoristas'!$C20,'Precios mayoristas'!$C$33:$C$51,0),MATCH('Pagos mayoristas'!$D$10,'Precios mayoristas'!$D$32:$E$32,0)))*INDEX('Informacion del AEP'!$D$54:$N$72,MATCH('Pagos mayoristas'!$C20,'Informacion del AEP'!$C$54:$C$72,0),MATCH('Pagos mayoristas'!$C$11,'Informacion del AEP'!$D$53:$N$53,0)))</f>
        <v>33</v>
      </c>
      <c r="F20" s="142">
        <f>IF(C20="","",('Precios mayoristas'!$D$58*INDEX('Informacion del AEP'!$D$54:$N$72,MATCH('Pagos mayoristas'!$C20,'Informacion del AEP'!$C$54:$C$72,0),MATCH('Pagos mayoristas'!$C$11,'Informacion del AEP'!$D$53:$N$53,0))*INDEX('Informacion del AEP'!$D$113:$F$131,MATCH('Pagos mayoristas'!$C20,'Informacion del AEP'!$C$113:$C$131,0),2)))</f>
        <v>0</v>
      </c>
      <c r="H20" s="142">
        <f>IF(C20="","",(INDEX('Precios mayoristas'!$D$33:$E$51,MATCH('Pagos mayoristas'!$C20,'Precios mayoristas'!$C$33:$C$51,0),MATCH('Pagos mayoristas'!$H$10,'Precios mayoristas'!$D$32:$E$32,0)))*INDEX('Informacion del AEP'!$D$54:$N$72,MATCH('Pagos mayoristas'!$C20,'Informacion del AEP'!$C$54:$C$72,0),MATCH('Pagos mayoristas'!$C$11,'Informacion del AEP'!$D$53:$N$53,0)))</f>
        <v>750</v>
      </c>
    </row>
    <row r="21" spans="3:19" x14ac:dyDescent="0.2">
      <c r="C21" s="24" t="str">
        <f>IF(Supuestos!B66="","",Supuestos!B66)</f>
        <v/>
      </c>
      <c r="D21" s="142" t="str">
        <f>IF(C21="","",(INDEX('Precios mayoristas'!$D$33:$E$51,MATCH('Pagos mayoristas'!$C21,'Precios mayoristas'!$C$33:$C$51,0),MATCH('Pagos mayoristas'!$D$10,'Precios mayoristas'!$D$32:$E$32,0)))*INDEX('Informacion del AEP'!$D$54:$N$72,MATCH('Pagos mayoristas'!$C21,'Informacion del AEP'!$C$54:$C$72,0),MATCH('Pagos mayoristas'!$C$11,'Informacion del AEP'!$D$53:$N$53,0)))</f>
        <v/>
      </c>
      <c r="F21" s="142" t="str">
        <f>IF(C21="","",('Precios mayoristas'!$D$58*INDEX('Informacion del AEP'!$D$54:$N$72,MATCH('Pagos mayoristas'!$C21,'Informacion del AEP'!$C$54:$C$72,0),MATCH('Pagos mayoristas'!$C$11,'Informacion del AEP'!$D$53:$N$53,0))*INDEX('Informacion del AEP'!$D$113:$F$131,MATCH('Pagos mayoristas'!$C21,'Informacion del AEP'!$C$113:$C$131,0),2)))</f>
        <v/>
      </c>
      <c r="H21" s="142" t="str">
        <f>IF(C21="","",(INDEX('Precios mayoristas'!$D$33:$E$51,MATCH('Pagos mayoristas'!$C21,'Precios mayoristas'!$C$33:$C$51,0),MATCH('Pagos mayoristas'!$H$10,'Precios mayoristas'!$D$32:$E$32,0)))*INDEX('Informacion del AEP'!$D$54:$N$72,MATCH('Pagos mayoristas'!$C21,'Informacion del AEP'!$C$54:$C$72,0),MATCH('Pagos mayoristas'!$C$11,'Informacion del AEP'!$D$53:$N$53,0)))</f>
        <v/>
      </c>
    </row>
    <row r="22" spans="3:19" x14ac:dyDescent="0.2">
      <c r="C22" s="24" t="str">
        <f>IF(Supuestos!B67="","",Supuestos!B67)</f>
        <v/>
      </c>
      <c r="D22" s="142" t="str">
        <f>IF(C22="","",(INDEX('Precios mayoristas'!$D$33:$E$51,MATCH('Pagos mayoristas'!$C22,'Precios mayoristas'!$C$33:$C$51,0),MATCH('Pagos mayoristas'!$D$10,'Precios mayoristas'!$D$32:$E$32,0)))*INDEX('Informacion del AEP'!$D$54:$N$72,MATCH('Pagos mayoristas'!$C22,'Informacion del AEP'!$C$54:$C$72,0),MATCH('Pagos mayoristas'!$C$11,'Informacion del AEP'!$D$53:$N$53,0)))</f>
        <v/>
      </c>
      <c r="F22" s="142" t="str">
        <f>IF(C22="","",('Precios mayoristas'!$D$58*INDEX('Informacion del AEP'!$D$54:$N$72,MATCH('Pagos mayoristas'!$C22,'Informacion del AEP'!$C$54:$C$72,0),MATCH('Pagos mayoristas'!$C$11,'Informacion del AEP'!$D$53:$N$53,0))*INDEX('Informacion del AEP'!$D$113:$F$131,MATCH('Pagos mayoristas'!$C22,'Informacion del AEP'!$C$113:$C$131,0),2)))</f>
        <v/>
      </c>
      <c r="H22" s="142" t="str">
        <f>IF(C22="","",(INDEX('Precios mayoristas'!$D$33:$E$51,MATCH('Pagos mayoristas'!$C22,'Precios mayoristas'!$C$33:$C$51,0),MATCH('Pagos mayoristas'!$H$10,'Precios mayoristas'!$D$32:$E$32,0)))*INDEX('Informacion del AEP'!$D$54:$N$72,MATCH('Pagos mayoristas'!$C22,'Informacion del AEP'!$C$54:$C$72,0),MATCH('Pagos mayoristas'!$C$11,'Informacion del AEP'!$D$53:$N$53,0)))</f>
        <v/>
      </c>
    </row>
    <row r="23" spans="3:19" x14ac:dyDescent="0.2">
      <c r="C23" s="24" t="str">
        <f>IF(Supuestos!B68="","",Supuestos!B68)</f>
        <v/>
      </c>
      <c r="D23" s="142" t="str">
        <f>IF(C23="","",(INDEX('Precios mayoristas'!$D$33:$E$51,MATCH('Pagos mayoristas'!$C23,'Precios mayoristas'!$C$33:$C$51,0),MATCH('Pagos mayoristas'!$D$10,'Precios mayoristas'!$D$32:$E$32,0)))*INDEX('Informacion del AEP'!$D$54:$N$72,MATCH('Pagos mayoristas'!$C23,'Informacion del AEP'!$C$54:$C$72,0),MATCH('Pagos mayoristas'!$C$11,'Informacion del AEP'!$D$53:$N$53,0)))</f>
        <v/>
      </c>
      <c r="F23" s="142" t="str">
        <f>IF(C23="","",('Precios mayoristas'!$D$58*INDEX('Informacion del AEP'!$D$54:$N$72,MATCH('Pagos mayoristas'!$C23,'Informacion del AEP'!$C$54:$C$72,0),MATCH('Pagos mayoristas'!$C$11,'Informacion del AEP'!$D$53:$N$53,0))*INDEX('Informacion del AEP'!$D$113:$F$131,MATCH('Pagos mayoristas'!$C23,'Informacion del AEP'!$C$113:$C$131,0),2)))</f>
        <v/>
      </c>
      <c r="H23" s="142" t="str">
        <f>IF(C23="","",(INDEX('Precios mayoristas'!$D$33:$E$51,MATCH('Pagos mayoristas'!$C23,'Precios mayoristas'!$C$33:$C$51,0),MATCH('Pagos mayoristas'!$H$10,'Precios mayoristas'!$D$32:$E$32,0)))*INDEX('Informacion del AEP'!$D$54:$N$72,MATCH('Pagos mayoristas'!$C23,'Informacion del AEP'!$C$54:$C$72,0),MATCH('Pagos mayoristas'!$C$11,'Informacion del AEP'!$D$53:$N$53,0)))</f>
        <v/>
      </c>
    </row>
    <row r="24" spans="3:19" x14ac:dyDescent="0.2">
      <c r="C24" s="24" t="str">
        <f>IF(Supuestos!B69="","",Supuestos!B69)</f>
        <v/>
      </c>
      <c r="D24" s="142" t="str">
        <f>IF(C24="","",(INDEX('Precios mayoristas'!$D$33:$E$51,MATCH('Pagos mayoristas'!$C24,'Precios mayoristas'!$C$33:$C$51,0),MATCH('Pagos mayoristas'!$D$10,'Precios mayoristas'!$D$32:$E$32,0)))*INDEX('Informacion del AEP'!$D$54:$N$72,MATCH('Pagos mayoristas'!$C24,'Informacion del AEP'!$C$54:$C$72,0),MATCH('Pagos mayoristas'!$C$11,'Informacion del AEP'!$D$53:$N$53,0)))</f>
        <v/>
      </c>
      <c r="F24" s="142" t="str">
        <f>IF(C24="","",('Precios mayoristas'!$D$58*INDEX('Informacion del AEP'!$D$54:$N$72,MATCH('Pagos mayoristas'!$C24,'Informacion del AEP'!$C$54:$C$72,0),MATCH('Pagos mayoristas'!$C$11,'Informacion del AEP'!$D$53:$N$53,0))*INDEX('Informacion del AEP'!$D$113:$F$131,MATCH('Pagos mayoristas'!$C24,'Informacion del AEP'!$C$113:$C$131,0),2)))</f>
        <v/>
      </c>
      <c r="H24" s="142" t="str">
        <f>IF(C24="","",(INDEX('Precios mayoristas'!$D$33:$E$51,MATCH('Pagos mayoristas'!$C24,'Precios mayoristas'!$C$33:$C$51,0),MATCH('Pagos mayoristas'!$H$10,'Precios mayoristas'!$D$32:$E$32,0)))*INDEX('Informacion del AEP'!$D$54:$N$72,MATCH('Pagos mayoristas'!$C24,'Informacion del AEP'!$C$54:$C$72,0),MATCH('Pagos mayoristas'!$C$11,'Informacion del AEP'!$D$53:$N$53,0)))</f>
        <v/>
      </c>
    </row>
    <row r="25" spans="3:19" x14ac:dyDescent="0.2">
      <c r="C25" s="24" t="str">
        <f>IF(Supuestos!B70="","",Supuestos!B70)</f>
        <v/>
      </c>
      <c r="D25" s="142" t="str">
        <f>IF(C25="","",(INDEX('Precios mayoristas'!$D$33:$E$51,MATCH('Pagos mayoristas'!$C25,'Precios mayoristas'!$C$33:$C$51,0),MATCH('Pagos mayoristas'!$D$10,'Precios mayoristas'!$D$32:$E$32,0)))*INDEX('Informacion del AEP'!$D$54:$N$72,MATCH('Pagos mayoristas'!$C25,'Informacion del AEP'!$C$54:$C$72,0),MATCH('Pagos mayoristas'!$C$11,'Informacion del AEP'!$D$53:$N$53,0)))</f>
        <v/>
      </c>
      <c r="F25" s="142" t="str">
        <f>IF(C25="","",('Precios mayoristas'!$D$58*INDEX('Informacion del AEP'!$D$54:$N$72,MATCH('Pagos mayoristas'!$C25,'Informacion del AEP'!$C$54:$C$72,0),MATCH('Pagos mayoristas'!$C$11,'Informacion del AEP'!$D$53:$N$53,0))*INDEX('Informacion del AEP'!$D$113:$F$131,MATCH('Pagos mayoristas'!$C25,'Informacion del AEP'!$C$113:$C$131,0),2)))</f>
        <v/>
      </c>
      <c r="H25" s="142" t="str">
        <f>IF(C25="","",(INDEX('Precios mayoristas'!$D$33:$E$51,MATCH('Pagos mayoristas'!$C25,'Precios mayoristas'!$C$33:$C$51,0),MATCH('Pagos mayoristas'!$H$10,'Precios mayoristas'!$D$32:$E$32,0)))*INDEX('Informacion del AEP'!$D$54:$N$72,MATCH('Pagos mayoristas'!$C25,'Informacion del AEP'!$C$54:$C$72,0),MATCH('Pagos mayoristas'!$C$11,'Informacion del AEP'!$D$53:$N$53,0)))</f>
        <v/>
      </c>
    </row>
    <row r="26" spans="3:19" x14ac:dyDescent="0.2">
      <c r="C26" s="24" t="str">
        <f>IF(Supuestos!B71="","",Supuestos!B71)</f>
        <v>Originación SMS OMV</v>
      </c>
      <c r="D26" s="142">
        <f>IF(C26="","",(INDEX('Precios mayoristas'!$D$33:$E$51,MATCH('Pagos mayoristas'!$C26,'Precios mayoristas'!$C$33:$C$51,0),MATCH('Pagos mayoristas'!$D$10,'Precios mayoristas'!$D$32:$E$32,0)))*INDEX('Informacion del AEP'!$D$54:$N$72,MATCH('Pagos mayoristas'!$C26,'Informacion del AEP'!$C$54:$C$72,0),MATCH('Pagos mayoristas'!$C$11,'Informacion del AEP'!$D$53:$N$53,0)))</f>
        <v>33</v>
      </c>
      <c r="F26" s="142">
        <f>IF(C26="","",('Precios mayoristas'!$D$58*INDEX('Informacion del AEP'!$D$54:$N$72,MATCH('Pagos mayoristas'!$C26,'Informacion del AEP'!$C$54:$C$72,0),MATCH('Pagos mayoristas'!$C$11,'Informacion del AEP'!$D$53:$N$53,0))*INDEX('Informacion del AEP'!$D$113:$F$131,MATCH('Pagos mayoristas'!$C26,'Informacion del AEP'!$C$113:$C$131,0),2)))</f>
        <v>0</v>
      </c>
      <c r="H26" s="142">
        <f>IF(C26="","",(INDEX('Precios mayoristas'!$D$33:$E$51,MATCH('Pagos mayoristas'!$C26,'Precios mayoristas'!$C$33:$C$51,0),MATCH('Pagos mayoristas'!$H$10,'Precios mayoristas'!$D$32:$E$32,0)))*INDEX('Informacion del AEP'!$D$54:$N$72,MATCH('Pagos mayoristas'!$C26,'Informacion del AEP'!$C$54:$C$72,0),MATCH('Pagos mayoristas'!$C$11,'Informacion del AEP'!$D$53:$N$53,0)))</f>
        <v>0</v>
      </c>
    </row>
    <row r="27" spans="3:19" x14ac:dyDescent="0.2">
      <c r="C27" s="24" t="str">
        <f>IF(Supuestos!B72="","",Supuestos!B72)</f>
        <v>Originación SMS on-net</v>
      </c>
      <c r="D27" s="142">
        <f>IF(C27="","",(INDEX('Precios mayoristas'!$D$33:$E$51,MATCH('Pagos mayoristas'!$C27,'Precios mayoristas'!$C$33:$C$51,0),MATCH('Pagos mayoristas'!$D$10,'Precios mayoristas'!$D$32:$E$32,0)))*INDEX('Informacion del AEP'!$D$54:$N$72,MATCH('Pagos mayoristas'!$C27,'Informacion del AEP'!$C$54:$C$72,0),MATCH('Pagos mayoristas'!$C$11,'Informacion del AEP'!$D$53:$N$53,0)))</f>
        <v>33</v>
      </c>
      <c r="F27" s="142">
        <f>IF(C27="","",('Precios mayoristas'!$D$58*INDEX('Informacion del AEP'!$D$54:$N$72,MATCH('Pagos mayoristas'!$C27,'Informacion del AEP'!$C$54:$C$72,0),MATCH('Pagos mayoristas'!$C$11,'Informacion del AEP'!$D$53:$N$53,0))*INDEX('Informacion del AEP'!$D$113:$F$131,MATCH('Pagos mayoristas'!$C27,'Informacion del AEP'!$C$113:$C$131,0),2)))</f>
        <v>0</v>
      </c>
      <c r="H27" s="142">
        <f>IF(C27="","",(INDEX('Precios mayoristas'!$D$33:$E$51,MATCH('Pagos mayoristas'!$C27,'Precios mayoristas'!$C$33:$C$51,0),MATCH('Pagos mayoristas'!$H$10,'Precios mayoristas'!$D$32:$E$32,0)))*INDEX('Informacion del AEP'!$D$54:$N$72,MATCH('Pagos mayoristas'!$C27,'Informacion del AEP'!$C$54:$C$72,0),MATCH('Pagos mayoristas'!$C$11,'Informacion del AEP'!$D$53:$N$53,0)))</f>
        <v>5.2064999999999992</v>
      </c>
    </row>
    <row r="28" spans="3:19" x14ac:dyDescent="0.2">
      <c r="C28" s="24" t="str">
        <f>IF(Supuestos!B73="","",Supuestos!B73)</f>
        <v>Originación SMS off-net</v>
      </c>
      <c r="D28" s="142">
        <f>IF(C28="","",(INDEX('Precios mayoristas'!$D$33:$E$51,MATCH('Pagos mayoristas'!$C28,'Precios mayoristas'!$C$33:$C$51,0),MATCH('Pagos mayoristas'!$D$10,'Precios mayoristas'!$D$32:$E$32,0)))*INDEX('Informacion del AEP'!$D$54:$N$72,MATCH('Pagos mayoristas'!$C28,'Informacion del AEP'!$C$54:$C$72,0),MATCH('Pagos mayoristas'!$C$11,'Informacion del AEP'!$D$53:$N$53,0)))</f>
        <v>33</v>
      </c>
      <c r="F28" s="142">
        <f>IF(C28="","",('Precios mayoristas'!$D$58*INDEX('Informacion del AEP'!$D$54:$N$72,MATCH('Pagos mayoristas'!$C28,'Informacion del AEP'!$C$54:$C$72,0),MATCH('Pagos mayoristas'!$C$11,'Informacion del AEP'!$D$53:$N$53,0))*INDEX('Informacion del AEP'!$D$113:$F$131,MATCH('Pagos mayoristas'!$C28,'Informacion del AEP'!$C$113:$C$131,0),2)))</f>
        <v>0</v>
      </c>
      <c r="H28" s="142">
        <f>IF(C28="","",(INDEX('Precios mayoristas'!$D$33:$E$51,MATCH('Pagos mayoristas'!$C28,'Precios mayoristas'!$C$33:$C$51,0),MATCH('Pagos mayoristas'!$H$10,'Precios mayoristas'!$D$32:$E$32,0)))*INDEX('Informacion del AEP'!$D$54:$N$72,MATCH('Pagos mayoristas'!$C28,'Informacion del AEP'!$C$54:$C$72,0),MATCH('Pagos mayoristas'!$C$11,'Informacion del AEP'!$D$53:$N$53,0)))</f>
        <v>150</v>
      </c>
    </row>
    <row r="29" spans="3:19" x14ac:dyDescent="0.2">
      <c r="C29" s="24" t="str">
        <f>IF(Supuestos!B74="","",Supuestos!B74)</f>
        <v>Originación SMS otros servicios (SVA)</v>
      </c>
      <c r="D29" s="142">
        <f>IF(C29="","",(INDEX('Precios mayoristas'!$D$33:$E$51,MATCH('Pagos mayoristas'!$C29,'Precios mayoristas'!$C$33:$C$51,0),MATCH('Pagos mayoristas'!$D$10,'Precios mayoristas'!$D$32:$E$32,0)))*INDEX('Informacion del AEP'!$D$54:$N$72,MATCH('Pagos mayoristas'!$C29,'Informacion del AEP'!$C$54:$C$72,0),MATCH('Pagos mayoristas'!$C$11,'Informacion del AEP'!$D$53:$N$53,0)))</f>
        <v>33</v>
      </c>
      <c r="F29" s="142">
        <f>IF(C29="","",('Precios mayoristas'!$D$58*INDEX('Informacion del AEP'!$D$54:$N$72,MATCH('Pagos mayoristas'!$C29,'Informacion del AEP'!$C$54:$C$72,0),MATCH('Pagos mayoristas'!$C$11,'Informacion del AEP'!$D$53:$N$53,0))*INDEX('Informacion del AEP'!$D$113:$F$131,MATCH('Pagos mayoristas'!$C29,'Informacion del AEP'!$C$113:$C$131,0),2)))</f>
        <v>0</v>
      </c>
      <c r="H29" s="142">
        <f>IF(C29="","",(INDEX('Precios mayoristas'!$D$33:$E$51,MATCH('Pagos mayoristas'!$C29,'Precios mayoristas'!$C$33:$C$51,0),MATCH('Pagos mayoristas'!$H$10,'Precios mayoristas'!$D$32:$E$32,0)))*INDEX('Informacion del AEP'!$D$54:$N$72,MATCH('Pagos mayoristas'!$C29,'Informacion del AEP'!$C$54:$C$72,0),MATCH('Pagos mayoristas'!$C$11,'Informacion del AEP'!$D$53:$N$53,0)))</f>
        <v>225</v>
      </c>
    </row>
    <row r="30" spans="3:19" x14ac:dyDescent="0.2">
      <c r="C30" s="24" t="str">
        <f>IF(Supuestos!B75="","",Supuestos!B75)</f>
        <v>Otros servicios (incluyendo marcaciones especiales)</v>
      </c>
      <c r="D30" s="142">
        <f>IF(C30="","",(INDEX('Precios mayoristas'!$D$33:$E$51,MATCH('Pagos mayoristas'!$C30,'Precios mayoristas'!$C$33:$C$51,0),MATCH('Pagos mayoristas'!$D$10,'Precios mayoristas'!$D$32:$E$32,0)))*INDEX('Informacion del AEP'!$D$54:$N$72,MATCH('Pagos mayoristas'!$C30,'Informacion del AEP'!$C$54:$C$72,0),MATCH('Pagos mayoristas'!$C$11,'Informacion del AEP'!$D$53:$N$53,0)))</f>
        <v>33</v>
      </c>
      <c r="F30" s="142">
        <f>IF(C30="","",('Precios mayoristas'!$D$58*INDEX('Informacion del AEP'!$D$54:$N$72,MATCH('Pagos mayoristas'!$C30,'Informacion del AEP'!$C$54:$C$72,0),MATCH('Pagos mayoristas'!$C$11,'Informacion del AEP'!$D$53:$N$53,0))*INDEX('Informacion del AEP'!$D$113:$F$131,MATCH('Pagos mayoristas'!$C30,'Informacion del AEP'!$C$113:$C$131,0),2)))</f>
        <v>0</v>
      </c>
      <c r="H30" s="142">
        <f>IF(C30="","",(INDEX('Precios mayoristas'!$D$33:$E$51,MATCH('Pagos mayoristas'!$C30,'Precios mayoristas'!$C$33:$C$51,0),MATCH('Pagos mayoristas'!$H$10,'Precios mayoristas'!$D$32:$E$32,0)))*INDEX('Informacion del AEP'!$D$54:$N$72,MATCH('Pagos mayoristas'!$C30,'Informacion del AEP'!$C$54:$C$72,0),MATCH('Pagos mayoristas'!$C$11,'Informacion del AEP'!$D$53:$N$53,0)))</f>
        <v>0</v>
      </c>
    </row>
    <row r="31" spans="3:19" x14ac:dyDescent="0.2">
      <c r="D31" s="119" t="str">
        <f>IF(C31="","",INDEX('Precios mayoristas'!$D$33:$E$51,MATCH('Pagos mayoristas'!$C31,'Precios mayoristas'!$C$33:$C$51,0),MATCH('Pagos mayoristas'!$D$10,'Precios mayoristas'!$D$32:$E$32,0)))</f>
        <v/>
      </c>
    </row>
    <row r="32" spans="3:19" x14ac:dyDescent="0.2">
      <c r="C32" s="135" t="str">
        <f>Supuestos!$B$85</f>
        <v>Segmento Prepago</v>
      </c>
      <c r="D32" s="141">
        <f>SUM(D33:D51)</f>
        <v>155</v>
      </c>
      <c r="E32" s="136"/>
      <c r="F32" s="141">
        <f>SUM(F33:F51)</f>
        <v>0</v>
      </c>
      <c r="G32" s="136"/>
      <c r="H32" s="141">
        <f>SUM(H33:H51)</f>
        <v>464.73310000000004</v>
      </c>
      <c r="I32" s="136"/>
      <c r="J32" s="141">
        <f>(IF(Supuestos!$C$22&lt;'Precios mayoristas'!$D$25,'Precios mayoristas'!$D$22*'Informacion del AEP'!$H$30,'Precios mayoristas'!$E$22*'Informacion del AEP'!$H$30)+IF(Supuestos!$C$22&lt;'Precios mayoristas'!$D$25,'Precios mayoristas'!$D$24*'Informacion del AEP'!$H$31,'Precios mayoristas'!$E$24*'Informacion del AEP'!$H$31))*Supuestos!$C$7</f>
        <v>54022980</v>
      </c>
      <c r="K32" s="136"/>
      <c r="L32" s="141">
        <f>'Precios mayoristas'!$D$28/Supuestos!$C$13</f>
        <v>6250</v>
      </c>
      <c r="O32" s="144"/>
      <c r="P32" s="72"/>
      <c r="Q32" s="72"/>
      <c r="R32" s="72"/>
      <c r="S32" s="72"/>
    </row>
    <row r="33" spans="3:8" x14ac:dyDescent="0.2">
      <c r="C33" s="24" t="str">
        <f>IF(Supuestos!B57="","",Supuestos!B57)</f>
        <v>Datos</v>
      </c>
      <c r="D33" s="142">
        <f>IF(C33="","",(INDEX('Precios mayoristas'!$D$33:$E$51,MATCH('Pagos mayoristas'!$C33,'Precios mayoristas'!$C$33:$C$51,0),MATCH('Pagos mayoristas'!$D$10,'Precios mayoristas'!$D$32:$E$32,0)))*INDEX('Informacion del AEP'!$D$54:$N$72,MATCH('Pagos mayoristas'!$C33,'Informacion del AEP'!$C$54:$C$72,0),MATCH('Pagos mayoristas'!$C$32,'Informacion del AEP'!$D$53:$N$53,0)))</f>
        <v>12</v>
      </c>
      <c r="F33" s="142">
        <f>IF(C33="","",('Precios mayoristas'!$D$58*INDEX('Informacion del AEP'!$D$54:$N$72,MATCH('Pagos mayoristas'!$C33,'Informacion del AEP'!$C$54:$C$72,0),MATCH('Pagos mayoristas'!$C$32,'Informacion del AEP'!$D$53:$N$53,0))*INDEX('Informacion del AEP'!$D$113:$F$131,MATCH('Pagos mayoristas'!$C33,'Informacion del AEP'!$C$113:$C$131,0),2)))</f>
        <v>0</v>
      </c>
      <c r="H33" s="142">
        <f>IF(C33="","",(INDEX('Precios mayoristas'!$D$33:$E$51,MATCH('Pagos mayoristas'!$C33,'Precios mayoristas'!$C$33:$C$51,0),MATCH('Pagos mayoristas'!$H$10,'Precios mayoristas'!$D$32:$E$32,0)))*INDEX('Informacion del AEP'!$D$54:$N$72,MATCH('Pagos mayoristas'!$C33,'Informacion del AEP'!$C$54:$C$72,0),MATCH('Pagos mayoristas'!$C$32,'Informacion del AEP'!$D$53:$N$53,0)))</f>
        <v>0</v>
      </c>
    </row>
    <row r="34" spans="3:8" x14ac:dyDescent="0.2">
      <c r="C34" s="24" t="str">
        <f>IF(Supuestos!B58="","",Supuestos!B58)</f>
        <v>Originación voz mismo OMV</v>
      </c>
      <c r="D34" s="142">
        <f>IF(C34="","",(INDEX('Precios mayoristas'!$D$33:$E$51,MATCH('Pagos mayoristas'!$C34,'Precios mayoristas'!$C$33:$C$51,0),MATCH('Pagos mayoristas'!$D$10,'Precios mayoristas'!$D$32:$E$32,0)))*INDEX('Informacion del AEP'!$D$54:$N$72,MATCH('Pagos mayoristas'!$C34,'Informacion del AEP'!$C$54:$C$72,0),MATCH('Pagos mayoristas'!$C$32,'Informacion del AEP'!$D$53:$N$53,0)))</f>
        <v>11</v>
      </c>
      <c r="F34" s="142">
        <f>IF(C34="","",('Precios mayoristas'!$D$58*INDEX('Informacion del AEP'!$D$54:$N$72,MATCH('Pagos mayoristas'!$C34,'Informacion del AEP'!$C$54:$C$72,0),MATCH('Pagos mayoristas'!$C$32,'Informacion del AEP'!$D$53:$N$53,0))*INDEX('Informacion del AEP'!$D$113:$F$131,MATCH('Pagos mayoristas'!$C34,'Informacion del AEP'!$C$113:$C$131,0),2)))</f>
        <v>0</v>
      </c>
      <c r="H34" s="142">
        <f>IF(C34="","",(INDEX('Precios mayoristas'!$D$33:$E$51,MATCH('Pagos mayoristas'!$C34,'Precios mayoristas'!$C$33:$C$51,0),MATCH('Pagos mayoristas'!$H$10,'Precios mayoristas'!$D$32:$E$32,0)))*INDEX('Informacion del AEP'!$D$54:$N$72,MATCH('Pagos mayoristas'!$C34,'Informacion del AEP'!$C$54:$C$72,0),MATCH('Pagos mayoristas'!$C$32,'Informacion del AEP'!$D$53:$N$53,0)))</f>
        <v>0</v>
      </c>
    </row>
    <row r="35" spans="3:8" x14ac:dyDescent="0.2">
      <c r="C35" s="24" t="str">
        <f>IF(Supuestos!B59="","",Supuestos!B59)</f>
        <v>Originación voz on-net otro OMV</v>
      </c>
      <c r="D35" s="142">
        <f>IF(C35="","",(INDEX('Precios mayoristas'!$D$33:$E$51,MATCH('Pagos mayoristas'!$C35,'Precios mayoristas'!$C$33:$C$51,0),MATCH('Pagos mayoristas'!$D$10,'Precios mayoristas'!$D$32:$E$32,0)))*INDEX('Informacion del AEP'!$D$54:$N$72,MATCH('Pagos mayoristas'!$C35,'Informacion del AEP'!$C$54:$C$72,0),MATCH('Pagos mayoristas'!$C$32,'Informacion del AEP'!$D$53:$N$53,0)))</f>
        <v>11</v>
      </c>
      <c r="F35" s="142">
        <f>IF(C35="","",('Precios mayoristas'!$D$58*INDEX('Informacion del AEP'!$D$54:$N$72,MATCH('Pagos mayoristas'!$C35,'Informacion del AEP'!$C$54:$C$72,0),MATCH('Pagos mayoristas'!$C$32,'Informacion del AEP'!$D$53:$N$53,0))*INDEX('Informacion del AEP'!$D$113:$F$131,MATCH('Pagos mayoristas'!$C35,'Informacion del AEP'!$C$113:$C$131,0),2)))</f>
        <v>0</v>
      </c>
      <c r="H35" s="142">
        <f>IF(C35="","",(INDEX('Precios mayoristas'!$D$33:$E$51,MATCH('Pagos mayoristas'!$C35,'Precios mayoristas'!$C$33:$C$51,0),MATCH('Pagos mayoristas'!$H$10,'Precios mayoristas'!$D$32:$E$32,0)))*INDEX('Informacion del AEP'!$D$54:$N$72,MATCH('Pagos mayoristas'!$C35,'Informacion del AEP'!$C$54:$C$72,0),MATCH('Pagos mayoristas'!$C$32,'Informacion del AEP'!$D$53:$N$53,0)))</f>
        <v>18.690000000000001</v>
      </c>
    </row>
    <row r="36" spans="3:8" x14ac:dyDescent="0.2">
      <c r="C36" s="24" t="str">
        <f>IF(Supuestos!B60="","",Supuestos!B60)</f>
        <v>Originación voz on-net</v>
      </c>
      <c r="D36" s="142">
        <f>IF(C36="","",(INDEX('Precios mayoristas'!$D$33:$E$51,MATCH('Pagos mayoristas'!$C36,'Precios mayoristas'!$C$33:$C$51,0),MATCH('Pagos mayoristas'!$D$10,'Precios mayoristas'!$D$32:$E$32,0)))*INDEX('Informacion del AEP'!$D$54:$N$72,MATCH('Pagos mayoristas'!$C36,'Informacion del AEP'!$C$54:$C$72,0),MATCH('Pagos mayoristas'!$C$32,'Informacion del AEP'!$D$53:$N$53,0)))</f>
        <v>11</v>
      </c>
      <c r="F36" s="142">
        <f>IF(C36="","",('Precios mayoristas'!$D$58*INDEX('Informacion del AEP'!$D$54:$N$72,MATCH('Pagos mayoristas'!$C36,'Informacion del AEP'!$C$54:$C$72,0),MATCH('Pagos mayoristas'!$C$32,'Informacion del AEP'!$D$53:$N$53,0))*INDEX('Informacion del AEP'!$D$113:$F$131,MATCH('Pagos mayoristas'!$C36,'Informacion del AEP'!$C$113:$C$131,0),2)))</f>
        <v>0</v>
      </c>
      <c r="H36" s="142">
        <f>IF(C36="","",(INDEX('Precios mayoristas'!$D$33:$E$51,MATCH('Pagos mayoristas'!$C36,'Precios mayoristas'!$C$33:$C$51,0),MATCH('Pagos mayoristas'!$H$10,'Precios mayoristas'!$D$32:$E$32,0)))*INDEX('Informacion del AEP'!$D$54:$N$72,MATCH('Pagos mayoristas'!$C36,'Informacion del AEP'!$C$54:$C$72,0),MATCH('Pagos mayoristas'!$C$32,'Informacion del AEP'!$D$53:$N$53,0)))</f>
        <v>0.30880000000000002</v>
      </c>
    </row>
    <row r="37" spans="3:8" x14ac:dyDescent="0.2">
      <c r="C37" s="24" t="str">
        <f>IF(Supuestos!B61="","",Supuestos!B61)</f>
        <v>Originación voz off-net móvil</v>
      </c>
      <c r="D37" s="142">
        <f>IF(C37="","",(INDEX('Precios mayoristas'!$D$33:$E$51,MATCH('Pagos mayoristas'!$C37,'Precios mayoristas'!$C$33:$C$51,0),MATCH('Pagos mayoristas'!$D$10,'Precios mayoristas'!$D$32:$E$32,0)))*INDEX('Informacion del AEP'!$D$54:$N$72,MATCH('Pagos mayoristas'!$C37,'Informacion del AEP'!$C$54:$C$72,0),MATCH('Pagos mayoristas'!$C$32,'Informacion del AEP'!$D$53:$N$53,0)))</f>
        <v>11</v>
      </c>
      <c r="F37" s="142">
        <f>IF(C37="","",('Precios mayoristas'!$D$58*INDEX('Informacion del AEP'!$D$54:$N$72,MATCH('Pagos mayoristas'!$C37,'Informacion del AEP'!$C$54:$C$72,0),MATCH('Pagos mayoristas'!$C$32,'Informacion del AEP'!$D$53:$N$53,0))*INDEX('Informacion del AEP'!$D$113:$F$131,MATCH('Pagos mayoristas'!$C37,'Informacion del AEP'!$C$113:$C$131,0),2)))</f>
        <v>0</v>
      </c>
      <c r="H37" s="142">
        <f>IF(C37="","",(INDEX('Precios mayoristas'!$D$33:$E$51,MATCH('Pagos mayoristas'!$C37,'Precios mayoristas'!$C$33:$C$51,0),MATCH('Pagos mayoristas'!$H$10,'Precios mayoristas'!$D$32:$E$32,0)))*INDEX('Informacion del AEP'!$D$54:$N$72,MATCH('Pagos mayoristas'!$C37,'Informacion del AEP'!$C$54:$C$72,0),MATCH('Pagos mayoristas'!$C$32,'Informacion del AEP'!$D$53:$N$53,0)))</f>
        <v>0</v>
      </c>
    </row>
    <row r="38" spans="3:8" x14ac:dyDescent="0.2">
      <c r="C38" s="24" t="str">
        <f>IF(Supuestos!B62="","",Supuestos!B62)</f>
        <v>Originación voz fijo</v>
      </c>
      <c r="D38" s="142">
        <f>IF(C38="","",(INDEX('Precios mayoristas'!$D$33:$E$51,MATCH('Pagos mayoristas'!$C38,'Precios mayoristas'!$C$33:$C$51,0),MATCH('Pagos mayoristas'!$D$10,'Precios mayoristas'!$D$32:$E$32,0)))*INDEX('Informacion del AEP'!$D$54:$N$72,MATCH('Pagos mayoristas'!$C38,'Informacion del AEP'!$C$54:$C$72,0),MATCH('Pagos mayoristas'!$C$32,'Informacion del AEP'!$D$53:$N$53,0)))</f>
        <v>11</v>
      </c>
      <c r="F38" s="142">
        <f>IF(C38="","",('Precios mayoristas'!$D$58*INDEX('Informacion del AEP'!$D$54:$N$72,MATCH('Pagos mayoristas'!$C38,'Informacion del AEP'!$C$54:$C$72,0),MATCH('Pagos mayoristas'!$C$32,'Informacion del AEP'!$D$53:$N$53,0))*INDEX('Informacion del AEP'!$D$113:$F$131,MATCH('Pagos mayoristas'!$C38,'Informacion del AEP'!$C$113:$C$131,0),2)))</f>
        <v>0</v>
      </c>
      <c r="H38" s="142">
        <f>IF(C38="","",(INDEX('Precios mayoristas'!$D$33:$E$51,MATCH('Pagos mayoristas'!$C38,'Precios mayoristas'!$C$33:$C$51,0),MATCH('Pagos mayoristas'!$H$10,'Precios mayoristas'!$D$32:$E$32,0)))*INDEX('Informacion del AEP'!$D$54:$N$72,MATCH('Pagos mayoristas'!$C38,'Informacion del AEP'!$C$54:$C$72,0),MATCH('Pagos mayoristas'!$C$32,'Informacion del AEP'!$D$53:$N$53,0)))</f>
        <v>18.690000000000001</v>
      </c>
    </row>
    <row r="39" spans="3:8" x14ac:dyDescent="0.2">
      <c r="C39" s="24" t="str">
        <f>IF(Supuestos!B63="","",Supuestos!B63)</f>
        <v>Originación voz internacional USA-Canadá</v>
      </c>
      <c r="D39" s="142">
        <f>IF(C39="","",(INDEX('Precios mayoristas'!$D$33:$E$51,MATCH('Pagos mayoristas'!$C39,'Precios mayoristas'!$C$33:$C$51,0),MATCH('Pagos mayoristas'!$D$10,'Precios mayoristas'!$D$32:$E$32,0)))*INDEX('Informacion del AEP'!$D$54:$N$72,MATCH('Pagos mayoristas'!$C39,'Informacion del AEP'!$C$54:$C$72,0),MATCH('Pagos mayoristas'!$C$32,'Informacion del AEP'!$D$53:$N$53,0)))</f>
        <v>11</v>
      </c>
      <c r="F39" s="142">
        <f>IF(C39="","",('Precios mayoristas'!$D$58*INDEX('Informacion del AEP'!$D$54:$N$72,MATCH('Pagos mayoristas'!$C39,'Informacion del AEP'!$C$54:$C$72,0),MATCH('Pagos mayoristas'!$C$32,'Informacion del AEP'!$D$53:$N$53,0))*INDEX('Informacion del AEP'!$D$113:$F$131,MATCH('Pagos mayoristas'!$C39,'Informacion del AEP'!$C$113:$C$131,0),2)))</f>
        <v>0</v>
      </c>
      <c r="H39" s="142">
        <f>IF(C39="","",(INDEX('Precios mayoristas'!$D$33:$E$51,MATCH('Pagos mayoristas'!$C39,'Precios mayoristas'!$C$33:$C$51,0),MATCH('Pagos mayoristas'!$H$10,'Precios mayoristas'!$D$32:$E$32,0)))*INDEX('Informacion del AEP'!$D$54:$N$72,MATCH('Pagos mayoristas'!$C39,'Informacion del AEP'!$C$54:$C$72,0),MATCH('Pagos mayoristas'!$C$32,'Informacion del AEP'!$D$53:$N$53,0)))</f>
        <v>0.30880000000000002</v>
      </c>
    </row>
    <row r="40" spans="3:8" x14ac:dyDescent="0.2">
      <c r="C40" s="24" t="str">
        <f>IF(Supuestos!B64="","",Supuestos!B64)</f>
        <v xml:space="preserve">Originación voz internacional Mundial </v>
      </c>
      <c r="D40" s="142">
        <f>IF(C40="","",(INDEX('Precios mayoristas'!$D$33:$E$51,MATCH('Pagos mayoristas'!$C40,'Precios mayoristas'!$C$33:$C$51,0),MATCH('Pagos mayoristas'!$D$10,'Precios mayoristas'!$D$32:$E$32,0)))*INDEX('Informacion del AEP'!$D$54:$N$72,MATCH('Pagos mayoristas'!$C40,'Informacion del AEP'!$C$54:$C$72,0),MATCH('Pagos mayoristas'!$C$32,'Informacion del AEP'!$D$53:$N$53,0)))</f>
        <v>11</v>
      </c>
      <c r="F40" s="142">
        <f>IF(C40="","",('Precios mayoristas'!$D$58*INDEX('Informacion del AEP'!$D$54:$N$72,MATCH('Pagos mayoristas'!$C40,'Informacion del AEP'!$C$54:$C$72,0),MATCH('Pagos mayoristas'!$C$32,'Informacion del AEP'!$D$53:$N$53,0))*INDEX('Informacion del AEP'!$D$113:$F$131,MATCH('Pagos mayoristas'!$C40,'Informacion del AEP'!$C$113:$C$131,0),2)))</f>
        <v>0</v>
      </c>
      <c r="H40" s="142">
        <f>IF(C40="","",(INDEX('Precios mayoristas'!$D$33:$E$51,MATCH('Pagos mayoristas'!$C40,'Precios mayoristas'!$C$33:$C$51,0),MATCH('Pagos mayoristas'!$H$10,'Precios mayoristas'!$D$32:$E$32,0)))*INDEX('Informacion del AEP'!$D$54:$N$72,MATCH('Pagos mayoristas'!$C40,'Informacion del AEP'!$C$54:$C$72,0),MATCH('Pagos mayoristas'!$C$32,'Informacion del AEP'!$D$53:$N$53,0)))</f>
        <v>50</v>
      </c>
    </row>
    <row r="41" spans="3:8" x14ac:dyDescent="0.2">
      <c r="C41" s="24" t="str">
        <f>IF(Supuestos!B65="","",Supuestos!B65)</f>
        <v>Originación voz internacional Cuba</v>
      </c>
      <c r="D41" s="142">
        <f>IF(C41="","",(INDEX('Precios mayoristas'!$D$33:$E$51,MATCH('Pagos mayoristas'!$C41,'Precios mayoristas'!$C$33:$C$51,0),MATCH('Pagos mayoristas'!$D$10,'Precios mayoristas'!$D$32:$E$32,0)))*INDEX('Informacion del AEP'!$D$54:$N$72,MATCH('Pagos mayoristas'!$C41,'Informacion del AEP'!$C$54:$C$72,0),MATCH('Pagos mayoristas'!$C$32,'Informacion del AEP'!$D$53:$N$53,0)))</f>
        <v>11</v>
      </c>
      <c r="F41" s="142">
        <f>IF(C41="","",('Precios mayoristas'!$D$58*INDEX('Informacion del AEP'!$D$54:$N$72,MATCH('Pagos mayoristas'!$C41,'Informacion del AEP'!$C$54:$C$72,0),MATCH('Pagos mayoristas'!$C$32,'Informacion del AEP'!$D$53:$N$53,0))*INDEX('Informacion del AEP'!$D$113:$F$131,MATCH('Pagos mayoristas'!$C41,'Informacion del AEP'!$C$113:$C$131,0),2)))</f>
        <v>0</v>
      </c>
      <c r="H41" s="142">
        <f>IF(C41="","",(INDEX('Precios mayoristas'!$D$33:$E$51,MATCH('Pagos mayoristas'!$C41,'Precios mayoristas'!$C$33:$C$51,0),MATCH('Pagos mayoristas'!$H$10,'Precios mayoristas'!$D$32:$E$32,0)))*INDEX('Informacion del AEP'!$D$54:$N$72,MATCH('Pagos mayoristas'!$C41,'Informacion del AEP'!$C$54:$C$72,0),MATCH('Pagos mayoristas'!$C$32,'Informacion del AEP'!$D$53:$N$53,0)))</f>
        <v>250</v>
      </c>
    </row>
    <row r="42" spans="3:8" x14ac:dyDescent="0.2">
      <c r="C42" s="24" t="str">
        <f>IF(Supuestos!B66="","",Supuestos!B66)</f>
        <v/>
      </c>
      <c r="D42" s="142" t="str">
        <f>IF(C42="","",(INDEX('Precios mayoristas'!$D$33:$E$51,MATCH('Pagos mayoristas'!$C42,'Precios mayoristas'!$C$33:$C$51,0),MATCH('Pagos mayoristas'!$D$10,'Precios mayoristas'!$D$32:$E$32,0)))*INDEX('Informacion del AEP'!$D$54:$N$72,MATCH('Pagos mayoristas'!$C42,'Informacion del AEP'!$C$54:$C$72,0),MATCH('Pagos mayoristas'!$C$32,'Informacion del AEP'!$D$53:$N$53,0)))</f>
        <v/>
      </c>
      <c r="F42" s="142" t="str">
        <f>IF(C42="","",('Precios mayoristas'!$D$58*INDEX('Informacion del AEP'!$D$54:$N$72,MATCH('Pagos mayoristas'!$C42,'Informacion del AEP'!$C$54:$C$72,0),MATCH('Pagos mayoristas'!$C$32,'Informacion del AEP'!$D$53:$N$53,0))*INDEX('Informacion del AEP'!$D$113:$F$131,MATCH('Pagos mayoristas'!$C42,'Informacion del AEP'!$C$113:$C$131,0),2)))</f>
        <v/>
      </c>
      <c r="H42" s="142" t="str">
        <f>IF(C42="","",(INDEX('Precios mayoristas'!$D$33:$E$51,MATCH('Pagos mayoristas'!$C42,'Precios mayoristas'!$C$33:$C$51,0),MATCH('Pagos mayoristas'!$H$10,'Precios mayoristas'!$D$32:$E$32,0)))*INDEX('Informacion del AEP'!$D$54:$N$72,MATCH('Pagos mayoristas'!$C42,'Informacion del AEP'!$C$54:$C$72,0),MATCH('Pagos mayoristas'!$C$32,'Informacion del AEP'!$D$53:$N$53,0)))</f>
        <v/>
      </c>
    </row>
    <row r="43" spans="3:8" x14ac:dyDescent="0.2">
      <c r="C43" s="24" t="str">
        <f>IF(Supuestos!B67="","",Supuestos!B67)</f>
        <v/>
      </c>
      <c r="D43" s="142" t="str">
        <f>IF(C43="","",(INDEX('Precios mayoristas'!$D$33:$E$51,MATCH('Pagos mayoristas'!$C43,'Precios mayoristas'!$C$33:$C$51,0),MATCH('Pagos mayoristas'!$D$10,'Precios mayoristas'!$D$32:$E$32,0)))*INDEX('Informacion del AEP'!$D$54:$N$72,MATCH('Pagos mayoristas'!$C43,'Informacion del AEP'!$C$54:$C$72,0),MATCH('Pagos mayoristas'!$C$32,'Informacion del AEP'!$D$53:$N$53,0)))</f>
        <v/>
      </c>
      <c r="F43" s="142" t="str">
        <f>IF(C43="","",('Precios mayoristas'!$D$58*INDEX('Informacion del AEP'!$D$54:$N$72,MATCH('Pagos mayoristas'!$C43,'Informacion del AEP'!$C$54:$C$72,0),MATCH('Pagos mayoristas'!$C$32,'Informacion del AEP'!$D$53:$N$53,0))*INDEX('Informacion del AEP'!$D$113:$F$131,MATCH('Pagos mayoristas'!$C43,'Informacion del AEP'!$C$113:$C$131,0),2)))</f>
        <v/>
      </c>
      <c r="H43" s="142" t="str">
        <f>IF(C43="","",(INDEX('Precios mayoristas'!$D$33:$E$51,MATCH('Pagos mayoristas'!$C43,'Precios mayoristas'!$C$33:$C$51,0),MATCH('Pagos mayoristas'!$H$10,'Precios mayoristas'!$D$32:$E$32,0)))*INDEX('Informacion del AEP'!$D$54:$N$72,MATCH('Pagos mayoristas'!$C43,'Informacion del AEP'!$C$54:$C$72,0),MATCH('Pagos mayoristas'!$C$32,'Informacion del AEP'!$D$53:$N$53,0)))</f>
        <v/>
      </c>
    </row>
    <row r="44" spans="3:8" x14ac:dyDescent="0.2">
      <c r="C44" s="24" t="str">
        <f>IF(Supuestos!B68="","",Supuestos!B68)</f>
        <v/>
      </c>
      <c r="D44" s="142" t="str">
        <f>IF(C44="","",(INDEX('Precios mayoristas'!$D$33:$E$51,MATCH('Pagos mayoristas'!$C44,'Precios mayoristas'!$C$33:$C$51,0),MATCH('Pagos mayoristas'!$D$10,'Precios mayoristas'!$D$32:$E$32,0)))*INDEX('Informacion del AEP'!$D$54:$N$72,MATCH('Pagos mayoristas'!$C44,'Informacion del AEP'!$C$54:$C$72,0),MATCH('Pagos mayoristas'!$C$32,'Informacion del AEP'!$D$53:$N$53,0)))</f>
        <v/>
      </c>
      <c r="F44" s="142" t="str">
        <f>IF(C44="","",('Precios mayoristas'!$D$58*INDEX('Informacion del AEP'!$D$54:$N$72,MATCH('Pagos mayoristas'!$C44,'Informacion del AEP'!$C$54:$C$72,0),MATCH('Pagos mayoristas'!$C$32,'Informacion del AEP'!$D$53:$N$53,0))*INDEX('Informacion del AEP'!$D$113:$F$131,MATCH('Pagos mayoristas'!$C44,'Informacion del AEP'!$C$113:$C$131,0),2)))</f>
        <v/>
      </c>
      <c r="H44" s="142" t="str">
        <f>IF(C44="","",(INDEX('Precios mayoristas'!$D$33:$E$51,MATCH('Pagos mayoristas'!$C44,'Precios mayoristas'!$C$33:$C$51,0),MATCH('Pagos mayoristas'!$H$10,'Precios mayoristas'!$D$32:$E$32,0)))*INDEX('Informacion del AEP'!$D$54:$N$72,MATCH('Pagos mayoristas'!$C44,'Informacion del AEP'!$C$54:$C$72,0),MATCH('Pagos mayoristas'!$C$32,'Informacion del AEP'!$D$53:$N$53,0)))</f>
        <v/>
      </c>
    </row>
    <row r="45" spans="3:8" x14ac:dyDescent="0.2">
      <c r="C45" s="24" t="str">
        <f>IF(Supuestos!B69="","",Supuestos!B69)</f>
        <v/>
      </c>
      <c r="D45" s="142" t="str">
        <f>IF(C45="","",(INDEX('Precios mayoristas'!$D$33:$E$51,MATCH('Pagos mayoristas'!$C45,'Precios mayoristas'!$C$33:$C$51,0),MATCH('Pagos mayoristas'!$D$10,'Precios mayoristas'!$D$32:$E$32,0)))*INDEX('Informacion del AEP'!$D$54:$N$72,MATCH('Pagos mayoristas'!$C45,'Informacion del AEP'!$C$54:$C$72,0),MATCH('Pagos mayoristas'!$C$32,'Informacion del AEP'!$D$53:$N$53,0)))</f>
        <v/>
      </c>
      <c r="F45" s="142" t="str">
        <f>IF(C45="","",('Precios mayoristas'!$D$58*INDEX('Informacion del AEP'!$D$54:$N$72,MATCH('Pagos mayoristas'!$C45,'Informacion del AEP'!$C$54:$C$72,0),MATCH('Pagos mayoristas'!$C$32,'Informacion del AEP'!$D$53:$N$53,0))*INDEX('Informacion del AEP'!$D$113:$F$131,MATCH('Pagos mayoristas'!$C45,'Informacion del AEP'!$C$113:$C$131,0),2)))</f>
        <v/>
      </c>
      <c r="H45" s="142" t="str">
        <f>IF(C45="","",(INDEX('Precios mayoristas'!$D$33:$E$51,MATCH('Pagos mayoristas'!$C45,'Precios mayoristas'!$C$33:$C$51,0),MATCH('Pagos mayoristas'!$H$10,'Precios mayoristas'!$D$32:$E$32,0)))*INDEX('Informacion del AEP'!$D$54:$N$72,MATCH('Pagos mayoristas'!$C45,'Informacion del AEP'!$C$54:$C$72,0),MATCH('Pagos mayoristas'!$C$32,'Informacion del AEP'!$D$53:$N$53,0)))</f>
        <v/>
      </c>
    </row>
    <row r="46" spans="3:8" x14ac:dyDescent="0.2">
      <c r="C46" s="24" t="str">
        <f>IF(Supuestos!B70="","",Supuestos!B70)</f>
        <v/>
      </c>
      <c r="D46" s="142" t="str">
        <f>IF(C46="","",(INDEX('Precios mayoristas'!$D$33:$E$51,MATCH('Pagos mayoristas'!$C46,'Precios mayoristas'!$C$33:$C$51,0),MATCH('Pagos mayoristas'!$D$10,'Precios mayoristas'!$D$32:$E$32,0)))*INDEX('Informacion del AEP'!$D$54:$N$72,MATCH('Pagos mayoristas'!$C46,'Informacion del AEP'!$C$54:$C$72,0),MATCH('Pagos mayoristas'!$C$32,'Informacion del AEP'!$D$53:$N$53,0)))</f>
        <v/>
      </c>
      <c r="F46" s="142" t="str">
        <f>IF(C46="","",('Precios mayoristas'!$D$58*INDEX('Informacion del AEP'!$D$54:$N$72,MATCH('Pagos mayoristas'!$C46,'Informacion del AEP'!$C$54:$C$72,0),MATCH('Pagos mayoristas'!$C$32,'Informacion del AEP'!$D$53:$N$53,0))*INDEX('Informacion del AEP'!$D$113:$F$131,MATCH('Pagos mayoristas'!$C46,'Informacion del AEP'!$C$113:$C$131,0),2)))</f>
        <v/>
      </c>
      <c r="H46" s="142" t="str">
        <f>IF(C46="","",(INDEX('Precios mayoristas'!$D$33:$E$51,MATCH('Pagos mayoristas'!$C46,'Precios mayoristas'!$C$33:$C$51,0),MATCH('Pagos mayoristas'!$H$10,'Precios mayoristas'!$D$32:$E$32,0)))*INDEX('Informacion del AEP'!$D$54:$N$72,MATCH('Pagos mayoristas'!$C46,'Informacion del AEP'!$C$54:$C$72,0),MATCH('Pagos mayoristas'!$C$32,'Informacion del AEP'!$D$53:$N$53,0)))</f>
        <v/>
      </c>
    </row>
    <row r="47" spans="3:8" x14ac:dyDescent="0.2">
      <c r="C47" s="24" t="str">
        <f>IF(Supuestos!B71="","",Supuestos!B71)</f>
        <v>Originación SMS OMV</v>
      </c>
      <c r="D47" s="142">
        <f>IF(C47="","",(INDEX('Precios mayoristas'!$D$33:$E$51,MATCH('Pagos mayoristas'!$C47,'Precios mayoristas'!$C$33:$C$51,0),MATCH('Pagos mayoristas'!$D$10,'Precios mayoristas'!$D$32:$E$32,0)))*INDEX('Informacion del AEP'!$D$54:$N$72,MATCH('Pagos mayoristas'!$C47,'Informacion del AEP'!$C$54:$C$72,0),MATCH('Pagos mayoristas'!$C$32,'Informacion del AEP'!$D$53:$N$53,0)))</f>
        <v>11</v>
      </c>
      <c r="F47" s="142">
        <f>IF(C47="","",('Precios mayoristas'!$D$58*INDEX('Informacion del AEP'!$D$54:$N$72,MATCH('Pagos mayoristas'!$C47,'Informacion del AEP'!$C$54:$C$72,0),MATCH('Pagos mayoristas'!$C$32,'Informacion del AEP'!$D$53:$N$53,0))*INDEX('Informacion del AEP'!$D$113:$F$131,MATCH('Pagos mayoristas'!$C47,'Informacion del AEP'!$C$113:$C$131,0),2)))</f>
        <v>0</v>
      </c>
      <c r="H47" s="142">
        <f>IF(C47="","",(INDEX('Precios mayoristas'!$D$33:$E$51,MATCH('Pagos mayoristas'!$C47,'Precios mayoristas'!$C$33:$C$51,0),MATCH('Pagos mayoristas'!$H$10,'Precios mayoristas'!$D$32:$E$32,0)))*INDEX('Informacion del AEP'!$D$54:$N$72,MATCH('Pagos mayoristas'!$C47,'Informacion del AEP'!$C$54:$C$72,0),MATCH('Pagos mayoristas'!$C$32,'Informacion del AEP'!$D$53:$N$53,0)))</f>
        <v>0</v>
      </c>
    </row>
    <row r="48" spans="3:8" x14ac:dyDescent="0.2">
      <c r="C48" s="24" t="str">
        <f>IF(Supuestos!B72="","",Supuestos!B72)</f>
        <v>Originación SMS on-net</v>
      </c>
      <c r="D48" s="142">
        <f>IF(C48="","",(INDEX('Precios mayoristas'!$D$33:$E$51,MATCH('Pagos mayoristas'!$C48,'Precios mayoristas'!$C$33:$C$51,0),MATCH('Pagos mayoristas'!$D$10,'Precios mayoristas'!$D$32:$E$32,0)))*INDEX('Informacion del AEP'!$D$54:$N$72,MATCH('Pagos mayoristas'!$C48,'Informacion del AEP'!$C$54:$C$72,0),MATCH('Pagos mayoristas'!$C$32,'Informacion del AEP'!$D$53:$N$53,0)))</f>
        <v>11</v>
      </c>
      <c r="F48" s="142">
        <f>IF(C48="","",('Precios mayoristas'!$D$58*INDEX('Informacion del AEP'!$D$54:$N$72,MATCH('Pagos mayoristas'!$C48,'Informacion del AEP'!$C$54:$C$72,0),MATCH('Pagos mayoristas'!$C$32,'Informacion del AEP'!$D$53:$N$53,0))*INDEX('Informacion del AEP'!$D$113:$F$131,MATCH('Pagos mayoristas'!$C48,'Informacion del AEP'!$C$113:$C$131,0),2)))</f>
        <v>0</v>
      </c>
      <c r="H48" s="142">
        <f>IF(C48="","",(INDEX('Precios mayoristas'!$D$33:$E$51,MATCH('Pagos mayoristas'!$C48,'Precios mayoristas'!$C$33:$C$51,0),MATCH('Pagos mayoristas'!$H$10,'Precios mayoristas'!$D$32:$E$32,0)))*INDEX('Informacion del AEP'!$D$54:$N$72,MATCH('Pagos mayoristas'!$C48,'Informacion del AEP'!$C$54:$C$72,0),MATCH('Pagos mayoristas'!$C$32,'Informacion del AEP'!$D$53:$N$53,0)))</f>
        <v>1.7354999999999998</v>
      </c>
    </row>
    <row r="49" spans="3:16" x14ac:dyDescent="0.2">
      <c r="C49" s="24" t="str">
        <f>IF(Supuestos!B73="","",Supuestos!B73)</f>
        <v>Originación SMS off-net</v>
      </c>
      <c r="D49" s="142">
        <f>IF(C49="","",(INDEX('Precios mayoristas'!$D$33:$E$51,MATCH('Pagos mayoristas'!$C49,'Precios mayoristas'!$C$33:$C$51,0),MATCH('Pagos mayoristas'!$D$10,'Precios mayoristas'!$D$32:$E$32,0)))*INDEX('Informacion del AEP'!$D$54:$N$72,MATCH('Pagos mayoristas'!$C49,'Informacion del AEP'!$C$54:$C$72,0),MATCH('Pagos mayoristas'!$C$32,'Informacion del AEP'!$D$53:$N$53,0)))</f>
        <v>11</v>
      </c>
      <c r="F49" s="142">
        <f>IF(C49="","",('Precios mayoristas'!$D$58*INDEX('Informacion del AEP'!$D$54:$N$72,MATCH('Pagos mayoristas'!$C49,'Informacion del AEP'!$C$54:$C$72,0),MATCH('Pagos mayoristas'!$C$32,'Informacion del AEP'!$D$53:$N$53,0))*INDEX('Informacion del AEP'!$D$113:$F$131,MATCH('Pagos mayoristas'!$C49,'Informacion del AEP'!$C$113:$C$131,0),2)))</f>
        <v>0</v>
      </c>
      <c r="H49" s="142">
        <f>IF(C49="","",(INDEX('Precios mayoristas'!$D$33:$E$51,MATCH('Pagos mayoristas'!$C49,'Precios mayoristas'!$C$33:$C$51,0),MATCH('Pagos mayoristas'!$H$10,'Precios mayoristas'!$D$32:$E$32,0)))*INDEX('Informacion del AEP'!$D$54:$N$72,MATCH('Pagos mayoristas'!$C49,'Informacion del AEP'!$C$54:$C$72,0),MATCH('Pagos mayoristas'!$C$32,'Informacion del AEP'!$D$53:$N$53,0)))</f>
        <v>50</v>
      </c>
    </row>
    <row r="50" spans="3:16" x14ac:dyDescent="0.2">
      <c r="C50" s="24" t="str">
        <f>IF(Supuestos!B74="","",Supuestos!B74)</f>
        <v>Originación SMS otros servicios (SVA)</v>
      </c>
      <c r="D50" s="142">
        <f>IF(C50="","",(INDEX('Precios mayoristas'!$D$33:$E$51,MATCH('Pagos mayoristas'!$C50,'Precios mayoristas'!$C$33:$C$51,0),MATCH('Pagos mayoristas'!$D$10,'Precios mayoristas'!$D$32:$E$32,0)))*INDEX('Informacion del AEP'!$D$54:$N$72,MATCH('Pagos mayoristas'!$C50,'Informacion del AEP'!$C$54:$C$72,0),MATCH('Pagos mayoristas'!$C$32,'Informacion del AEP'!$D$53:$N$53,0)))</f>
        <v>11</v>
      </c>
      <c r="F50" s="142">
        <f>IF(C50="","",('Precios mayoristas'!$D$58*INDEX('Informacion del AEP'!$D$54:$N$72,MATCH('Pagos mayoristas'!$C50,'Informacion del AEP'!$C$54:$C$72,0),MATCH('Pagos mayoristas'!$C$32,'Informacion del AEP'!$D$53:$N$53,0))*INDEX('Informacion del AEP'!$D$113:$F$131,MATCH('Pagos mayoristas'!$C50,'Informacion del AEP'!$C$113:$C$131,0),2)))</f>
        <v>0</v>
      </c>
      <c r="H50" s="142">
        <f>IF(C50="","",(INDEX('Precios mayoristas'!$D$33:$E$51,MATCH('Pagos mayoristas'!$C50,'Precios mayoristas'!$C$33:$C$51,0),MATCH('Pagos mayoristas'!$H$10,'Precios mayoristas'!$D$32:$E$32,0)))*INDEX('Informacion del AEP'!$D$54:$N$72,MATCH('Pagos mayoristas'!$C50,'Informacion del AEP'!$C$54:$C$72,0),MATCH('Pagos mayoristas'!$C$32,'Informacion del AEP'!$D$53:$N$53,0)))</f>
        <v>75</v>
      </c>
    </row>
    <row r="51" spans="3:16" x14ac:dyDescent="0.2">
      <c r="C51" s="24" t="str">
        <f>IF(Supuestos!B75="","",Supuestos!B75)</f>
        <v>Otros servicios (incluyendo marcaciones especiales)</v>
      </c>
      <c r="D51" s="142">
        <f>IF(C51="","",(INDEX('Precios mayoristas'!$D$33:$E$51,MATCH('Pagos mayoristas'!$C51,'Precios mayoristas'!$C$33:$C$51,0),MATCH('Pagos mayoristas'!$D$10,'Precios mayoristas'!$D$32:$E$32,0)))*INDEX('Informacion del AEP'!$D$54:$N$72,MATCH('Pagos mayoristas'!$C51,'Informacion del AEP'!$C$54:$C$72,0),MATCH('Pagos mayoristas'!$C$32,'Informacion del AEP'!$D$53:$N$53,0)))</f>
        <v>11</v>
      </c>
      <c r="F51" s="142">
        <f>IF(C51="","",('Precios mayoristas'!$D$58*INDEX('Informacion del AEP'!$D$54:$N$72,MATCH('Pagos mayoristas'!$C51,'Informacion del AEP'!$C$54:$C$72,0),MATCH('Pagos mayoristas'!$C$32,'Informacion del AEP'!$D$53:$N$53,0))*INDEX('Informacion del AEP'!$D$113:$F$131,MATCH('Pagos mayoristas'!$C51,'Informacion del AEP'!$C$113:$C$131,0),2)))</f>
        <v>0</v>
      </c>
      <c r="H51" s="142">
        <f>IF(C51="","",(INDEX('Precios mayoristas'!$D$33:$E$51,MATCH('Pagos mayoristas'!$C51,'Precios mayoristas'!$C$33:$C$51,0),MATCH('Pagos mayoristas'!$H$10,'Precios mayoristas'!$D$32:$E$32,0)))*INDEX('Informacion del AEP'!$D$54:$N$72,MATCH('Pagos mayoristas'!$C51,'Informacion del AEP'!$C$54:$C$72,0),MATCH('Pagos mayoristas'!$C$32,'Informacion del AEP'!$D$53:$N$53,0)))</f>
        <v>0</v>
      </c>
    </row>
    <row r="53" spans="3:16" x14ac:dyDescent="0.2">
      <c r="C53" s="135" t="str">
        <f>Supuestos!$B$86</f>
        <v>Segmento Pospago</v>
      </c>
      <c r="D53" s="141">
        <f>SUM(D54:D72)</f>
        <v>310</v>
      </c>
      <c r="E53" s="136"/>
      <c r="F53" s="141">
        <f>SUM(F54:F72)</f>
        <v>0</v>
      </c>
      <c r="G53" s="136"/>
      <c r="H53" s="141">
        <f>SUM(H54:H72)</f>
        <v>929.46620000000007</v>
      </c>
      <c r="I53" s="136"/>
      <c r="J53" s="141">
        <f>(IF(Supuestos!$C$22&lt;'Precios mayoristas'!$D$25,'Precios mayoristas'!$D$22*'Informacion del AEP'!$H$32,'Precios mayoristas'!$E$22*'Informacion del AEP'!$H$32)+IF(Supuestos!$C$22&lt;'Precios mayoristas'!$D$25,'Precios mayoristas'!$D$23*'Informacion del AEP'!$H$34,'Precios mayoristas'!$E$23*'Informacion del AEP'!$H$34)+IF(Supuestos!$C$22&lt;'Precios mayoristas'!$D$25,'Precios mayoristas'!$D$24*'Informacion del AEP'!$H$33,'Precios mayoristas'!$E$24*'Informacion del AEP'!$H$33)+IF(Supuestos!$C$22&lt;'Precios mayoristas'!$D$25,'Precios mayoristas'!$D$24*'Informacion del AEP'!$H$35,'Precios mayoristas'!$E$24*'Informacion del AEP'!$H$35))*Supuestos!$C$7</f>
        <v>57623976</v>
      </c>
      <c r="K53" s="136"/>
      <c r="L53" s="141">
        <f>'Precios mayoristas'!$D$28/Supuestos!$C$13</f>
        <v>6250</v>
      </c>
      <c r="O53" s="144"/>
      <c r="P53" s="72"/>
    </row>
    <row r="54" spans="3:16" x14ac:dyDescent="0.2">
      <c r="C54" s="24" t="str">
        <f>IF(Supuestos!B57="","",Supuestos!B57)</f>
        <v>Datos</v>
      </c>
      <c r="D54" s="142">
        <f>IF(C54="","",(INDEX('Precios mayoristas'!$D$33:$E$51,MATCH('Pagos mayoristas'!$C54,'Precios mayoristas'!$C$33:$C$51,0),MATCH('Pagos mayoristas'!$D$10,'Precios mayoristas'!$D$32:$E$32,0)))*INDEX('Informacion del AEP'!$D$54:$N$72,MATCH('Pagos mayoristas'!$C54,'Informacion del AEP'!$C$54:$C$72,0),MATCH('Pagos mayoristas'!$C$53,'Informacion del AEP'!$D$53:$N$53,0)))</f>
        <v>24</v>
      </c>
      <c r="F54" s="142">
        <f>IF(C54="","",('Precios mayoristas'!$D$58*INDEX('Informacion del AEP'!$D$54:$N$72,MATCH('Pagos mayoristas'!$C54,'Informacion del AEP'!$C$54:$C$72,0),MATCH('Pagos mayoristas'!$C$53,'Informacion del AEP'!$D$53:$N$53,0))*INDEX('Informacion del AEP'!$D$113:$F$131,MATCH('Pagos mayoristas'!$C54,'Informacion del AEP'!$C$113:$C$131,0),2)))</f>
        <v>0</v>
      </c>
      <c r="H54" s="142">
        <f>IF(C54="","",(INDEX('Precios mayoristas'!$D$33:$E$51,MATCH('Pagos mayoristas'!$C54,'Precios mayoristas'!$C$33:$C$51,0),MATCH('Pagos mayoristas'!$H$10,'Precios mayoristas'!$D$32:$E$32,0)))*INDEX('Informacion del AEP'!$D$54:$N$72,MATCH('Pagos mayoristas'!$C54,'Informacion del AEP'!$C$54:$C$72,0),MATCH('Pagos mayoristas'!$C$53,'Informacion del AEP'!$D$53:$N$53,0)))</f>
        <v>0</v>
      </c>
    </row>
    <row r="55" spans="3:16" x14ac:dyDescent="0.2">
      <c r="C55" s="24" t="str">
        <f>IF(Supuestos!B58="","",Supuestos!B58)</f>
        <v>Originación voz mismo OMV</v>
      </c>
      <c r="D55" s="142">
        <f>IF(C55="","",(INDEX('Precios mayoristas'!$D$33:$E$51,MATCH('Pagos mayoristas'!$C55,'Precios mayoristas'!$C$33:$C$51,0),MATCH('Pagos mayoristas'!$D$10,'Precios mayoristas'!$D$32:$E$32,0)))*INDEX('Informacion del AEP'!$D$54:$N$72,MATCH('Pagos mayoristas'!$C55,'Informacion del AEP'!$C$54:$C$72,0),MATCH('Pagos mayoristas'!$C$53,'Informacion del AEP'!$D$53:$N$53,0)))</f>
        <v>22</v>
      </c>
      <c r="F55" s="142">
        <f>IF(C55="","",('Precios mayoristas'!$D$58*INDEX('Informacion del AEP'!$D$54:$N$72,MATCH('Pagos mayoristas'!$C55,'Informacion del AEP'!$C$54:$C$72,0),MATCH('Pagos mayoristas'!$C$53,'Informacion del AEP'!$D$53:$N$53,0))*INDEX('Informacion del AEP'!$D$113:$F$131,MATCH('Pagos mayoristas'!$C55,'Informacion del AEP'!$C$113:$C$131,0),2)))</f>
        <v>0</v>
      </c>
      <c r="H55" s="142">
        <f>IF(C55="","",(INDEX('Precios mayoristas'!$D$33:$E$51,MATCH('Pagos mayoristas'!$C55,'Precios mayoristas'!$C$33:$C$51,0),MATCH('Pagos mayoristas'!$H$10,'Precios mayoristas'!$D$32:$E$32,0)))*INDEX('Informacion del AEP'!$D$54:$N$72,MATCH('Pagos mayoristas'!$C55,'Informacion del AEP'!$C$54:$C$72,0),MATCH('Pagos mayoristas'!$C$53,'Informacion del AEP'!$D$53:$N$53,0)))</f>
        <v>0</v>
      </c>
    </row>
    <row r="56" spans="3:16" x14ac:dyDescent="0.2">
      <c r="C56" s="24" t="str">
        <f>IF(Supuestos!B59="","",Supuestos!B59)</f>
        <v>Originación voz on-net otro OMV</v>
      </c>
      <c r="D56" s="142">
        <f>IF(C56="","",(INDEX('Precios mayoristas'!$D$33:$E$51,MATCH('Pagos mayoristas'!$C56,'Precios mayoristas'!$C$33:$C$51,0),MATCH('Pagos mayoristas'!$D$10,'Precios mayoristas'!$D$32:$E$32,0)))*INDEX('Informacion del AEP'!$D$54:$N$72,MATCH('Pagos mayoristas'!$C56,'Informacion del AEP'!$C$54:$C$72,0),MATCH('Pagos mayoristas'!$C$53,'Informacion del AEP'!$D$53:$N$53,0)))</f>
        <v>22</v>
      </c>
      <c r="F56" s="142">
        <f>IF(C56="","",('Precios mayoristas'!$D$58*INDEX('Informacion del AEP'!$D$54:$N$72,MATCH('Pagos mayoristas'!$C56,'Informacion del AEP'!$C$54:$C$72,0),MATCH('Pagos mayoristas'!$C$53,'Informacion del AEP'!$D$53:$N$53,0))*INDEX('Informacion del AEP'!$D$113:$F$131,MATCH('Pagos mayoristas'!$C56,'Informacion del AEP'!$C$113:$C$131,0),2)))</f>
        <v>0</v>
      </c>
      <c r="H56" s="142">
        <f>IF(C56="","",(INDEX('Precios mayoristas'!$D$33:$E$51,MATCH('Pagos mayoristas'!$C56,'Precios mayoristas'!$C$33:$C$51,0),MATCH('Pagos mayoristas'!$H$10,'Precios mayoristas'!$D$32:$E$32,0)))*INDEX('Informacion del AEP'!$D$54:$N$72,MATCH('Pagos mayoristas'!$C56,'Informacion del AEP'!$C$54:$C$72,0),MATCH('Pagos mayoristas'!$C$53,'Informacion del AEP'!$D$53:$N$53,0)))</f>
        <v>37.380000000000003</v>
      </c>
    </row>
    <row r="57" spans="3:16" x14ac:dyDescent="0.2">
      <c r="C57" s="24" t="str">
        <f>IF(Supuestos!B60="","",Supuestos!B60)</f>
        <v>Originación voz on-net</v>
      </c>
      <c r="D57" s="142">
        <f>IF(C57="","",(INDEX('Precios mayoristas'!$D$33:$E$51,MATCH('Pagos mayoristas'!$C57,'Precios mayoristas'!$C$33:$C$51,0),MATCH('Pagos mayoristas'!$D$10,'Precios mayoristas'!$D$32:$E$32,0)))*INDEX('Informacion del AEP'!$D$54:$N$72,MATCH('Pagos mayoristas'!$C57,'Informacion del AEP'!$C$54:$C$72,0),MATCH('Pagos mayoristas'!$C$53,'Informacion del AEP'!$D$53:$N$53,0)))</f>
        <v>22</v>
      </c>
      <c r="F57" s="142">
        <f>IF(C57="","",('Precios mayoristas'!$D$58*INDEX('Informacion del AEP'!$D$54:$N$72,MATCH('Pagos mayoristas'!$C57,'Informacion del AEP'!$C$54:$C$72,0),MATCH('Pagos mayoristas'!$C$53,'Informacion del AEP'!$D$53:$N$53,0))*INDEX('Informacion del AEP'!$D$113:$F$131,MATCH('Pagos mayoristas'!$C57,'Informacion del AEP'!$C$113:$C$131,0),2)))</f>
        <v>0</v>
      </c>
      <c r="H57" s="142">
        <f>IF(C57="","",(INDEX('Precios mayoristas'!$D$33:$E$51,MATCH('Pagos mayoristas'!$C57,'Precios mayoristas'!$C$33:$C$51,0),MATCH('Pagos mayoristas'!$H$10,'Precios mayoristas'!$D$32:$E$32,0)))*INDEX('Informacion del AEP'!$D$54:$N$72,MATCH('Pagos mayoristas'!$C57,'Informacion del AEP'!$C$54:$C$72,0),MATCH('Pagos mayoristas'!$C$53,'Informacion del AEP'!$D$53:$N$53,0)))</f>
        <v>0.61760000000000004</v>
      </c>
    </row>
    <row r="58" spans="3:16" x14ac:dyDescent="0.2">
      <c r="C58" s="24" t="str">
        <f>IF(Supuestos!B61="","",Supuestos!B61)</f>
        <v>Originación voz off-net móvil</v>
      </c>
      <c r="D58" s="142">
        <f>IF(C58="","",(INDEX('Precios mayoristas'!$D$33:$E$51,MATCH('Pagos mayoristas'!$C58,'Precios mayoristas'!$C$33:$C$51,0),MATCH('Pagos mayoristas'!$D$10,'Precios mayoristas'!$D$32:$E$32,0)))*INDEX('Informacion del AEP'!$D$54:$N$72,MATCH('Pagos mayoristas'!$C58,'Informacion del AEP'!$C$54:$C$72,0),MATCH('Pagos mayoristas'!$C$53,'Informacion del AEP'!$D$53:$N$53,0)))</f>
        <v>22</v>
      </c>
      <c r="F58" s="142">
        <f>IF(C58="","",('Precios mayoristas'!$D$58*INDEX('Informacion del AEP'!$D$54:$N$72,MATCH('Pagos mayoristas'!$C58,'Informacion del AEP'!$C$54:$C$72,0),MATCH('Pagos mayoristas'!$C$53,'Informacion del AEP'!$D$53:$N$53,0))*INDEX('Informacion del AEP'!$D$113:$F$131,MATCH('Pagos mayoristas'!$C58,'Informacion del AEP'!$C$113:$C$131,0),2)))</f>
        <v>0</v>
      </c>
      <c r="H58" s="142">
        <f>IF(C58="","",(INDEX('Precios mayoristas'!$D$33:$E$51,MATCH('Pagos mayoristas'!$C58,'Precios mayoristas'!$C$33:$C$51,0),MATCH('Pagos mayoristas'!$H$10,'Precios mayoristas'!$D$32:$E$32,0)))*INDEX('Informacion del AEP'!$D$54:$N$72,MATCH('Pagos mayoristas'!$C58,'Informacion del AEP'!$C$54:$C$72,0),MATCH('Pagos mayoristas'!$C$53,'Informacion del AEP'!$D$53:$N$53,0)))</f>
        <v>0</v>
      </c>
    </row>
    <row r="59" spans="3:16" x14ac:dyDescent="0.2">
      <c r="C59" s="24" t="str">
        <f>IF(Supuestos!B62="","",Supuestos!B62)</f>
        <v>Originación voz fijo</v>
      </c>
      <c r="D59" s="142">
        <f>IF(C59="","",(INDEX('Precios mayoristas'!$D$33:$E$51,MATCH('Pagos mayoristas'!$C59,'Precios mayoristas'!$C$33:$C$51,0),MATCH('Pagos mayoristas'!$D$10,'Precios mayoristas'!$D$32:$E$32,0)))*INDEX('Informacion del AEP'!$D$54:$N$72,MATCH('Pagos mayoristas'!$C59,'Informacion del AEP'!$C$54:$C$72,0),MATCH('Pagos mayoristas'!$C$53,'Informacion del AEP'!$D$53:$N$53,0)))</f>
        <v>22</v>
      </c>
      <c r="F59" s="142">
        <f>IF(C59="","",('Precios mayoristas'!$D$58*INDEX('Informacion del AEP'!$D$54:$N$72,MATCH('Pagos mayoristas'!$C59,'Informacion del AEP'!$C$54:$C$72,0),MATCH('Pagos mayoristas'!$C$53,'Informacion del AEP'!$D$53:$N$53,0))*INDEX('Informacion del AEP'!$D$113:$F$131,MATCH('Pagos mayoristas'!$C59,'Informacion del AEP'!$C$113:$C$131,0),2)))</f>
        <v>0</v>
      </c>
      <c r="H59" s="142">
        <f>IF(C59="","",(INDEX('Precios mayoristas'!$D$33:$E$51,MATCH('Pagos mayoristas'!$C59,'Precios mayoristas'!$C$33:$C$51,0),MATCH('Pagos mayoristas'!$H$10,'Precios mayoristas'!$D$32:$E$32,0)))*INDEX('Informacion del AEP'!$D$54:$N$72,MATCH('Pagos mayoristas'!$C59,'Informacion del AEP'!$C$54:$C$72,0),MATCH('Pagos mayoristas'!$C$53,'Informacion del AEP'!$D$53:$N$53,0)))</f>
        <v>37.380000000000003</v>
      </c>
    </row>
    <row r="60" spans="3:16" x14ac:dyDescent="0.2">
      <c r="C60" s="24" t="str">
        <f>IF(Supuestos!B63="","",Supuestos!B63)</f>
        <v>Originación voz internacional USA-Canadá</v>
      </c>
      <c r="D60" s="142">
        <f>IF(C60="","",(INDEX('Precios mayoristas'!$D$33:$E$51,MATCH('Pagos mayoristas'!$C60,'Precios mayoristas'!$C$33:$C$51,0),MATCH('Pagos mayoristas'!$D$10,'Precios mayoristas'!$D$32:$E$32,0)))*INDEX('Informacion del AEP'!$D$54:$N$72,MATCH('Pagos mayoristas'!$C60,'Informacion del AEP'!$C$54:$C$72,0),MATCH('Pagos mayoristas'!$C$53,'Informacion del AEP'!$D$53:$N$53,0)))</f>
        <v>22</v>
      </c>
      <c r="F60" s="142">
        <f>IF(C60="","",('Precios mayoristas'!$D$58*INDEX('Informacion del AEP'!$D$54:$N$72,MATCH('Pagos mayoristas'!$C60,'Informacion del AEP'!$C$54:$C$72,0),MATCH('Pagos mayoristas'!$C$53,'Informacion del AEP'!$D$53:$N$53,0))*INDEX('Informacion del AEP'!$D$113:$F$131,MATCH('Pagos mayoristas'!$C60,'Informacion del AEP'!$C$113:$C$131,0),2)))</f>
        <v>0</v>
      </c>
      <c r="H60" s="142">
        <f>IF(C60="","",(INDEX('Precios mayoristas'!$D$33:$E$51,MATCH('Pagos mayoristas'!$C60,'Precios mayoristas'!$C$33:$C$51,0),MATCH('Pagos mayoristas'!$H$10,'Precios mayoristas'!$D$32:$E$32,0)))*INDEX('Informacion del AEP'!$D$54:$N$72,MATCH('Pagos mayoristas'!$C60,'Informacion del AEP'!$C$54:$C$72,0),MATCH('Pagos mayoristas'!$C$53,'Informacion del AEP'!$D$53:$N$53,0)))</f>
        <v>0.61760000000000004</v>
      </c>
    </row>
    <row r="61" spans="3:16" x14ac:dyDescent="0.2">
      <c r="C61" s="24" t="str">
        <f>IF(Supuestos!B64="","",Supuestos!B64)</f>
        <v xml:space="preserve">Originación voz internacional Mundial </v>
      </c>
      <c r="D61" s="142">
        <f>IF(C61="","",(INDEX('Precios mayoristas'!$D$33:$E$51,MATCH('Pagos mayoristas'!$C61,'Precios mayoristas'!$C$33:$C$51,0),MATCH('Pagos mayoristas'!$D$10,'Precios mayoristas'!$D$32:$E$32,0)))*INDEX('Informacion del AEP'!$D$54:$N$72,MATCH('Pagos mayoristas'!$C61,'Informacion del AEP'!$C$54:$C$72,0),MATCH('Pagos mayoristas'!$C$53,'Informacion del AEP'!$D$53:$N$53,0)))</f>
        <v>22</v>
      </c>
      <c r="F61" s="142">
        <f>IF(C61="","",('Precios mayoristas'!$D$58*INDEX('Informacion del AEP'!$D$54:$N$72,MATCH('Pagos mayoristas'!$C61,'Informacion del AEP'!$C$54:$C$72,0),MATCH('Pagos mayoristas'!$C$53,'Informacion del AEP'!$D$53:$N$53,0))*INDEX('Informacion del AEP'!$D$113:$F$131,MATCH('Pagos mayoristas'!$C61,'Informacion del AEP'!$C$113:$C$131,0),2)))</f>
        <v>0</v>
      </c>
      <c r="H61" s="142">
        <f>IF(C61="","",(INDEX('Precios mayoristas'!$D$33:$E$51,MATCH('Pagos mayoristas'!$C61,'Precios mayoristas'!$C$33:$C$51,0),MATCH('Pagos mayoristas'!$H$10,'Precios mayoristas'!$D$32:$E$32,0)))*INDEX('Informacion del AEP'!$D$54:$N$72,MATCH('Pagos mayoristas'!$C61,'Informacion del AEP'!$C$54:$C$72,0),MATCH('Pagos mayoristas'!$C$53,'Informacion del AEP'!$D$53:$N$53,0)))</f>
        <v>100</v>
      </c>
    </row>
    <row r="62" spans="3:16" x14ac:dyDescent="0.2">
      <c r="C62" s="24" t="str">
        <f>IF(Supuestos!B65="","",Supuestos!B65)</f>
        <v>Originación voz internacional Cuba</v>
      </c>
      <c r="D62" s="142">
        <f>IF(C62="","",(INDEX('Precios mayoristas'!$D$33:$E$51,MATCH('Pagos mayoristas'!$C62,'Precios mayoristas'!$C$33:$C$51,0),MATCH('Pagos mayoristas'!$D$10,'Precios mayoristas'!$D$32:$E$32,0)))*INDEX('Informacion del AEP'!$D$54:$N$72,MATCH('Pagos mayoristas'!$C62,'Informacion del AEP'!$C$54:$C$72,0),MATCH('Pagos mayoristas'!$C$53,'Informacion del AEP'!$D$53:$N$53,0)))</f>
        <v>22</v>
      </c>
      <c r="F62" s="142">
        <f>IF(C62="","",('Precios mayoristas'!$D$58*INDEX('Informacion del AEP'!$D$54:$N$72,MATCH('Pagos mayoristas'!$C62,'Informacion del AEP'!$C$54:$C$72,0),MATCH('Pagos mayoristas'!$C$53,'Informacion del AEP'!$D$53:$N$53,0))*INDEX('Informacion del AEP'!$D$113:$F$131,MATCH('Pagos mayoristas'!$C62,'Informacion del AEP'!$C$113:$C$131,0),2)))</f>
        <v>0</v>
      </c>
      <c r="H62" s="142">
        <f>IF(C62="","",(INDEX('Precios mayoristas'!$D$33:$E$51,MATCH('Pagos mayoristas'!$C62,'Precios mayoristas'!$C$33:$C$51,0),MATCH('Pagos mayoristas'!$H$10,'Precios mayoristas'!$D$32:$E$32,0)))*INDEX('Informacion del AEP'!$D$54:$N$72,MATCH('Pagos mayoristas'!$C62,'Informacion del AEP'!$C$54:$C$72,0),MATCH('Pagos mayoristas'!$C$53,'Informacion del AEP'!$D$53:$N$53,0)))</f>
        <v>500</v>
      </c>
    </row>
    <row r="63" spans="3:16" x14ac:dyDescent="0.2">
      <c r="C63" s="24" t="str">
        <f>IF(Supuestos!B66="","",Supuestos!B66)</f>
        <v/>
      </c>
      <c r="D63" s="142" t="str">
        <f>IF(C63="","",(INDEX('Precios mayoristas'!$D$33:$E$51,MATCH('Pagos mayoristas'!$C63,'Precios mayoristas'!$C$33:$C$51,0),MATCH('Pagos mayoristas'!$D$10,'Precios mayoristas'!$D$32:$E$32,0)))*INDEX('Informacion del AEP'!$D$54:$N$72,MATCH('Pagos mayoristas'!$C63,'Informacion del AEP'!$C$54:$C$72,0),MATCH('Pagos mayoristas'!$C$53,'Informacion del AEP'!$D$53:$N$53,0)))</f>
        <v/>
      </c>
      <c r="F63" s="142" t="str">
        <f>IF(C63="","",('Precios mayoristas'!$D$58*INDEX('Informacion del AEP'!$D$54:$N$72,MATCH('Pagos mayoristas'!$C63,'Informacion del AEP'!$C$54:$C$72,0),MATCH('Pagos mayoristas'!$C$53,'Informacion del AEP'!$D$53:$N$53,0))*INDEX('Informacion del AEP'!$D$113:$F$131,MATCH('Pagos mayoristas'!$C63,'Informacion del AEP'!$C$113:$C$131,0),2)))</f>
        <v/>
      </c>
      <c r="H63" s="142" t="str">
        <f>IF(C63="","",(INDEX('Precios mayoristas'!$D$33:$E$51,MATCH('Pagos mayoristas'!$C63,'Precios mayoristas'!$C$33:$C$51,0),MATCH('Pagos mayoristas'!$H$10,'Precios mayoristas'!$D$32:$E$32,0)))*INDEX('Informacion del AEP'!$D$54:$N$72,MATCH('Pagos mayoristas'!$C63,'Informacion del AEP'!$C$54:$C$72,0),MATCH('Pagos mayoristas'!$C$53,'Informacion del AEP'!$D$53:$N$53,0)))</f>
        <v/>
      </c>
    </row>
    <row r="64" spans="3:16" x14ac:dyDescent="0.2">
      <c r="C64" s="24" t="str">
        <f>IF(Supuestos!B67="","",Supuestos!B67)</f>
        <v/>
      </c>
      <c r="D64" s="142" t="str">
        <f>IF(C64="","",(INDEX('Precios mayoristas'!$D$33:$E$51,MATCH('Pagos mayoristas'!$C64,'Precios mayoristas'!$C$33:$C$51,0),MATCH('Pagos mayoristas'!$D$10,'Precios mayoristas'!$D$32:$E$32,0)))*INDEX('Informacion del AEP'!$D$54:$N$72,MATCH('Pagos mayoristas'!$C64,'Informacion del AEP'!$C$54:$C$72,0),MATCH('Pagos mayoristas'!$C$53,'Informacion del AEP'!$D$53:$N$53,0)))</f>
        <v/>
      </c>
      <c r="F64" s="142" t="str">
        <f>IF(C64="","",('Precios mayoristas'!$D$58*INDEX('Informacion del AEP'!$D$54:$N$72,MATCH('Pagos mayoristas'!$C64,'Informacion del AEP'!$C$54:$C$72,0),MATCH('Pagos mayoristas'!$C$53,'Informacion del AEP'!$D$53:$N$53,0))*INDEX('Informacion del AEP'!$D$113:$F$131,MATCH('Pagos mayoristas'!$C64,'Informacion del AEP'!$C$113:$C$131,0),2)))</f>
        <v/>
      </c>
      <c r="H64" s="142" t="str">
        <f>IF(C64="","",(INDEX('Precios mayoristas'!$D$33:$E$51,MATCH('Pagos mayoristas'!$C64,'Precios mayoristas'!$C$33:$C$51,0),MATCH('Pagos mayoristas'!$H$10,'Precios mayoristas'!$D$32:$E$32,0)))*INDEX('Informacion del AEP'!$D$54:$N$72,MATCH('Pagos mayoristas'!$C64,'Informacion del AEP'!$C$54:$C$72,0),MATCH('Pagos mayoristas'!$C$53,'Informacion del AEP'!$D$53:$N$53,0)))</f>
        <v/>
      </c>
    </row>
    <row r="65" spans="3:12" x14ac:dyDescent="0.2">
      <c r="C65" s="24" t="str">
        <f>IF(Supuestos!B68="","",Supuestos!B68)</f>
        <v/>
      </c>
      <c r="D65" s="142" t="str">
        <f>IF(C65="","",(INDEX('Precios mayoristas'!$D$33:$E$51,MATCH('Pagos mayoristas'!$C65,'Precios mayoristas'!$C$33:$C$51,0),MATCH('Pagos mayoristas'!$D$10,'Precios mayoristas'!$D$32:$E$32,0)))*INDEX('Informacion del AEP'!$D$54:$N$72,MATCH('Pagos mayoristas'!$C65,'Informacion del AEP'!$C$54:$C$72,0),MATCH('Pagos mayoristas'!$C$53,'Informacion del AEP'!$D$53:$N$53,0)))</f>
        <v/>
      </c>
      <c r="F65" s="142" t="str">
        <f>IF(C65="","",('Precios mayoristas'!$D$58*INDEX('Informacion del AEP'!$D$54:$N$72,MATCH('Pagos mayoristas'!$C65,'Informacion del AEP'!$C$54:$C$72,0),MATCH('Pagos mayoristas'!$C$53,'Informacion del AEP'!$D$53:$N$53,0))*INDEX('Informacion del AEP'!$D$113:$F$131,MATCH('Pagos mayoristas'!$C65,'Informacion del AEP'!$C$113:$C$131,0),2)))</f>
        <v/>
      </c>
      <c r="H65" s="142" t="str">
        <f>IF(C65="","",(INDEX('Precios mayoristas'!$D$33:$E$51,MATCH('Pagos mayoristas'!$C65,'Precios mayoristas'!$C$33:$C$51,0),MATCH('Pagos mayoristas'!$H$10,'Precios mayoristas'!$D$32:$E$32,0)))*INDEX('Informacion del AEP'!$D$54:$N$72,MATCH('Pagos mayoristas'!$C65,'Informacion del AEP'!$C$54:$C$72,0),MATCH('Pagos mayoristas'!$C$53,'Informacion del AEP'!$D$53:$N$53,0)))</f>
        <v/>
      </c>
    </row>
    <row r="66" spans="3:12" x14ac:dyDescent="0.2">
      <c r="C66" s="24" t="str">
        <f>IF(Supuestos!B69="","",Supuestos!B69)</f>
        <v/>
      </c>
      <c r="D66" s="142" t="str">
        <f>IF(C66="","",(INDEX('Precios mayoristas'!$D$33:$E$51,MATCH('Pagos mayoristas'!$C66,'Precios mayoristas'!$C$33:$C$51,0),MATCH('Pagos mayoristas'!$D$10,'Precios mayoristas'!$D$32:$E$32,0)))*INDEX('Informacion del AEP'!$D$54:$N$72,MATCH('Pagos mayoristas'!$C66,'Informacion del AEP'!$C$54:$C$72,0),MATCH('Pagos mayoristas'!$C$53,'Informacion del AEP'!$D$53:$N$53,0)))</f>
        <v/>
      </c>
      <c r="F66" s="142" t="str">
        <f>IF(C66="","",('Precios mayoristas'!$D$58*INDEX('Informacion del AEP'!$D$54:$N$72,MATCH('Pagos mayoristas'!$C66,'Informacion del AEP'!$C$54:$C$72,0),MATCH('Pagos mayoristas'!$C$53,'Informacion del AEP'!$D$53:$N$53,0))*INDEX('Informacion del AEP'!$D$113:$F$131,MATCH('Pagos mayoristas'!$C66,'Informacion del AEP'!$C$113:$C$131,0),2)))</f>
        <v/>
      </c>
      <c r="H66" s="142" t="str">
        <f>IF(C66="","",(INDEX('Precios mayoristas'!$D$33:$E$51,MATCH('Pagos mayoristas'!$C66,'Precios mayoristas'!$C$33:$C$51,0),MATCH('Pagos mayoristas'!$H$10,'Precios mayoristas'!$D$32:$E$32,0)))*INDEX('Informacion del AEP'!$D$54:$N$72,MATCH('Pagos mayoristas'!$C66,'Informacion del AEP'!$C$54:$C$72,0),MATCH('Pagos mayoristas'!$C$53,'Informacion del AEP'!$D$53:$N$53,0)))</f>
        <v/>
      </c>
    </row>
    <row r="67" spans="3:12" x14ac:dyDescent="0.2">
      <c r="C67" s="24" t="str">
        <f>IF(Supuestos!B70="","",Supuestos!B70)</f>
        <v/>
      </c>
      <c r="D67" s="142" t="str">
        <f>IF(C67="","",(INDEX('Precios mayoristas'!$D$33:$E$51,MATCH('Pagos mayoristas'!$C67,'Precios mayoristas'!$C$33:$C$51,0),MATCH('Pagos mayoristas'!$D$10,'Precios mayoristas'!$D$32:$E$32,0)))*INDEX('Informacion del AEP'!$D$54:$N$72,MATCH('Pagos mayoristas'!$C67,'Informacion del AEP'!$C$54:$C$72,0),MATCH('Pagos mayoristas'!$C$53,'Informacion del AEP'!$D$53:$N$53,0)))</f>
        <v/>
      </c>
      <c r="F67" s="142" t="str">
        <f>IF(C67="","",('Precios mayoristas'!$D$58*INDEX('Informacion del AEP'!$D$54:$N$72,MATCH('Pagos mayoristas'!$C67,'Informacion del AEP'!$C$54:$C$72,0),MATCH('Pagos mayoristas'!$C$53,'Informacion del AEP'!$D$53:$N$53,0))*INDEX('Informacion del AEP'!$D$113:$F$131,MATCH('Pagos mayoristas'!$C67,'Informacion del AEP'!$C$113:$C$131,0),2)))</f>
        <v/>
      </c>
      <c r="H67" s="142" t="str">
        <f>IF(C67="","",(INDEX('Precios mayoristas'!$D$33:$E$51,MATCH('Pagos mayoristas'!$C67,'Precios mayoristas'!$C$33:$C$51,0),MATCH('Pagos mayoristas'!$H$10,'Precios mayoristas'!$D$32:$E$32,0)))*INDEX('Informacion del AEP'!$D$54:$N$72,MATCH('Pagos mayoristas'!$C67,'Informacion del AEP'!$C$54:$C$72,0),MATCH('Pagos mayoristas'!$C$53,'Informacion del AEP'!$D$53:$N$53,0)))</f>
        <v/>
      </c>
    </row>
    <row r="68" spans="3:12" x14ac:dyDescent="0.2">
      <c r="C68" s="24" t="str">
        <f>IF(Supuestos!B71="","",Supuestos!B71)</f>
        <v>Originación SMS OMV</v>
      </c>
      <c r="D68" s="142">
        <f>IF(C68="","",(INDEX('Precios mayoristas'!$D$33:$E$51,MATCH('Pagos mayoristas'!$C68,'Precios mayoristas'!$C$33:$C$51,0),MATCH('Pagos mayoristas'!$D$10,'Precios mayoristas'!$D$32:$E$32,0)))*INDEX('Informacion del AEP'!$D$54:$N$72,MATCH('Pagos mayoristas'!$C68,'Informacion del AEP'!$C$54:$C$72,0),MATCH('Pagos mayoristas'!$C$53,'Informacion del AEP'!$D$53:$N$53,0)))</f>
        <v>22</v>
      </c>
      <c r="F68" s="142">
        <f>IF(C68="","",('Precios mayoristas'!$D$58*INDEX('Informacion del AEP'!$D$54:$N$72,MATCH('Pagos mayoristas'!$C68,'Informacion del AEP'!$C$54:$C$72,0),MATCH('Pagos mayoristas'!$C$53,'Informacion del AEP'!$D$53:$N$53,0))*INDEX('Informacion del AEP'!$D$113:$F$131,MATCH('Pagos mayoristas'!$C68,'Informacion del AEP'!$C$113:$C$131,0),2)))</f>
        <v>0</v>
      </c>
      <c r="H68" s="142">
        <f>IF(C68="","",(INDEX('Precios mayoristas'!$D$33:$E$51,MATCH('Pagos mayoristas'!$C68,'Precios mayoristas'!$C$33:$C$51,0),MATCH('Pagos mayoristas'!$H$10,'Precios mayoristas'!$D$32:$E$32,0)))*INDEX('Informacion del AEP'!$D$54:$N$72,MATCH('Pagos mayoristas'!$C68,'Informacion del AEP'!$C$54:$C$72,0),MATCH('Pagos mayoristas'!$C$53,'Informacion del AEP'!$D$53:$N$53,0)))</f>
        <v>0</v>
      </c>
    </row>
    <row r="69" spans="3:12" x14ac:dyDescent="0.2">
      <c r="C69" s="24" t="str">
        <f>IF(Supuestos!B72="","",Supuestos!B72)</f>
        <v>Originación SMS on-net</v>
      </c>
      <c r="D69" s="142">
        <f>IF(C69="","",(INDEX('Precios mayoristas'!$D$33:$E$51,MATCH('Pagos mayoristas'!$C69,'Precios mayoristas'!$C$33:$C$51,0),MATCH('Pagos mayoristas'!$D$10,'Precios mayoristas'!$D$32:$E$32,0)))*INDEX('Informacion del AEP'!$D$54:$N$72,MATCH('Pagos mayoristas'!$C69,'Informacion del AEP'!$C$54:$C$72,0),MATCH('Pagos mayoristas'!$C$53,'Informacion del AEP'!$D$53:$N$53,0)))</f>
        <v>22</v>
      </c>
      <c r="F69" s="142">
        <f>IF(C69="","",('Precios mayoristas'!$D$58*INDEX('Informacion del AEP'!$D$54:$N$72,MATCH('Pagos mayoristas'!$C69,'Informacion del AEP'!$C$54:$C$72,0),MATCH('Pagos mayoristas'!$C$53,'Informacion del AEP'!$D$53:$N$53,0))*INDEX('Informacion del AEP'!$D$113:$F$131,MATCH('Pagos mayoristas'!$C69,'Informacion del AEP'!$C$113:$C$131,0),2)))</f>
        <v>0</v>
      </c>
      <c r="H69" s="142">
        <f>IF(C69="","",(INDEX('Precios mayoristas'!$D$33:$E$51,MATCH('Pagos mayoristas'!$C69,'Precios mayoristas'!$C$33:$C$51,0),MATCH('Pagos mayoristas'!$H$10,'Precios mayoristas'!$D$32:$E$32,0)))*INDEX('Informacion del AEP'!$D$54:$N$72,MATCH('Pagos mayoristas'!$C69,'Informacion del AEP'!$C$54:$C$72,0),MATCH('Pagos mayoristas'!$C$53,'Informacion del AEP'!$D$53:$N$53,0)))</f>
        <v>3.4709999999999996</v>
      </c>
    </row>
    <row r="70" spans="3:12" x14ac:dyDescent="0.2">
      <c r="C70" s="24" t="str">
        <f>IF(Supuestos!B73="","",Supuestos!B73)</f>
        <v>Originación SMS off-net</v>
      </c>
      <c r="D70" s="142">
        <f>IF(C70="","",(INDEX('Precios mayoristas'!$D$33:$E$51,MATCH('Pagos mayoristas'!$C70,'Precios mayoristas'!$C$33:$C$51,0),MATCH('Pagos mayoristas'!$D$10,'Precios mayoristas'!$D$32:$E$32,0)))*INDEX('Informacion del AEP'!$D$54:$N$72,MATCH('Pagos mayoristas'!$C70,'Informacion del AEP'!$C$54:$C$72,0),MATCH('Pagos mayoristas'!$C$53,'Informacion del AEP'!$D$53:$N$53,0)))</f>
        <v>22</v>
      </c>
      <c r="F70" s="142">
        <f>IF(C70="","",('Precios mayoristas'!$D$58*INDEX('Informacion del AEP'!$D$54:$N$72,MATCH('Pagos mayoristas'!$C70,'Informacion del AEP'!$C$54:$C$72,0),MATCH('Pagos mayoristas'!$C$53,'Informacion del AEP'!$D$53:$N$53,0))*INDEX('Informacion del AEP'!$D$113:$F$131,MATCH('Pagos mayoristas'!$C70,'Informacion del AEP'!$C$113:$C$131,0),2)))</f>
        <v>0</v>
      </c>
      <c r="H70" s="142">
        <f>IF(C70="","",(INDEX('Precios mayoristas'!$D$33:$E$51,MATCH('Pagos mayoristas'!$C70,'Precios mayoristas'!$C$33:$C$51,0),MATCH('Pagos mayoristas'!$H$10,'Precios mayoristas'!$D$32:$E$32,0)))*INDEX('Informacion del AEP'!$D$54:$N$72,MATCH('Pagos mayoristas'!$C70,'Informacion del AEP'!$C$54:$C$72,0),MATCH('Pagos mayoristas'!$C$53,'Informacion del AEP'!$D$53:$N$53,0)))</f>
        <v>100</v>
      </c>
    </row>
    <row r="71" spans="3:12" x14ac:dyDescent="0.2">
      <c r="C71" s="24" t="str">
        <f>IF(Supuestos!B74="","",Supuestos!B74)</f>
        <v>Originación SMS otros servicios (SVA)</v>
      </c>
      <c r="D71" s="142">
        <f>IF(C71="","",(INDEX('Precios mayoristas'!$D$33:$E$51,MATCH('Pagos mayoristas'!$C71,'Precios mayoristas'!$C$33:$C$51,0),MATCH('Pagos mayoristas'!$D$10,'Precios mayoristas'!$D$32:$E$32,0)))*INDEX('Informacion del AEP'!$D$54:$N$72,MATCH('Pagos mayoristas'!$C71,'Informacion del AEP'!$C$54:$C$72,0),MATCH('Pagos mayoristas'!$C$53,'Informacion del AEP'!$D$53:$N$53,0)))</f>
        <v>22</v>
      </c>
      <c r="F71" s="142">
        <f>IF(C71="","",('Precios mayoristas'!$D$58*INDEX('Informacion del AEP'!$D$54:$N$72,MATCH('Pagos mayoristas'!$C71,'Informacion del AEP'!$C$54:$C$72,0),MATCH('Pagos mayoristas'!$C$53,'Informacion del AEP'!$D$53:$N$53,0))*INDEX('Informacion del AEP'!$D$113:$F$131,MATCH('Pagos mayoristas'!$C71,'Informacion del AEP'!$C$113:$C$131,0),2)))</f>
        <v>0</v>
      </c>
      <c r="H71" s="142">
        <f>IF(C71="","",(INDEX('Precios mayoristas'!$D$33:$E$51,MATCH('Pagos mayoristas'!$C71,'Precios mayoristas'!$C$33:$C$51,0),MATCH('Pagos mayoristas'!$H$10,'Precios mayoristas'!$D$32:$E$32,0)))*INDEX('Informacion del AEP'!$D$54:$N$72,MATCH('Pagos mayoristas'!$C71,'Informacion del AEP'!$C$54:$C$72,0),MATCH('Pagos mayoristas'!$C$53,'Informacion del AEP'!$D$53:$N$53,0)))</f>
        <v>150</v>
      </c>
    </row>
    <row r="72" spans="3:12" x14ac:dyDescent="0.2">
      <c r="C72" s="24" t="str">
        <f>IF(Supuestos!B75="","",Supuestos!B75)</f>
        <v>Otros servicios (incluyendo marcaciones especiales)</v>
      </c>
      <c r="D72" s="142">
        <f>IF(C72="","",(INDEX('Precios mayoristas'!$D$33:$E$51,MATCH('Pagos mayoristas'!$C72,'Precios mayoristas'!$C$33:$C$51,0),MATCH('Pagos mayoristas'!$D$10,'Precios mayoristas'!$D$32:$E$32,0)))*INDEX('Informacion del AEP'!$D$54:$N$72,MATCH('Pagos mayoristas'!$C72,'Informacion del AEP'!$C$54:$C$72,0),MATCH('Pagos mayoristas'!$C$53,'Informacion del AEP'!$D$53:$N$53,0)))</f>
        <v>22</v>
      </c>
      <c r="F72" s="142">
        <f>IF(C72="","",('Precios mayoristas'!$D$58*INDEX('Informacion del AEP'!$D$54:$N$72,MATCH('Pagos mayoristas'!$C72,'Informacion del AEP'!$C$54:$C$72,0),MATCH('Pagos mayoristas'!$C$53,'Informacion del AEP'!$D$53:$N$53,0))*INDEX('Informacion del AEP'!$D$113:$F$131,MATCH('Pagos mayoristas'!$C72,'Informacion del AEP'!$C$113:$C$131,0),2)))</f>
        <v>0</v>
      </c>
      <c r="H72" s="142">
        <f>IF(C72="","",(INDEX('Precios mayoristas'!$D$33:$E$51,MATCH('Pagos mayoristas'!$C72,'Precios mayoristas'!$C$33:$C$51,0),MATCH('Pagos mayoristas'!$H$10,'Precios mayoristas'!$D$32:$E$32,0)))*INDEX('Informacion del AEP'!$D$54:$N$72,MATCH('Pagos mayoristas'!$C72,'Informacion del AEP'!$C$54:$C$72,0),MATCH('Pagos mayoristas'!$C$53,'Informacion del AEP'!$D$53:$N$53,0)))</f>
        <v>0</v>
      </c>
    </row>
    <row r="74" spans="3:12" x14ac:dyDescent="0.2">
      <c r="C74" s="135" t="str">
        <f>Supuestos!$B$87</f>
        <v>Oferta 1</v>
      </c>
      <c r="D74" s="141">
        <f>SUM(D75:D93)</f>
        <v>30.999999999999993</v>
      </c>
      <c r="E74" s="136"/>
      <c r="F74" s="141">
        <f>SUM(F75:F93)</f>
        <v>0</v>
      </c>
      <c r="G74" s="136"/>
      <c r="H74" s="141">
        <f>SUM(H75:H93)</f>
        <v>92.946619999999996</v>
      </c>
      <c r="I74" s="136"/>
      <c r="J74" s="141">
        <f>(IF(Supuestos!$C$22&lt;'Precios mayoristas'!$D$25,'Precios mayoristas'!$D$22*'Informacion del AEP'!$H$36,'Precios mayoristas'!$E$22*'Informacion del AEP'!$H$36)+IF(Supuestos!$C$22&lt;'Precios mayoristas'!$D$25,'Precios mayoristas'!$D$24*'Informacion del AEP'!$H$37,'Precios mayoristas'!$E$24*'Informacion del AEP'!$H$37))*Supuestos!$C$7</f>
        <v>6003000</v>
      </c>
      <c r="K74" s="141"/>
      <c r="L74" s="141">
        <f>$L$11*('Informacion del AEP'!$I$12/'Informacion del AEP'!$F$12)</f>
        <v>416.66666666666669</v>
      </c>
    </row>
    <row r="75" spans="3:12" x14ac:dyDescent="0.2">
      <c r="C75" s="24" t="str">
        <f>IF(Supuestos!B57="","",Supuestos!B57)</f>
        <v>Datos</v>
      </c>
      <c r="D75" s="142">
        <f>IF(C75="","",(INDEX('Precios mayoristas'!$D$33:$E$51,MATCH('Pagos mayoristas'!$C75,'Precios mayoristas'!$C$33:$C$51,0),MATCH('Pagos mayoristas'!$D$10,'Precios mayoristas'!$D$32:$E$32,0)))*INDEX('Informacion del AEP'!$D$54:$N$72,MATCH('Pagos mayoristas'!$C75,'Informacion del AEP'!$C$54:$C$72,0),MATCH('Pagos mayoristas'!$C$74,'Informacion del AEP'!$D$53:$N$53,0)))</f>
        <v>2.4</v>
      </c>
      <c r="F75" s="142">
        <f>IF(C75="","",('Precios mayoristas'!$D$58*INDEX('Informacion del AEP'!$D$54:$N$72,MATCH('Pagos mayoristas'!$C75,'Informacion del AEP'!$C$54:$C$72,0),MATCH('Pagos mayoristas'!$C$74,'Informacion del AEP'!$D$53:$N$53,0))*INDEX('Informacion del AEP'!$D$113:$F$131,MATCH('Pagos mayoristas'!$C75,'Informacion del AEP'!$C$113:$C$131,0),2)))</f>
        <v>0</v>
      </c>
      <c r="H75" s="142">
        <f>IF(C75="","",(INDEX('Precios mayoristas'!$D$33:$E$51,MATCH('Pagos mayoristas'!$C75,'Precios mayoristas'!$C$33:$C$51,0),MATCH('Pagos mayoristas'!$H$10,'Precios mayoristas'!$D$32:$E$32,0)))*INDEX('Informacion del AEP'!$D$54:$N$72,MATCH('Pagos mayoristas'!$C75,'Informacion del AEP'!$C$54:$C$72,0),MATCH('Pagos mayoristas'!$C$74,'Informacion del AEP'!$D$53:$N$53,0)))</f>
        <v>0</v>
      </c>
    </row>
    <row r="76" spans="3:12" x14ac:dyDescent="0.2">
      <c r="C76" s="24" t="str">
        <f>IF(Supuestos!B58="","",Supuestos!B58)</f>
        <v>Originación voz mismo OMV</v>
      </c>
      <c r="D76" s="142">
        <f>IF(C76="","",(INDEX('Precios mayoristas'!$D$33:$E$51,MATCH('Pagos mayoristas'!$C76,'Precios mayoristas'!$C$33:$C$51,0),MATCH('Pagos mayoristas'!$D$10,'Precios mayoristas'!$D$32:$E$32,0)))*INDEX('Informacion del AEP'!$D$54:$N$72,MATCH('Pagos mayoristas'!$C76,'Informacion del AEP'!$C$54:$C$72,0),MATCH('Pagos mayoristas'!$C$74,'Informacion del AEP'!$D$53:$N$53,0)))</f>
        <v>2.2000000000000002</v>
      </c>
      <c r="F76" s="142">
        <f>IF(C76="","",('Precios mayoristas'!$D$58*INDEX('Informacion del AEP'!$D$54:$N$72,MATCH('Pagos mayoristas'!$C76,'Informacion del AEP'!$C$54:$C$72,0),MATCH('Pagos mayoristas'!$C$74,'Informacion del AEP'!$D$53:$N$53,0))*INDEX('Informacion del AEP'!$D$113:$F$131,MATCH('Pagos mayoristas'!$C76,'Informacion del AEP'!$C$113:$C$131,0),2)))</f>
        <v>0</v>
      </c>
      <c r="H76" s="142">
        <f>IF(C76="","",(INDEX('Precios mayoristas'!$D$33:$E$51,MATCH('Pagos mayoristas'!$C76,'Precios mayoristas'!$C$33:$C$51,0),MATCH('Pagos mayoristas'!$H$10,'Precios mayoristas'!$D$32:$E$32,0)))*INDEX('Informacion del AEP'!$D$54:$N$72,MATCH('Pagos mayoristas'!$C76,'Informacion del AEP'!$C$54:$C$72,0),MATCH('Pagos mayoristas'!$C$74,'Informacion del AEP'!$D$53:$N$53,0)))</f>
        <v>0</v>
      </c>
    </row>
    <row r="77" spans="3:12" x14ac:dyDescent="0.2">
      <c r="C77" s="24" t="str">
        <f>IF(Supuestos!B59="","",Supuestos!B59)</f>
        <v>Originación voz on-net otro OMV</v>
      </c>
      <c r="D77" s="142">
        <f>IF(C77="","",(INDEX('Precios mayoristas'!$D$33:$E$51,MATCH('Pagos mayoristas'!$C77,'Precios mayoristas'!$C$33:$C$51,0),MATCH('Pagos mayoristas'!$D$10,'Precios mayoristas'!$D$32:$E$32,0)))*INDEX('Informacion del AEP'!$D$54:$N$72,MATCH('Pagos mayoristas'!$C77,'Informacion del AEP'!$C$54:$C$72,0),MATCH('Pagos mayoristas'!$C$74,'Informacion del AEP'!$D$53:$N$53,0)))</f>
        <v>2.2000000000000002</v>
      </c>
      <c r="F77" s="142">
        <f>IF(C77="","",('Precios mayoristas'!$D$58*INDEX('Informacion del AEP'!$D$54:$N$72,MATCH('Pagos mayoristas'!$C77,'Informacion del AEP'!$C$54:$C$72,0),MATCH('Pagos mayoristas'!$C$74,'Informacion del AEP'!$D$53:$N$53,0))*INDEX('Informacion del AEP'!$D$113:$F$131,MATCH('Pagos mayoristas'!$C77,'Informacion del AEP'!$C$113:$C$131,0),2)))</f>
        <v>0</v>
      </c>
      <c r="H77" s="142">
        <f>IF(C77="","",(INDEX('Precios mayoristas'!$D$33:$E$51,MATCH('Pagos mayoristas'!$C77,'Precios mayoristas'!$C$33:$C$51,0),MATCH('Pagos mayoristas'!$H$10,'Precios mayoristas'!$D$32:$E$32,0)))*INDEX('Informacion del AEP'!$D$54:$N$72,MATCH('Pagos mayoristas'!$C77,'Informacion del AEP'!$C$54:$C$72,0),MATCH('Pagos mayoristas'!$C$74,'Informacion del AEP'!$D$53:$N$53,0)))</f>
        <v>3.7380000000000004</v>
      </c>
    </row>
    <row r="78" spans="3:12" x14ac:dyDescent="0.2">
      <c r="C78" s="24" t="str">
        <f>IF(Supuestos!B60="","",Supuestos!B60)</f>
        <v>Originación voz on-net</v>
      </c>
      <c r="D78" s="142">
        <f>IF(C78="","",(INDEX('Precios mayoristas'!$D$33:$E$51,MATCH('Pagos mayoristas'!$C78,'Precios mayoristas'!$C$33:$C$51,0),MATCH('Pagos mayoristas'!$D$10,'Precios mayoristas'!$D$32:$E$32,0)))*INDEX('Informacion del AEP'!$D$54:$N$72,MATCH('Pagos mayoristas'!$C78,'Informacion del AEP'!$C$54:$C$72,0),MATCH('Pagos mayoristas'!$C$74,'Informacion del AEP'!$D$53:$N$53,0)))</f>
        <v>2.2000000000000002</v>
      </c>
      <c r="F78" s="142">
        <f>IF(C78="","",('Precios mayoristas'!$D$58*INDEX('Informacion del AEP'!$D$54:$N$72,MATCH('Pagos mayoristas'!$C78,'Informacion del AEP'!$C$54:$C$72,0),MATCH('Pagos mayoristas'!$C$74,'Informacion del AEP'!$D$53:$N$53,0))*INDEX('Informacion del AEP'!$D$113:$F$131,MATCH('Pagos mayoristas'!$C78,'Informacion del AEP'!$C$113:$C$131,0),2)))</f>
        <v>0</v>
      </c>
      <c r="H78" s="142">
        <f>IF(C78="","",(INDEX('Precios mayoristas'!$D$33:$E$51,MATCH('Pagos mayoristas'!$C78,'Precios mayoristas'!$C$33:$C$51,0),MATCH('Pagos mayoristas'!$H$10,'Precios mayoristas'!$D$32:$E$32,0)))*INDEX('Informacion del AEP'!$D$54:$N$72,MATCH('Pagos mayoristas'!$C78,'Informacion del AEP'!$C$54:$C$72,0),MATCH('Pagos mayoristas'!$C$74,'Informacion del AEP'!$D$53:$N$53,0)))</f>
        <v>6.1760000000000002E-2</v>
      </c>
    </row>
    <row r="79" spans="3:12" x14ac:dyDescent="0.2">
      <c r="C79" s="24" t="str">
        <f>IF(Supuestos!B61="","",Supuestos!B61)</f>
        <v>Originación voz off-net móvil</v>
      </c>
      <c r="D79" s="142">
        <f>IF(C79="","",(INDEX('Precios mayoristas'!$D$33:$E$51,MATCH('Pagos mayoristas'!$C79,'Precios mayoristas'!$C$33:$C$51,0),MATCH('Pagos mayoristas'!$D$10,'Precios mayoristas'!$D$32:$E$32,0)))*INDEX('Informacion del AEP'!$D$54:$N$72,MATCH('Pagos mayoristas'!$C79,'Informacion del AEP'!$C$54:$C$72,0),MATCH('Pagos mayoristas'!$C$74,'Informacion del AEP'!$D$53:$N$53,0)))</f>
        <v>2.2000000000000002</v>
      </c>
      <c r="F79" s="142">
        <f>IF(C79="","",('Precios mayoristas'!$D$58*INDEX('Informacion del AEP'!$D$54:$N$72,MATCH('Pagos mayoristas'!$C79,'Informacion del AEP'!$C$54:$C$72,0),MATCH('Pagos mayoristas'!$C$74,'Informacion del AEP'!$D$53:$N$53,0))*INDEX('Informacion del AEP'!$D$113:$F$131,MATCH('Pagos mayoristas'!$C79,'Informacion del AEP'!$C$113:$C$131,0),2)))</f>
        <v>0</v>
      </c>
      <c r="H79" s="142">
        <f>IF(C79="","",(INDEX('Precios mayoristas'!$D$33:$E$51,MATCH('Pagos mayoristas'!$C79,'Precios mayoristas'!$C$33:$C$51,0),MATCH('Pagos mayoristas'!$H$10,'Precios mayoristas'!$D$32:$E$32,0)))*INDEX('Informacion del AEP'!$D$54:$N$72,MATCH('Pagos mayoristas'!$C79,'Informacion del AEP'!$C$54:$C$72,0),MATCH('Pagos mayoristas'!$C$74,'Informacion del AEP'!$D$53:$N$53,0)))</f>
        <v>0</v>
      </c>
    </row>
    <row r="80" spans="3:12" x14ac:dyDescent="0.2">
      <c r="C80" s="24" t="str">
        <f>IF(Supuestos!B62="","",Supuestos!B62)</f>
        <v>Originación voz fijo</v>
      </c>
      <c r="D80" s="142">
        <f>IF(C80="","",(INDEX('Precios mayoristas'!$D$33:$E$51,MATCH('Pagos mayoristas'!$C80,'Precios mayoristas'!$C$33:$C$51,0),MATCH('Pagos mayoristas'!$D$10,'Precios mayoristas'!$D$32:$E$32,0)))*INDEX('Informacion del AEP'!$D$54:$N$72,MATCH('Pagos mayoristas'!$C80,'Informacion del AEP'!$C$54:$C$72,0),MATCH('Pagos mayoristas'!$C$74,'Informacion del AEP'!$D$53:$N$53,0)))</f>
        <v>2.2000000000000002</v>
      </c>
      <c r="F80" s="142">
        <f>IF(C80="","",('Precios mayoristas'!$D$58*INDEX('Informacion del AEP'!$D$54:$N$72,MATCH('Pagos mayoristas'!$C80,'Informacion del AEP'!$C$54:$C$72,0),MATCH('Pagos mayoristas'!$C$74,'Informacion del AEP'!$D$53:$N$53,0))*INDEX('Informacion del AEP'!$D$113:$F$131,MATCH('Pagos mayoristas'!$C80,'Informacion del AEP'!$C$113:$C$131,0),2)))</f>
        <v>0</v>
      </c>
      <c r="H80" s="142">
        <f>IF(C80="","",(INDEX('Precios mayoristas'!$D$33:$E$51,MATCH('Pagos mayoristas'!$C80,'Precios mayoristas'!$C$33:$C$51,0),MATCH('Pagos mayoristas'!$H$10,'Precios mayoristas'!$D$32:$E$32,0)))*INDEX('Informacion del AEP'!$D$54:$N$72,MATCH('Pagos mayoristas'!$C80,'Informacion del AEP'!$C$54:$C$72,0),MATCH('Pagos mayoristas'!$C$74,'Informacion del AEP'!$D$53:$N$53,0)))</f>
        <v>3.7380000000000004</v>
      </c>
    </row>
    <row r="81" spans="3:12" x14ac:dyDescent="0.2">
      <c r="C81" s="24" t="str">
        <f>IF(Supuestos!B63="","",Supuestos!B63)</f>
        <v>Originación voz internacional USA-Canadá</v>
      </c>
      <c r="D81" s="142">
        <f>IF(C81="","",(INDEX('Precios mayoristas'!$D$33:$E$51,MATCH('Pagos mayoristas'!$C81,'Precios mayoristas'!$C$33:$C$51,0),MATCH('Pagos mayoristas'!$D$10,'Precios mayoristas'!$D$32:$E$32,0)))*INDEX('Informacion del AEP'!$D$54:$N$72,MATCH('Pagos mayoristas'!$C81,'Informacion del AEP'!$C$54:$C$72,0),MATCH('Pagos mayoristas'!$C$74,'Informacion del AEP'!$D$53:$N$53,0)))</f>
        <v>2.2000000000000002</v>
      </c>
      <c r="F81" s="142">
        <f>IF(C81="","",('Precios mayoristas'!$D$58*INDEX('Informacion del AEP'!$D$54:$N$72,MATCH('Pagos mayoristas'!$C81,'Informacion del AEP'!$C$54:$C$72,0),MATCH('Pagos mayoristas'!$C$74,'Informacion del AEP'!$D$53:$N$53,0))*INDEX('Informacion del AEP'!$D$113:$F$131,MATCH('Pagos mayoristas'!$C81,'Informacion del AEP'!$C$113:$C$131,0),2)))</f>
        <v>0</v>
      </c>
      <c r="H81" s="142">
        <f>IF(C81="","",(INDEX('Precios mayoristas'!$D$33:$E$51,MATCH('Pagos mayoristas'!$C81,'Precios mayoristas'!$C$33:$C$51,0),MATCH('Pagos mayoristas'!$H$10,'Precios mayoristas'!$D$32:$E$32,0)))*INDEX('Informacion del AEP'!$D$54:$N$72,MATCH('Pagos mayoristas'!$C81,'Informacion del AEP'!$C$54:$C$72,0),MATCH('Pagos mayoristas'!$C$74,'Informacion del AEP'!$D$53:$N$53,0)))</f>
        <v>6.1760000000000002E-2</v>
      </c>
    </row>
    <row r="82" spans="3:12" x14ac:dyDescent="0.2">
      <c r="C82" s="24" t="str">
        <f>IF(Supuestos!B64="","",Supuestos!B64)</f>
        <v xml:space="preserve">Originación voz internacional Mundial </v>
      </c>
      <c r="D82" s="142">
        <f>IF(C82="","",(INDEX('Precios mayoristas'!$D$33:$E$51,MATCH('Pagos mayoristas'!$C82,'Precios mayoristas'!$C$33:$C$51,0),MATCH('Pagos mayoristas'!$D$10,'Precios mayoristas'!$D$32:$E$32,0)))*INDEX('Informacion del AEP'!$D$54:$N$72,MATCH('Pagos mayoristas'!$C82,'Informacion del AEP'!$C$54:$C$72,0),MATCH('Pagos mayoristas'!$C$74,'Informacion del AEP'!$D$53:$N$53,0)))</f>
        <v>2.2000000000000002</v>
      </c>
      <c r="F82" s="142">
        <f>IF(C82="","",('Precios mayoristas'!$D$58*INDEX('Informacion del AEP'!$D$54:$N$72,MATCH('Pagos mayoristas'!$C82,'Informacion del AEP'!$C$54:$C$72,0),MATCH('Pagos mayoristas'!$C$74,'Informacion del AEP'!$D$53:$N$53,0))*INDEX('Informacion del AEP'!$D$113:$F$131,MATCH('Pagos mayoristas'!$C82,'Informacion del AEP'!$C$113:$C$131,0),2)))</f>
        <v>0</v>
      </c>
      <c r="H82" s="142">
        <f>IF(C82="","",(INDEX('Precios mayoristas'!$D$33:$E$51,MATCH('Pagos mayoristas'!$C82,'Precios mayoristas'!$C$33:$C$51,0),MATCH('Pagos mayoristas'!$H$10,'Precios mayoristas'!$D$32:$E$32,0)))*INDEX('Informacion del AEP'!$D$54:$N$72,MATCH('Pagos mayoristas'!$C82,'Informacion del AEP'!$C$54:$C$72,0),MATCH('Pagos mayoristas'!$C$74,'Informacion del AEP'!$D$53:$N$53,0)))</f>
        <v>10</v>
      </c>
    </row>
    <row r="83" spans="3:12" x14ac:dyDescent="0.2">
      <c r="C83" s="24" t="str">
        <f>IF(Supuestos!B65="","",Supuestos!B65)</f>
        <v>Originación voz internacional Cuba</v>
      </c>
      <c r="D83" s="142">
        <f>IF(C83="","",(INDEX('Precios mayoristas'!$D$33:$E$51,MATCH('Pagos mayoristas'!$C83,'Precios mayoristas'!$C$33:$C$51,0),MATCH('Pagos mayoristas'!$D$10,'Precios mayoristas'!$D$32:$E$32,0)))*INDEX('Informacion del AEP'!$D$54:$N$72,MATCH('Pagos mayoristas'!$C83,'Informacion del AEP'!$C$54:$C$72,0),MATCH('Pagos mayoristas'!$C$74,'Informacion del AEP'!$D$53:$N$53,0)))</f>
        <v>2.2000000000000002</v>
      </c>
      <c r="F83" s="142">
        <f>IF(C83="","",('Precios mayoristas'!$D$58*INDEX('Informacion del AEP'!$D$54:$N$72,MATCH('Pagos mayoristas'!$C83,'Informacion del AEP'!$C$54:$C$72,0),MATCH('Pagos mayoristas'!$C$74,'Informacion del AEP'!$D$53:$N$53,0))*INDEX('Informacion del AEP'!$D$113:$F$131,MATCH('Pagos mayoristas'!$C83,'Informacion del AEP'!$C$113:$C$131,0),2)))</f>
        <v>0</v>
      </c>
      <c r="H83" s="142">
        <f>IF(C83="","",(INDEX('Precios mayoristas'!$D$33:$E$51,MATCH('Pagos mayoristas'!$C83,'Precios mayoristas'!$C$33:$C$51,0),MATCH('Pagos mayoristas'!$H$10,'Precios mayoristas'!$D$32:$E$32,0)))*INDEX('Informacion del AEP'!$D$54:$N$72,MATCH('Pagos mayoristas'!$C83,'Informacion del AEP'!$C$54:$C$72,0),MATCH('Pagos mayoristas'!$C$74,'Informacion del AEP'!$D$53:$N$53,0)))</f>
        <v>50</v>
      </c>
    </row>
    <row r="84" spans="3:12" x14ac:dyDescent="0.2">
      <c r="C84" s="24" t="str">
        <f>IF(Supuestos!B66="","",Supuestos!B66)</f>
        <v/>
      </c>
      <c r="D84" s="142" t="str">
        <f>IF(C84="","",(INDEX('Precios mayoristas'!$D$33:$E$51,MATCH('Pagos mayoristas'!$C84,'Precios mayoristas'!$C$33:$C$51,0),MATCH('Pagos mayoristas'!$D$10,'Precios mayoristas'!$D$32:$E$32,0)))*INDEX('Informacion del AEP'!$D$54:$N$72,MATCH('Pagos mayoristas'!$C84,'Informacion del AEP'!$C$54:$C$72,0),MATCH('Pagos mayoristas'!$C$74,'Informacion del AEP'!$D$53:$N$53,0)))</f>
        <v/>
      </c>
      <c r="F84" s="142" t="str">
        <f>IF(C84="","",('Precios mayoristas'!$D$58*INDEX('Informacion del AEP'!$D$54:$N$72,MATCH('Pagos mayoristas'!$C84,'Informacion del AEP'!$C$54:$C$72,0),MATCH('Pagos mayoristas'!$C$74,'Informacion del AEP'!$D$53:$N$53,0))*INDEX('Informacion del AEP'!$D$113:$F$131,MATCH('Pagos mayoristas'!$C84,'Informacion del AEP'!$C$113:$C$131,0),2)))</f>
        <v/>
      </c>
      <c r="H84" s="142" t="str">
        <f>IF(C84="","",(INDEX('Precios mayoristas'!$D$33:$E$51,MATCH('Pagos mayoristas'!$C84,'Precios mayoristas'!$C$33:$C$51,0),MATCH('Pagos mayoristas'!$H$10,'Precios mayoristas'!$D$32:$E$32,0)))*INDEX('Informacion del AEP'!$D$54:$N$72,MATCH('Pagos mayoristas'!$C84,'Informacion del AEP'!$C$54:$C$72,0),MATCH('Pagos mayoristas'!$C$74,'Informacion del AEP'!$D$53:$N$53,0)))</f>
        <v/>
      </c>
    </row>
    <row r="85" spans="3:12" x14ac:dyDescent="0.2">
      <c r="C85" s="24" t="str">
        <f>IF(Supuestos!B67="","",Supuestos!B67)</f>
        <v/>
      </c>
      <c r="D85" s="142" t="str">
        <f>IF(C85="","",(INDEX('Precios mayoristas'!$D$33:$E$51,MATCH('Pagos mayoristas'!$C85,'Precios mayoristas'!$C$33:$C$51,0),MATCH('Pagos mayoristas'!$D$10,'Precios mayoristas'!$D$32:$E$32,0)))*INDEX('Informacion del AEP'!$D$54:$N$72,MATCH('Pagos mayoristas'!$C85,'Informacion del AEP'!$C$54:$C$72,0),MATCH('Pagos mayoristas'!$C$74,'Informacion del AEP'!$D$53:$N$53,0)))</f>
        <v/>
      </c>
      <c r="F85" s="142" t="str">
        <f>IF(C85="","",('Precios mayoristas'!$D$58*INDEX('Informacion del AEP'!$D$54:$N$72,MATCH('Pagos mayoristas'!$C85,'Informacion del AEP'!$C$54:$C$72,0),MATCH('Pagos mayoristas'!$C$74,'Informacion del AEP'!$D$53:$N$53,0))*INDEX('Informacion del AEP'!$D$113:$F$131,MATCH('Pagos mayoristas'!$C85,'Informacion del AEP'!$C$113:$C$131,0),2)))</f>
        <v/>
      </c>
      <c r="H85" s="142" t="str">
        <f>IF(C85="","",(INDEX('Precios mayoristas'!$D$33:$E$51,MATCH('Pagos mayoristas'!$C85,'Precios mayoristas'!$C$33:$C$51,0),MATCH('Pagos mayoristas'!$H$10,'Precios mayoristas'!$D$32:$E$32,0)))*INDEX('Informacion del AEP'!$D$54:$N$72,MATCH('Pagos mayoristas'!$C85,'Informacion del AEP'!$C$54:$C$72,0),MATCH('Pagos mayoristas'!$C$74,'Informacion del AEP'!$D$53:$N$53,0)))</f>
        <v/>
      </c>
    </row>
    <row r="86" spans="3:12" x14ac:dyDescent="0.2">
      <c r="C86" s="24" t="str">
        <f>IF(Supuestos!B68="","",Supuestos!B68)</f>
        <v/>
      </c>
      <c r="D86" s="142" t="str">
        <f>IF(C86="","",(INDEX('Precios mayoristas'!$D$33:$E$51,MATCH('Pagos mayoristas'!$C86,'Precios mayoristas'!$C$33:$C$51,0),MATCH('Pagos mayoristas'!$D$10,'Precios mayoristas'!$D$32:$E$32,0)))*INDEX('Informacion del AEP'!$D$54:$N$72,MATCH('Pagos mayoristas'!$C86,'Informacion del AEP'!$C$54:$C$72,0),MATCH('Pagos mayoristas'!$C$74,'Informacion del AEP'!$D$53:$N$53,0)))</f>
        <v/>
      </c>
      <c r="F86" s="142" t="str">
        <f>IF(C86="","",('Precios mayoristas'!$D$58*INDEX('Informacion del AEP'!$D$54:$N$72,MATCH('Pagos mayoristas'!$C86,'Informacion del AEP'!$C$54:$C$72,0),MATCH('Pagos mayoristas'!$C$74,'Informacion del AEP'!$D$53:$N$53,0))*INDEX('Informacion del AEP'!$D$113:$F$131,MATCH('Pagos mayoristas'!$C86,'Informacion del AEP'!$C$113:$C$131,0),2)))</f>
        <v/>
      </c>
      <c r="H86" s="142" t="str">
        <f>IF(C86="","",(INDEX('Precios mayoristas'!$D$33:$E$51,MATCH('Pagos mayoristas'!$C86,'Precios mayoristas'!$C$33:$C$51,0),MATCH('Pagos mayoristas'!$H$10,'Precios mayoristas'!$D$32:$E$32,0)))*INDEX('Informacion del AEP'!$D$54:$N$72,MATCH('Pagos mayoristas'!$C86,'Informacion del AEP'!$C$54:$C$72,0),MATCH('Pagos mayoristas'!$C$74,'Informacion del AEP'!$D$53:$N$53,0)))</f>
        <v/>
      </c>
    </row>
    <row r="87" spans="3:12" x14ac:dyDescent="0.2">
      <c r="C87" s="24" t="str">
        <f>IF(Supuestos!B69="","",Supuestos!B69)</f>
        <v/>
      </c>
      <c r="D87" s="142" t="str">
        <f>IF(C87="","",(INDEX('Precios mayoristas'!$D$33:$E$51,MATCH('Pagos mayoristas'!$C87,'Precios mayoristas'!$C$33:$C$51,0),MATCH('Pagos mayoristas'!$D$10,'Precios mayoristas'!$D$32:$E$32,0)))*INDEX('Informacion del AEP'!$D$54:$N$72,MATCH('Pagos mayoristas'!$C87,'Informacion del AEP'!$C$54:$C$72,0),MATCH('Pagos mayoristas'!$C$74,'Informacion del AEP'!$D$53:$N$53,0)))</f>
        <v/>
      </c>
      <c r="F87" s="142" t="str">
        <f>IF(C87="","",('Precios mayoristas'!$D$58*INDEX('Informacion del AEP'!$D$54:$N$72,MATCH('Pagos mayoristas'!$C87,'Informacion del AEP'!$C$54:$C$72,0),MATCH('Pagos mayoristas'!$C$74,'Informacion del AEP'!$D$53:$N$53,0))*INDEX('Informacion del AEP'!$D$113:$F$131,MATCH('Pagos mayoristas'!$C87,'Informacion del AEP'!$C$113:$C$131,0),2)))</f>
        <v/>
      </c>
      <c r="H87" s="142" t="str">
        <f>IF(C87="","",(INDEX('Precios mayoristas'!$D$33:$E$51,MATCH('Pagos mayoristas'!$C87,'Precios mayoristas'!$C$33:$C$51,0),MATCH('Pagos mayoristas'!$H$10,'Precios mayoristas'!$D$32:$E$32,0)))*INDEX('Informacion del AEP'!$D$54:$N$72,MATCH('Pagos mayoristas'!$C87,'Informacion del AEP'!$C$54:$C$72,0),MATCH('Pagos mayoristas'!$C$74,'Informacion del AEP'!$D$53:$N$53,0)))</f>
        <v/>
      </c>
    </row>
    <row r="88" spans="3:12" x14ac:dyDescent="0.2">
      <c r="C88" s="24" t="str">
        <f>IF(Supuestos!B70="","",Supuestos!B70)</f>
        <v/>
      </c>
      <c r="D88" s="142" t="str">
        <f>IF(C88="","",(INDEX('Precios mayoristas'!$D$33:$E$51,MATCH('Pagos mayoristas'!$C88,'Precios mayoristas'!$C$33:$C$51,0),MATCH('Pagos mayoristas'!$D$10,'Precios mayoristas'!$D$32:$E$32,0)))*INDEX('Informacion del AEP'!$D$54:$N$72,MATCH('Pagos mayoristas'!$C88,'Informacion del AEP'!$C$54:$C$72,0),MATCH('Pagos mayoristas'!$C$74,'Informacion del AEP'!$D$53:$N$53,0)))</f>
        <v/>
      </c>
      <c r="F88" s="142" t="str">
        <f>IF(C88="","",('Precios mayoristas'!$D$58*INDEX('Informacion del AEP'!$D$54:$N$72,MATCH('Pagos mayoristas'!$C88,'Informacion del AEP'!$C$54:$C$72,0),MATCH('Pagos mayoristas'!$C$74,'Informacion del AEP'!$D$53:$N$53,0))*INDEX('Informacion del AEP'!$D$113:$F$131,MATCH('Pagos mayoristas'!$C88,'Informacion del AEP'!$C$113:$C$131,0),2)))</f>
        <v/>
      </c>
      <c r="H88" s="142" t="str">
        <f>IF(C88="","",(INDEX('Precios mayoristas'!$D$33:$E$51,MATCH('Pagos mayoristas'!$C88,'Precios mayoristas'!$C$33:$C$51,0),MATCH('Pagos mayoristas'!$H$10,'Precios mayoristas'!$D$32:$E$32,0)))*INDEX('Informacion del AEP'!$D$54:$N$72,MATCH('Pagos mayoristas'!$C88,'Informacion del AEP'!$C$54:$C$72,0),MATCH('Pagos mayoristas'!$C$74,'Informacion del AEP'!$D$53:$N$53,0)))</f>
        <v/>
      </c>
    </row>
    <row r="89" spans="3:12" x14ac:dyDescent="0.2">
      <c r="C89" s="24" t="str">
        <f>IF(Supuestos!B71="","",Supuestos!B71)</f>
        <v>Originación SMS OMV</v>
      </c>
      <c r="D89" s="142">
        <f>IF(C89="","",(INDEX('Precios mayoristas'!$D$33:$E$51,MATCH('Pagos mayoristas'!$C89,'Precios mayoristas'!$C$33:$C$51,0),MATCH('Pagos mayoristas'!$D$10,'Precios mayoristas'!$D$32:$E$32,0)))*INDEX('Informacion del AEP'!$D$54:$N$72,MATCH('Pagos mayoristas'!$C89,'Informacion del AEP'!$C$54:$C$72,0),MATCH('Pagos mayoristas'!$C$74,'Informacion del AEP'!$D$53:$N$53,0)))</f>
        <v>2.2000000000000002</v>
      </c>
      <c r="F89" s="142">
        <f>IF(C89="","",('Precios mayoristas'!$D$58*INDEX('Informacion del AEP'!$D$54:$N$72,MATCH('Pagos mayoristas'!$C89,'Informacion del AEP'!$C$54:$C$72,0),MATCH('Pagos mayoristas'!$C$74,'Informacion del AEP'!$D$53:$N$53,0))*INDEX('Informacion del AEP'!$D$113:$F$131,MATCH('Pagos mayoristas'!$C89,'Informacion del AEP'!$C$113:$C$131,0),2)))</f>
        <v>0</v>
      </c>
      <c r="H89" s="142">
        <f>IF(C89="","",(INDEX('Precios mayoristas'!$D$33:$E$51,MATCH('Pagos mayoristas'!$C89,'Precios mayoristas'!$C$33:$C$51,0),MATCH('Pagos mayoristas'!$H$10,'Precios mayoristas'!$D$32:$E$32,0)))*INDEX('Informacion del AEP'!$D$54:$N$72,MATCH('Pagos mayoristas'!$C89,'Informacion del AEP'!$C$54:$C$72,0),MATCH('Pagos mayoristas'!$C$74,'Informacion del AEP'!$D$53:$N$53,0)))</f>
        <v>0</v>
      </c>
    </row>
    <row r="90" spans="3:12" x14ac:dyDescent="0.2">
      <c r="C90" s="24" t="str">
        <f>IF(Supuestos!B72="","",Supuestos!B72)</f>
        <v>Originación SMS on-net</v>
      </c>
      <c r="D90" s="142">
        <f>IF(C90="","",(INDEX('Precios mayoristas'!$D$33:$E$51,MATCH('Pagos mayoristas'!$C90,'Precios mayoristas'!$C$33:$C$51,0),MATCH('Pagos mayoristas'!$D$10,'Precios mayoristas'!$D$32:$E$32,0)))*INDEX('Informacion del AEP'!$D$54:$N$72,MATCH('Pagos mayoristas'!$C90,'Informacion del AEP'!$C$54:$C$72,0),MATCH('Pagos mayoristas'!$C$74,'Informacion del AEP'!$D$53:$N$53,0)))</f>
        <v>2.2000000000000002</v>
      </c>
      <c r="F90" s="142">
        <f>IF(C90="","",('Precios mayoristas'!$D$58*INDEX('Informacion del AEP'!$D$54:$N$72,MATCH('Pagos mayoristas'!$C90,'Informacion del AEP'!$C$54:$C$72,0),MATCH('Pagos mayoristas'!$C$74,'Informacion del AEP'!$D$53:$N$53,0))*INDEX('Informacion del AEP'!$D$113:$F$131,MATCH('Pagos mayoristas'!$C90,'Informacion del AEP'!$C$113:$C$131,0),2)))</f>
        <v>0</v>
      </c>
      <c r="H90" s="142">
        <f>IF(C90="","",(INDEX('Precios mayoristas'!$D$33:$E$51,MATCH('Pagos mayoristas'!$C90,'Precios mayoristas'!$C$33:$C$51,0),MATCH('Pagos mayoristas'!$H$10,'Precios mayoristas'!$D$32:$E$32,0)))*INDEX('Informacion del AEP'!$D$54:$N$72,MATCH('Pagos mayoristas'!$C90,'Informacion del AEP'!$C$54:$C$72,0),MATCH('Pagos mayoristas'!$C$74,'Informacion del AEP'!$D$53:$N$53,0)))</f>
        <v>0.34709999999999996</v>
      </c>
    </row>
    <row r="91" spans="3:12" x14ac:dyDescent="0.2">
      <c r="C91" s="24" t="str">
        <f>IF(Supuestos!B73="","",Supuestos!B73)</f>
        <v>Originación SMS off-net</v>
      </c>
      <c r="D91" s="142">
        <f>IF(C91="","",(INDEX('Precios mayoristas'!$D$33:$E$51,MATCH('Pagos mayoristas'!$C91,'Precios mayoristas'!$C$33:$C$51,0),MATCH('Pagos mayoristas'!$D$10,'Precios mayoristas'!$D$32:$E$32,0)))*INDEX('Informacion del AEP'!$D$54:$N$72,MATCH('Pagos mayoristas'!$C91,'Informacion del AEP'!$C$54:$C$72,0),MATCH('Pagos mayoristas'!$C$74,'Informacion del AEP'!$D$53:$N$53,0)))</f>
        <v>2.2000000000000002</v>
      </c>
      <c r="F91" s="142">
        <f>IF(C91="","",('Precios mayoristas'!$D$58*INDEX('Informacion del AEP'!$D$54:$N$72,MATCH('Pagos mayoristas'!$C91,'Informacion del AEP'!$C$54:$C$72,0),MATCH('Pagos mayoristas'!$C$74,'Informacion del AEP'!$D$53:$N$53,0))*INDEX('Informacion del AEP'!$D$113:$F$131,MATCH('Pagos mayoristas'!$C91,'Informacion del AEP'!$C$113:$C$131,0),2)))</f>
        <v>0</v>
      </c>
      <c r="H91" s="142">
        <f>IF(C91="","",(INDEX('Precios mayoristas'!$D$33:$E$51,MATCH('Pagos mayoristas'!$C91,'Precios mayoristas'!$C$33:$C$51,0),MATCH('Pagos mayoristas'!$H$10,'Precios mayoristas'!$D$32:$E$32,0)))*INDEX('Informacion del AEP'!$D$54:$N$72,MATCH('Pagos mayoristas'!$C91,'Informacion del AEP'!$C$54:$C$72,0),MATCH('Pagos mayoristas'!$C$74,'Informacion del AEP'!$D$53:$N$53,0)))</f>
        <v>10</v>
      </c>
    </row>
    <row r="92" spans="3:12" x14ac:dyDescent="0.2">
      <c r="C92" s="24" t="str">
        <f>IF(Supuestos!B74="","",Supuestos!B74)</f>
        <v>Originación SMS otros servicios (SVA)</v>
      </c>
      <c r="D92" s="142">
        <f>IF(C92="","",(INDEX('Precios mayoristas'!$D$33:$E$51,MATCH('Pagos mayoristas'!$C92,'Precios mayoristas'!$C$33:$C$51,0),MATCH('Pagos mayoristas'!$D$10,'Precios mayoristas'!$D$32:$E$32,0)))*INDEX('Informacion del AEP'!$D$54:$N$72,MATCH('Pagos mayoristas'!$C92,'Informacion del AEP'!$C$54:$C$72,0),MATCH('Pagos mayoristas'!$C$74,'Informacion del AEP'!$D$53:$N$53,0)))</f>
        <v>2.2000000000000002</v>
      </c>
      <c r="F92" s="142">
        <f>IF(C92="","",('Precios mayoristas'!$D$58*INDEX('Informacion del AEP'!$D$54:$N$72,MATCH('Pagos mayoristas'!$C92,'Informacion del AEP'!$C$54:$C$72,0),MATCH('Pagos mayoristas'!$C$74,'Informacion del AEP'!$D$53:$N$53,0))*INDEX('Informacion del AEP'!$D$113:$F$131,MATCH('Pagos mayoristas'!$C92,'Informacion del AEP'!$C$113:$C$131,0),2)))</f>
        <v>0</v>
      </c>
      <c r="H92" s="142">
        <f>IF(C92="","",(INDEX('Precios mayoristas'!$D$33:$E$51,MATCH('Pagos mayoristas'!$C92,'Precios mayoristas'!$C$33:$C$51,0),MATCH('Pagos mayoristas'!$H$10,'Precios mayoristas'!$D$32:$E$32,0)))*INDEX('Informacion del AEP'!$D$54:$N$72,MATCH('Pagos mayoristas'!$C92,'Informacion del AEP'!$C$54:$C$72,0),MATCH('Pagos mayoristas'!$C$74,'Informacion del AEP'!$D$53:$N$53,0)))</f>
        <v>15</v>
      </c>
    </row>
    <row r="93" spans="3:12" x14ac:dyDescent="0.2">
      <c r="C93" s="24" t="str">
        <f>IF(Supuestos!B75="","",Supuestos!B75)</f>
        <v>Otros servicios (incluyendo marcaciones especiales)</v>
      </c>
      <c r="D93" s="142">
        <f>IF(C93="","",(INDEX('Precios mayoristas'!$D$33:$E$51,MATCH('Pagos mayoristas'!$C93,'Precios mayoristas'!$C$33:$C$51,0),MATCH('Pagos mayoristas'!$D$10,'Precios mayoristas'!$D$32:$E$32,0)))*INDEX('Informacion del AEP'!$D$54:$N$72,MATCH('Pagos mayoristas'!$C93,'Informacion del AEP'!$C$54:$C$72,0),MATCH('Pagos mayoristas'!$C$74,'Informacion del AEP'!$D$53:$N$53,0)))</f>
        <v>2.2000000000000002</v>
      </c>
      <c r="F93" s="142">
        <f>IF(C93="","",('Precios mayoristas'!$D$58*INDEX('Informacion del AEP'!$D$54:$N$72,MATCH('Pagos mayoristas'!$C93,'Informacion del AEP'!$C$54:$C$72,0),MATCH('Pagos mayoristas'!$C$74,'Informacion del AEP'!$D$53:$N$53,0))*INDEX('Informacion del AEP'!$D$113:$F$131,MATCH('Pagos mayoristas'!$C93,'Informacion del AEP'!$C$113:$C$131,0),2)))</f>
        <v>0</v>
      </c>
      <c r="H93" s="142">
        <f>IF(C93="","",(INDEX('Precios mayoristas'!$D$33:$E$51,MATCH('Pagos mayoristas'!$C93,'Precios mayoristas'!$C$33:$C$51,0),MATCH('Pagos mayoristas'!$H$10,'Precios mayoristas'!$D$32:$E$32,0)))*INDEX('Informacion del AEP'!$D$54:$N$72,MATCH('Pagos mayoristas'!$C93,'Informacion del AEP'!$C$54:$C$72,0),MATCH('Pagos mayoristas'!$C$74,'Informacion del AEP'!$D$53:$N$53,0)))</f>
        <v>0</v>
      </c>
    </row>
    <row r="95" spans="3:12" x14ac:dyDescent="0.2">
      <c r="C95" s="135" t="str">
        <f>Supuestos!$B$88</f>
        <v>Oferta 2</v>
      </c>
      <c r="D95" s="141">
        <f>SUM(D96:D114)</f>
        <v>30.999999999999993</v>
      </c>
      <c r="E95" s="136"/>
      <c r="F95" s="141">
        <f>SUM(F96:F114)</f>
        <v>0</v>
      </c>
      <c r="G95" s="136"/>
      <c r="H95" s="141">
        <f>SUM(H96:H114)</f>
        <v>92.946619999999996</v>
      </c>
      <c r="I95" s="136"/>
      <c r="J95" s="141">
        <f>(IF(Supuestos!$C$22&lt;'Precios mayoristas'!$D$25,'Precios mayoristas'!$D$22*'Informacion del AEP'!$H$38,'Precios mayoristas'!$E$22*'Informacion del AEP'!$H$38)+IF(Supuestos!$C$22&lt;'Precios mayoristas'!$D$25,'Precios mayoristas'!$D$24*'Informacion del AEP'!$H$39,'Precios mayoristas'!$E$24*'Informacion del AEP'!$H$39))*Supuestos!$C$7</f>
        <v>4802010</v>
      </c>
      <c r="K95" s="141"/>
      <c r="L95" s="141">
        <f>$L$11*('Informacion del AEP'!$J$12/'Informacion del AEP'!$F$12)</f>
        <v>416.66666666666669</v>
      </c>
    </row>
    <row r="96" spans="3:12" x14ac:dyDescent="0.2">
      <c r="C96" s="24" t="str">
        <f>IF(Supuestos!B57="","",Supuestos!B57)</f>
        <v>Datos</v>
      </c>
      <c r="D96" s="142">
        <f>IF(C96="","",(INDEX('Precios mayoristas'!$D$33:$E$51,MATCH('Pagos mayoristas'!$C96,'Precios mayoristas'!$C$33:$C$51,0),MATCH('Pagos mayoristas'!$D$10,'Precios mayoristas'!$D$32:$E$32,0)))*INDEX('Informacion del AEP'!$D$54:$N$72,MATCH('Pagos mayoristas'!$C96,'Informacion del AEP'!$C$54:$C$72,0),MATCH('Pagos mayoristas'!$C$95,'Informacion del AEP'!$D$53:$N$53,0)))</f>
        <v>2.4</v>
      </c>
      <c r="F96" s="142">
        <f>IF(C96="","",('Precios mayoristas'!$D$58*INDEX('Informacion del AEP'!$D$54:$N$72,MATCH('Pagos mayoristas'!$C96,'Informacion del AEP'!$C$54:$C$72,0),MATCH('Pagos mayoristas'!$C$95,'Informacion del AEP'!$D$53:$N$53,0))*INDEX('Informacion del AEP'!$D$113:$F$131,MATCH('Pagos mayoristas'!$C96,'Informacion del AEP'!$C$113:$C$131,0),2)))</f>
        <v>0</v>
      </c>
      <c r="H96" s="142">
        <f>IF(C96="","",(INDEX('Precios mayoristas'!$D$33:$E$51,MATCH('Pagos mayoristas'!$C96,'Precios mayoristas'!$C$33:$C$51,0),MATCH('Pagos mayoristas'!$H$10,'Precios mayoristas'!$D$32:$E$32,0)))*INDEX('Informacion del AEP'!$D$54:$N$72,MATCH('Pagos mayoristas'!$C96,'Informacion del AEP'!$C$54:$C$72,0),MATCH('Pagos mayoristas'!$C$95,'Informacion del AEP'!$D$53:$N$53,0)))</f>
        <v>0</v>
      </c>
    </row>
    <row r="97" spans="3:8" x14ac:dyDescent="0.2">
      <c r="C97" s="24" t="str">
        <f>IF(Supuestos!B58="","",Supuestos!B58)</f>
        <v>Originación voz mismo OMV</v>
      </c>
      <c r="D97" s="142">
        <f>IF(C97="","",(INDEX('Precios mayoristas'!$D$33:$E$51,MATCH('Pagos mayoristas'!$C97,'Precios mayoristas'!$C$33:$C$51,0),MATCH('Pagos mayoristas'!$D$10,'Precios mayoristas'!$D$32:$E$32,0)))*INDEX('Informacion del AEP'!$D$54:$N$72,MATCH('Pagos mayoristas'!$C97,'Informacion del AEP'!$C$54:$C$72,0),MATCH('Pagos mayoristas'!$C$95,'Informacion del AEP'!$D$53:$N$53,0)))</f>
        <v>2.2000000000000002</v>
      </c>
      <c r="F97" s="142">
        <f>IF(C97="","",('Precios mayoristas'!$D$58*INDEX('Informacion del AEP'!$D$54:$N$72,MATCH('Pagos mayoristas'!$C97,'Informacion del AEP'!$C$54:$C$72,0),MATCH('Pagos mayoristas'!$C$95,'Informacion del AEP'!$D$53:$N$53,0))*INDEX('Informacion del AEP'!$D$113:$F$131,MATCH('Pagos mayoristas'!$C97,'Informacion del AEP'!$C$113:$C$131,0),2)))</f>
        <v>0</v>
      </c>
      <c r="H97" s="142">
        <f>IF(C97="","",(INDEX('Precios mayoristas'!$D$33:$E$51,MATCH('Pagos mayoristas'!$C97,'Precios mayoristas'!$C$33:$C$51,0),MATCH('Pagos mayoristas'!$H$10,'Precios mayoristas'!$D$32:$E$32,0)))*INDEX('Informacion del AEP'!$D$54:$N$72,MATCH('Pagos mayoristas'!$C97,'Informacion del AEP'!$C$54:$C$72,0),MATCH('Pagos mayoristas'!$C$95,'Informacion del AEP'!$D$53:$N$53,0)))</f>
        <v>0</v>
      </c>
    </row>
    <row r="98" spans="3:8" x14ac:dyDescent="0.2">
      <c r="C98" s="24" t="str">
        <f>IF(Supuestos!B59="","",Supuestos!B59)</f>
        <v>Originación voz on-net otro OMV</v>
      </c>
      <c r="D98" s="142">
        <f>IF(C98="","",(INDEX('Precios mayoristas'!$D$33:$E$51,MATCH('Pagos mayoristas'!$C98,'Precios mayoristas'!$C$33:$C$51,0),MATCH('Pagos mayoristas'!$D$10,'Precios mayoristas'!$D$32:$E$32,0)))*INDEX('Informacion del AEP'!$D$54:$N$72,MATCH('Pagos mayoristas'!$C98,'Informacion del AEP'!$C$54:$C$72,0),MATCH('Pagos mayoristas'!$C$95,'Informacion del AEP'!$D$53:$N$53,0)))</f>
        <v>2.2000000000000002</v>
      </c>
      <c r="F98" s="142">
        <f>IF(C98="","",('Precios mayoristas'!$D$58*INDEX('Informacion del AEP'!$D$54:$N$72,MATCH('Pagos mayoristas'!$C98,'Informacion del AEP'!$C$54:$C$72,0),MATCH('Pagos mayoristas'!$C$95,'Informacion del AEP'!$D$53:$N$53,0))*INDEX('Informacion del AEP'!$D$113:$F$131,MATCH('Pagos mayoristas'!$C98,'Informacion del AEP'!$C$113:$C$131,0),2)))</f>
        <v>0</v>
      </c>
      <c r="H98" s="142">
        <f>IF(C98="","",(INDEX('Precios mayoristas'!$D$33:$E$51,MATCH('Pagos mayoristas'!$C98,'Precios mayoristas'!$C$33:$C$51,0),MATCH('Pagos mayoristas'!$H$10,'Precios mayoristas'!$D$32:$E$32,0)))*INDEX('Informacion del AEP'!$D$54:$N$72,MATCH('Pagos mayoristas'!$C98,'Informacion del AEP'!$C$54:$C$72,0),MATCH('Pagos mayoristas'!$C$95,'Informacion del AEP'!$D$53:$N$53,0)))</f>
        <v>3.7380000000000004</v>
      </c>
    </row>
    <row r="99" spans="3:8" x14ac:dyDescent="0.2">
      <c r="C99" s="24" t="str">
        <f>IF(Supuestos!B60="","",Supuestos!B60)</f>
        <v>Originación voz on-net</v>
      </c>
      <c r="D99" s="142">
        <f>IF(C99="","",(INDEX('Precios mayoristas'!$D$33:$E$51,MATCH('Pagos mayoristas'!$C99,'Precios mayoristas'!$C$33:$C$51,0),MATCH('Pagos mayoristas'!$D$10,'Precios mayoristas'!$D$32:$E$32,0)))*INDEX('Informacion del AEP'!$D$54:$N$72,MATCH('Pagos mayoristas'!$C99,'Informacion del AEP'!$C$54:$C$72,0),MATCH('Pagos mayoristas'!$C$95,'Informacion del AEP'!$D$53:$N$53,0)))</f>
        <v>2.2000000000000002</v>
      </c>
      <c r="F99" s="142">
        <f>IF(C99="","",('Precios mayoristas'!$D$58*INDEX('Informacion del AEP'!$D$54:$N$72,MATCH('Pagos mayoristas'!$C99,'Informacion del AEP'!$C$54:$C$72,0),MATCH('Pagos mayoristas'!$C$95,'Informacion del AEP'!$D$53:$N$53,0))*INDEX('Informacion del AEP'!$D$113:$F$131,MATCH('Pagos mayoristas'!$C99,'Informacion del AEP'!$C$113:$C$131,0),2)))</f>
        <v>0</v>
      </c>
      <c r="H99" s="142">
        <f>IF(C99="","",(INDEX('Precios mayoristas'!$D$33:$E$51,MATCH('Pagos mayoristas'!$C99,'Precios mayoristas'!$C$33:$C$51,0),MATCH('Pagos mayoristas'!$H$10,'Precios mayoristas'!$D$32:$E$32,0)))*INDEX('Informacion del AEP'!$D$54:$N$72,MATCH('Pagos mayoristas'!$C99,'Informacion del AEP'!$C$54:$C$72,0),MATCH('Pagos mayoristas'!$C$95,'Informacion del AEP'!$D$53:$N$53,0)))</f>
        <v>6.1760000000000002E-2</v>
      </c>
    </row>
    <row r="100" spans="3:8" x14ac:dyDescent="0.2">
      <c r="C100" s="24" t="str">
        <f>IF(Supuestos!B61="","",Supuestos!B61)</f>
        <v>Originación voz off-net móvil</v>
      </c>
      <c r="D100" s="142">
        <f>IF(C100="","",(INDEX('Precios mayoristas'!$D$33:$E$51,MATCH('Pagos mayoristas'!$C100,'Precios mayoristas'!$C$33:$C$51,0),MATCH('Pagos mayoristas'!$D$10,'Precios mayoristas'!$D$32:$E$32,0)))*INDEX('Informacion del AEP'!$D$54:$N$72,MATCH('Pagos mayoristas'!$C100,'Informacion del AEP'!$C$54:$C$72,0),MATCH('Pagos mayoristas'!$C$95,'Informacion del AEP'!$D$53:$N$53,0)))</f>
        <v>2.2000000000000002</v>
      </c>
      <c r="F100" s="142">
        <f>IF(C100="","",('Precios mayoristas'!$D$58*INDEX('Informacion del AEP'!$D$54:$N$72,MATCH('Pagos mayoristas'!$C100,'Informacion del AEP'!$C$54:$C$72,0),MATCH('Pagos mayoristas'!$C$95,'Informacion del AEP'!$D$53:$N$53,0))*INDEX('Informacion del AEP'!$D$113:$F$131,MATCH('Pagos mayoristas'!$C100,'Informacion del AEP'!$C$113:$C$131,0),2)))</f>
        <v>0</v>
      </c>
      <c r="H100" s="142">
        <f>IF(C100="","",(INDEX('Precios mayoristas'!$D$33:$E$51,MATCH('Pagos mayoristas'!$C100,'Precios mayoristas'!$C$33:$C$51,0),MATCH('Pagos mayoristas'!$H$10,'Precios mayoristas'!$D$32:$E$32,0)))*INDEX('Informacion del AEP'!$D$54:$N$72,MATCH('Pagos mayoristas'!$C100,'Informacion del AEP'!$C$54:$C$72,0),MATCH('Pagos mayoristas'!$C$95,'Informacion del AEP'!$D$53:$N$53,0)))</f>
        <v>0</v>
      </c>
    </row>
    <row r="101" spans="3:8" x14ac:dyDescent="0.2">
      <c r="C101" s="24" t="str">
        <f>IF(Supuestos!B62="","",Supuestos!B62)</f>
        <v>Originación voz fijo</v>
      </c>
      <c r="D101" s="142">
        <f>IF(C101="","",(INDEX('Precios mayoristas'!$D$33:$E$51,MATCH('Pagos mayoristas'!$C101,'Precios mayoristas'!$C$33:$C$51,0),MATCH('Pagos mayoristas'!$D$10,'Precios mayoristas'!$D$32:$E$32,0)))*INDEX('Informacion del AEP'!$D$54:$N$72,MATCH('Pagos mayoristas'!$C101,'Informacion del AEP'!$C$54:$C$72,0),MATCH('Pagos mayoristas'!$C$95,'Informacion del AEP'!$D$53:$N$53,0)))</f>
        <v>2.2000000000000002</v>
      </c>
      <c r="F101" s="142">
        <f>IF(C101="","",('Precios mayoristas'!$D$58*INDEX('Informacion del AEP'!$D$54:$N$72,MATCH('Pagos mayoristas'!$C101,'Informacion del AEP'!$C$54:$C$72,0),MATCH('Pagos mayoristas'!$C$95,'Informacion del AEP'!$D$53:$N$53,0))*INDEX('Informacion del AEP'!$D$113:$F$131,MATCH('Pagos mayoristas'!$C101,'Informacion del AEP'!$C$113:$C$131,0),2)))</f>
        <v>0</v>
      </c>
      <c r="H101" s="142">
        <f>IF(C101="","",(INDEX('Precios mayoristas'!$D$33:$E$51,MATCH('Pagos mayoristas'!$C101,'Precios mayoristas'!$C$33:$C$51,0),MATCH('Pagos mayoristas'!$H$10,'Precios mayoristas'!$D$32:$E$32,0)))*INDEX('Informacion del AEP'!$D$54:$N$72,MATCH('Pagos mayoristas'!$C101,'Informacion del AEP'!$C$54:$C$72,0),MATCH('Pagos mayoristas'!$C$95,'Informacion del AEP'!$D$53:$N$53,0)))</f>
        <v>3.7380000000000004</v>
      </c>
    </row>
    <row r="102" spans="3:8" x14ac:dyDescent="0.2">
      <c r="C102" s="24" t="str">
        <f>IF(Supuestos!B63="","",Supuestos!B63)</f>
        <v>Originación voz internacional USA-Canadá</v>
      </c>
      <c r="D102" s="142">
        <f>IF(C102="","",(INDEX('Precios mayoristas'!$D$33:$E$51,MATCH('Pagos mayoristas'!$C102,'Precios mayoristas'!$C$33:$C$51,0),MATCH('Pagos mayoristas'!$D$10,'Precios mayoristas'!$D$32:$E$32,0)))*INDEX('Informacion del AEP'!$D$54:$N$72,MATCH('Pagos mayoristas'!$C102,'Informacion del AEP'!$C$54:$C$72,0),MATCH('Pagos mayoristas'!$C$95,'Informacion del AEP'!$D$53:$N$53,0)))</f>
        <v>2.2000000000000002</v>
      </c>
      <c r="F102" s="142">
        <f>IF(C102="","",('Precios mayoristas'!$D$58*INDEX('Informacion del AEP'!$D$54:$N$72,MATCH('Pagos mayoristas'!$C102,'Informacion del AEP'!$C$54:$C$72,0),MATCH('Pagos mayoristas'!$C$95,'Informacion del AEP'!$D$53:$N$53,0))*INDEX('Informacion del AEP'!$D$113:$F$131,MATCH('Pagos mayoristas'!$C102,'Informacion del AEP'!$C$113:$C$131,0),2)))</f>
        <v>0</v>
      </c>
      <c r="H102" s="142">
        <f>IF(C102="","",(INDEX('Precios mayoristas'!$D$33:$E$51,MATCH('Pagos mayoristas'!$C102,'Precios mayoristas'!$C$33:$C$51,0),MATCH('Pagos mayoristas'!$H$10,'Precios mayoristas'!$D$32:$E$32,0)))*INDEX('Informacion del AEP'!$D$54:$N$72,MATCH('Pagos mayoristas'!$C102,'Informacion del AEP'!$C$54:$C$72,0),MATCH('Pagos mayoristas'!$C$95,'Informacion del AEP'!$D$53:$N$53,0)))</f>
        <v>6.1760000000000002E-2</v>
      </c>
    </row>
    <row r="103" spans="3:8" x14ac:dyDescent="0.2">
      <c r="C103" s="24" t="str">
        <f>IF(Supuestos!B64="","",Supuestos!B64)</f>
        <v xml:space="preserve">Originación voz internacional Mundial </v>
      </c>
      <c r="D103" s="142">
        <f>IF(C103="","",(INDEX('Precios mayoristas'!$D$33:$E$51,MATCH('Pagos mayoristas'!$C103,'Precios mayoristas'!$C$33:$C$51,0),MATCH('Pagos mayoristas'!$D$10,'Precios mayoristas'!$D$32:$E$32,0)))*INDEX('Informacion del AEP'!$D$54:$N$72,MATCH('Pagos mayoristas'!$C103,'Informacion del AEP'!$C$54:$C$72,0),MATCH('Pagos mayoristas'!$C$95,'Informacion del AEP'!$D$53:$N$53,0)))</f>
        <v>2.2000000000000002</v>
      </c>
      <c r="F103" s="142">
        <f>IF(C103="","",('Precios mayoristas'!$D$58*INDEX('Informacion del AEP'!$D$54:$N$72,MATCH('Pagos mayoristas'!$C103,'Informacion del AEP'!$C$54:$C$72,0),MATCH('Pagos mayoristas'!$C$95,'Informacion del AEP'!$D$53:$N$53,0))*INDEX('Informacion del AEP'!$D$113:$F$131,MATCH('Pagos mayoristas'!$C103,'Informacion del AEP'!$C$113:$C$131,0),2)))</f>
        <v>0</v>
      </c>
      <c r="H103" s="142">
        <f>IF(C103="","",(INDEX('Precios mayoristas'!$D$33:$E$51,MATCH('Pagos mayoristas'!$C103,'Precios mayoristas'!$C$33:$C$51,0),MATCH('Pagos mayoristas'!$H$10,'Precios mayoristas'!$D$32:$E$32,0)))*INDEX('Informacion del AEP'!$D$54:$N$72,MATCH('Pagos mayoristas'!$C103,'Informacion del AEP'!$C$54:$C$72,0),MATCH('Pagos mayoristas'!$C$95,'Informacion del AEP'!$D$53:$N$53,0)))</f>
        <v>10</v>
      </c>
    </row>
    <row r="104" spans="3:8" x14ac:dyDescent="0.2">
      <c r="C104" s="24" t="str">
        <f>IF(Supuestos!B65="","",Supuestos!B65)</f>
        <v>Originación voz internacional Cuba</v>
      </c>
      <c r="D104" s="142">
        <f>IF(C104="","",(INDEX('Precios mayoristas'!$D$33:$E$51,MATCH('Pagos mayoristas'!$C104,'Precios mayoristas'!$C$33:$C$51,0),MATCH('Pagos mayoristas'!$D$10,'Precios mayoristas'!$D$32:$E$32,0)))*INDEX('Informacion del AEP'!$D$54:$N$72,MATCH('Pagos mayoristas'!$C104,'Informacion del AEP'!$C$54:$C$72,0),MATCH('Pagos mayoristas'!$C$95,'Informacion del AEP'!$D$53:$N$53,0)))</f>
        <v>2.2000000000000002</v>
      </c>
      <c r="F104" s="142">
        <f>IF(C104="","",('Precios mayoristas'!$D$58*INDEX('Informacion del AEP'!$D$54:$N$72,MATCH('Pagos mayoristas'!$C104,'Informacion del AEP'!$C$54:$C$72,0),MATCH('Pagos mayoristas'!$C$95,'Informacion del AEP'!$D$53:$N$53,0))*INDEX('Informacion del AEP'!$D$113:$F$131,MATCH('Pagos mayoristas'!$C104,'Informacion del AEP'!$C$113:$C$131,0),2)))</f>
        <v>0</v>
      </c>
      <c r="H104" s="142">
        <f>IF(C104="","",(INDEX('Precios mayoristas'!$D$33:$E$51,MATCH('Pagos mayoristas'!$C104,'Precios mayoristas'!$C$33:$C$51,0),MATCH('Pagos mayoristas'!$H$10,'Precios mayoristas'!$D$32:$E$32,0)))*INDEX('Informacion del AEP'!$D$54:$N$72,MATCH('Pagos mayoristas'!$C104,'Informacion del AEP'!$C$54:$C$72,0),MATCH('Pagos mayoristas'!$C$95,'Informacion del AEP'!$D$53:$N$53,0)))</f>
        <v>50</v>
      </c>
    </row>
    <row r="105" spans="3:8" x14ac:dyDescent="0.2">
      <c r="C105" s="24" t="str">
        <f>IF(Supuestos!B66="","",Supuestos!B66)</f>
        <v/>
      </c>
      <c r="D105" s="142" t="str">
        <f>IF(C105="","",(INDEX('Precios mayoristas'!$D$33:$E$51,MATCH('Pagos mayoristas'!$C105,'Precios mayoristas'!$C$33:$C$51,0),MATCH('Pagos mayoristas'!$D$10,'Precios mayoristas'!$D$32:$E$32,0)))*INDEX('Informacion del AEP'!$D$54:$N$72,MATCH('Pagos mayoristas'!$C105,'Informacion del AEP'!$C$54:$C$72,0),MATCH('Pagos mayoristas'!$C$95,'Informacion del AEP'!$D$53:$N$53,0)))</f>
        <v/>
      </c>
      <c r="F105" s="142" t="str">
        <f>IF(C105="","",('Precios mayoristas'!$D$58*INDEX('Informacion del AEP'!$D$54:$N$72,MATCH('Pagos mayoristas'!$C105,'Informacion del AEP'!$C$54:$C$72,0),MATCH('Pagos mayoristas'!$C$95,'Informacion del AEP'!$D$53:$N$53,0))*INDEX('Informacion del AEP'!$D$113:$F$131,MATCH('Pagos mayoristas'!$C105,'Informacion del AEP'!$C$113:$C$131,0),2)))</f>
        <v/>
      </c>
      <c r="H105" s="142" t="str">
        <f>IF(C105="","",(INDEX('Precios mayoristas'!$D$33:$E$51,MATCH('Pagos mayoristas'!$C105,'Precios mayoristas'!$C$33:$C$51,0),MATCH('Pagos mayoristas'!$H$10,'Precios mayoristas'!$D$32:$E$32,0)))*INDEX('Informacion del AEP'!$D$54:$N$72,MATCH('Pagos mayoristas'!$C105,'Informacion del AEP'!$C$54:$C$72,0),MATCH('Pagos mayoristas'!$C$95,'Informacion del AEP'!$D$53:$N$53,0)))</f>
        <v/>
      </c>
    </row>
    <row r="106" spans="3:8" x14ac:dyDescent="0.2">
      <c r="C106" s="24" t="str">
        <f>IF(Supuestos!B67="","",Supuestos!B67)</f>
        <v/>
      </c>
      <c r="D106" s="142" t="str">
        <f>IF(C106="","",(INDEX('Precios mayoristas'!$D$33:$E$51,MATCH('Pagos mayoristas'!$C106,'Precios mayoristas'!$C$33:$C$51,0),MATCH('Pagos mayoristas'!$D$10,'Precios mayoristas'!$D$32:$E$32,0)))*INDEX('Informacion del AEP'!$D$54:$N$72,MATCH('Pagos mayoristas'!$C106,'Informacion del AEP'!$C$54:$C$72,0),MATCH('Pagos mayoristas'!$C$95,'Informacion del AEP'!$D$53:$N$53,0)))</f>
        <v/>
      </c>
      <c r="F106" s="142" t="str">
        <f>IF(C106="","",('Precios mayoristas'!$D$58*INDEX('Informacion del AEP'!$D$54:$N$72,MATCH('Pagos mayoristas'!$C106,'Informacion del AEP'!$C$54:$C$72,0),MATCH('Pagos mayoristas'!$C$95,'Informacion del AEP'!$D$53:$N$53,0))*INDEX('Informacion del AEP'!$D$113:$F$131,MATCH('Pagos mayoristas'!$C106,'Informacion del AEP'!$C$113:$C$131,0),2)))</f>
        <v/>
      </c>
      <c r="H106" s="142" t="str">
        <f>IF(C106="","",(INDEX('Precios mayoristas'!$D$33:$E$51,MATCH('Pagos mayoristas'!$C106,'Precios mayoristas'!$C$33:$C$51,0),MATCH('Pagos mayoristas'!$H$10,'Precios mayoristas'!$D$32:$E$32,0)))*INDEX('Informacion del AEP'!$D$54:$N$72,MATCH('Pagos mayoristas'!$C106,'Informacion del AEP'!$C$54:$C$72,0),MATCH('Pagos mayoristas'!$C$95,'Informacion del AEP'!$D$53:$N$53,0)))</f>
        <v/>
      </c>
    </row>
    <row r="107" spans="3:8" x14ac:dyDescent="0.2">
      <c r="C107" s="24" t="str">
        <f>IF(Supuestos!B68="","",Supuestos!B68)</f>
        <v/>
      </c>
      <c r="D107" s="142" t="str">
        <f>IF(C107="","",(INDEX('Precios mayoristas'!$D$33:$E$51,MATCH('Pagos mayoristas'!$C107,'Precios mayoristas'!$C$33:$C$51,0),MATCH('Pagos mayoristas'!$D$10,'Precios mayoristas'!$D$32:$E$32,0)))*INDEX('Informacion del AEP'!$D$54:$N$72,MATCH('Pagos mayoristas'!$C107,'Informacion del AEP'!$C$54:$C$72,0),MATCH('Pagos mayoristas'!$C$95,'Informacion del AEP'!$D$53:$N$53,0)))</f>
        <v/>
      </c>
      <c r="F107" s="142" t="str">
        <f>IF(C107="","",('Precios mayoristas'!$D$58*INDEX('Informacion del AEP'!$D$54:$N$72,MATCH('Pagos mayoristas'!$C107,'Informacion del AEP'!$C$54:$C$72,0),MATCH('Pagos mayoristas'!$C$95,'Informacion del AEP'!$D$53:$N$53,0))*INDEX('Informacion del AEP'!$D$113:$F$131,MATCH('Pagos mayoristas'!$C107,'Informacion del AEP'!$C$113:$C$131,0),2)))</f>
        <v/>
      </c>
      <c r="H107" s="142" t="str">
        <f>IF(C107="","",(INDEX('Precios mayoristas'!$D$33:$E$51,MATCH('Pagos mayoristas'!$C107,'Precios mayoristas'!$C$33:$C$51,0),MATCH('Pagos mayoristas'!$H$10,'Precios mayoristas'!$D$32:$E$32,0)))*INDEX('Informacion del AEP'!$D$54:$N$72,MATCH('Pagos mayoristas'!$C107,'Informacion del AEP'!$C$54:$C$72,0),MATCH('Pagos mayoristas'!$C$95,'Informacion del AEP'!$D$53:$N$53,0)))</f>
        <v/>
      </c>
    </row>
    <row r="108" spans="3:8" x14ac:dyDescent="0.2">
      <c r="C108" s="24" t="str">
        <f>IF(Supuestos!B69="","",Supuestos!B69)</f>
        <v/>
      </c>
      <c r="D108" s="142" t="str">
        <f>IF(C108="","",(INDEX('Precios mayoristas'!$D$33:$E$51,MATCH('Pagos mayoristas'!$C108,'Precios mayoristas'!$C$33:$C$51,0),MATCH('Pagos mayoristas'!$D$10,'Precios mayoristas'!$D$32:$E$32,0)))*INDEX('Informacion del AEP'!$D$54:$N$72,MATCH('Pagos mayoristas'!$C108,'Informacion del AEP'!$C$54:$C$72,0),MATCH('Pagos mayoristas'!$C$95,'Informacion del AEP'!$D$53:$N$53,0)))</f>
        <v/>
      </c>
      <c r="F108" s="142" t="str">
        <f>IF(C108="","",('Precios mayoristas'!$D$58*INDEX('Informacion del AEP'!$D$54:$N$72,MATCH('Pagos mayoristas'!$C108,'Informacion del AEP'!$C$54:$C$72,0),MATCH('Pagos mayoristas'!$C$95,'Informacion del AEP'!$D$53:$N$53,0))*INDEX('Informacion del AEP'!$D$113:$F$131,MATCH('Pagos mayoristas'!$C108,'Informacion del AEP'!$C$113:$C$131,0),2)))</f>
        <v/>
      </c>
      <c r="H108" s="142" t="str">
        <f>IF(C108="","",(INDEX('Precios mayoristas'!$D$33:$E$51,MATCH('Pagos mayoristas'!$C108,'Precios mayoristas'!$C$33:$C$51,0),MATCH('Pagos mayoristas'!$H$10,'Precios mayoristas'!$D$32:$E$32,0)))*INDEX('Informacion del AEP'!$D$54:$N$72,MATCH('Pagos mayoristas'!$C108,'Informacion del AEP'!$C$54:$C$72,0),MATCH('Pagos mayoristas'!$C$95,'Informacion del AEP'!$D$53:$N$53,0)))</f>
        <v/>
      </c>
    </row>
    <row r="109" spans="3:8" x14ac:dyDescent="0.2">
      <c r="C109" s="24" t="str">
        <f>IF(Supuestos!B70="","",Supuestos!B70)</f>
        <v/>
      </c>
      <c r="D109" s="142" t="str">
        <f>IF(C109="","",(INDEX('Precios mayoristas'!$D$33:$E$51,MATCH('Pagos mayoristas'!$C109,'Precios mayoristas'!$C$33:$C$51,0),MATCH('Pagos mayoristas'!$D$10,'Precios mayoristas'!$D$32:$E$32,0)))*INDEX('Informacion del AEP'!$D$54:$N$72,MATCH('Pagos mayoristas'!$C109,'Informacion del AEP'!$C$54:$C$72,0),MATCH('Pagos mayoristas'!$C$95,'Informacion del AEP'!$D$53:$N$53,0)))</f>
        <v/>
      </c>
      <c r="F109" s="142" t="str">
        <f>IF(C109="","",('Precios mayoristas'!$D$58*INDEX('Informacion del AEP'!$D$54:$N$72,MATCH('Pagos mayoristas'!$C109,'Informacion del AEP'!$C$54:$C$72,0),MATCH('Pagos mayoristas'!$C$95,'Informacion del AEP'!$D$53:$N$53,0))*INDEX('Informacion del AEP'!$D$113:$F$131,MATCH('Pagos mayoristas'!$C109,'Informacion del AEP'!$C$113:$C$131,0),2)))</f>
        <v/>
      </c>
      <c r="H109" s="142" t="str">
        <f>IF(C109="","",(INDEX('Precios mayoristas'!$D$33:$E$51,MATCH('Pagos mayoristas'!$C109,'Precios mayoristas'!$C$33:$C$51,0),MATCH('Pagos mayoristas'!$H$10,'Precios mayoristas'!$D$32:$E$32,0)))*INDEX('Informacion del AEP'!$D$54:$N$72,MATCH('Pagos mayoristas'!$C109,'Informacion del AEP'!$C$54:$C$72,0),MATCH('Pagos mayoristas'!$C$95,'Informacion del AEP'!$D$53:$N$53,0)))</f>
        <v/>
      </c>
    </row>
    <row r="110" spans="3:8" x14ac:dyDescent="0.2">
      <c r="C110" s="24" t="str">
        <f>IF(Supuestos!B71="","",Supuestos!B71)</f>
        <v>Originación SMS OMV</v>
      </c>
      <c r="D110" s="142">
        <f>IF(C110="","",(INDEX('Precios mayoristas'!$D$33:$E$51,MATCH('Pagos mayoristas'!$C110,'Precios mayoristas'!$C$33:$C$51,0),MATCH('Pagos mayoristas'!$D$10,'Precios mayoristas'!$D$32:$E$32,0)))*INDEX('Informacion del AEP'!$D$54:$N$72,MATCH('Pagos mayoristas'!$C110,'Informacion del AEP'!$C$54:$C$72,0),MATCH('Pagos mayoristas'!$C$95,'Informacion del AEP'!$D$53:$N$53,0)))</f>
        <v>2.2000000000000002</v>
      </c>
      <c r="F110" s="142">
        <f>IF(C110="","",('Precios mayoristas'!$D$58*INDEX('Informacion del AEP'!$D$54:$N$72,MATCH('Pagos mayoristas'!$C110,'Informacion del AEP'!$C$54:$C$72,0),MATCH('Pagos mayoristas'!$C$95,'Informacion del AEP'!$D$53:$N$53,0))*INDEX('Informacion del AEP'!$D$113:$F$131,MATCH('Pagos mayoristas'!$C110,'Informacion del AEP'!$C$113:$C$131,0),2)))</f>
        <v>0</v>
      </c>
      <c r="H110" s="142">
        <f>IF(C110="","",(INDEX('Precios mayoristas'!$D$33:$E$51,MATCH('Pagos mayoristas'!$C110,'Precios mayoristas'!$C$33:$C$51,0),MATCH('Pagos mayoristas'!$H$10,'Precios mayoristas'!$D$32:$E$32,0)))*INDEX('Informacion del AEP'!$D$54:$N$72,MATCH('Pagos mayoristas'!$C110,'Informacion del AEP'!$C$54:$C$72,0),MATCH('Pagos mayoristas'!$C$95,'Informacion del AEP'!$D$53:$N$53,0)))</f>
        <v>0</v>
      </c>
    </row>
    <row r="111" spans="3:8" x14ac:dyDescent="0.2">
      <c r="C111" s="24" t="str">
        <f>IF(Supuestos!B72="","",Supuestos!B72)</f>
        <v>Originación SMS on-net</v>
      </c>
      <c r="D111" s="142">
        <f>IF(C111="","",(INDEX('Precios mayoristas'!$D$33:$E$51,MATCH('Pagos mayoristas'!$C111,'Precios mayoristas'!$C$33:$C$51,0),MATCH('Pagos mayoristas'!$D$10,'Precios mayoristas'!$D$32:$E$32,0)))*INDEX('Informacion del AEP'!$D$54:$N$72,MATCH('Pagos mayoristas'!$C111,'Informacion del AEP'!$C$54:$C$72,0),MATCH('Pagos mayoristas'!$C$95,'Informacion del AEP'!$D$53:$N$53,0)))</f>
        <v>2.2000000000000002</v>
      </c>
      <c r="F111" s="142">
        <f>IF(C111="","",('Precios mayoristas'!$D$58*INDEX('Informacion del AEP'!$D$54:$N$72,MATCH('Pagos mayoristas'!$C111,'Informacion del AEP'!$C$54:$C$72,0),MATCH('Pagos mayoristas'!$C$95,'Informacion del AEP'!$D$53:$N$53,0))*INDEX('Informacion del AEP'!$D$113:$F$131,MATCH('Pagos mayoristas'!$C111,'Informacion del AEP'!$C$113:$C$131,0),2)))</f>
        <v>0</v>
      </c>
      <c r="H111" s="142">
        <f>IF(C111="","",(INDEX('Precios mayoristas'!$D$33:$E$51,MATCH('Pagos mayoristas'!$C111,'Precios mayoristas'!$C$33:$C$51,0),MATCH('Pagos mayoristas'!$H$10,'Precios mayoristas'!$D$32:$E$32,0)))*INDEX('Informacion del AEP'!$D$54:$N$72,MATCH('Pagos mayoristas'!$C111,'Informacion del AEP'!$C$54:$C$72,0),MATCH('Pagos mayoristas'!$C$95,'Informacion del AEP'!$D$53:$N$53,0)))</f>
        <v>0.34709999999999996</v>
      </c>
    </row>
    <row r="112" spans="3:8" x14ac:dyDescent="0.2">
      <c r="C112" s="24" t="str">
        <f>IF(Supuestos!B73="","",Supuestos!B73)</f>
        <v>Originación SMS off-net</v>
      </c>
      <c r="D112" s="142">
        <f>IF(C112="","",(INDEX('Precios mayoristas'!$D$33:$E$51,MATCH('Pagos mayoristas'!$C112,'Precios mayoristas'!$C$33:$C$51,0),MATCH('Pagos mayoristas'!$D$10,'Precios mayoristas'!$D$32:$E$32,0)))*INDEX('Informacion del AEP'!$D$54:$N$72,MATCH('Pagos mayoristas'!$C112,'Informacion del AEP'!$C$54:$C$72,0),MATCH('Pagos mayoristas'!$C$95,'Informacion del AEP'!$D$53:$N$53,0)))</f>
        <v>2.2000000000000002</v>
      </c>
      <c r="F112" s="142">
        <f>IF(C112="","",('Precios mayoristas'!$D$58*INDEX('Informacion del AEP'!$D$54:$N$72,MATCH('Pagos mayoristas'!$C112,'Informacion del AEP'!$C$54:$C$72,0),MATCH('Pagos mayoristas'!$C$95,'Informacion del AEP'!$D$53:$N$53,0))*INDEX('Informacion del AEP'!$D$113:$F$131,MATCH('Pagos mayoristas'!$C112,'Informacion del AEP'!$C$113:$C$131,0),2)))</f>
        <v>0</v>
      </c>
      <c r="H112" s="142">
        <f>IF(C112="","",(INDEX('Precios mayoristas'!$D$33:$E$51,MATCH('Pagos mayoristas'!$C112,'Precios mayoristas'!$C$33:$C$51,0),MATCH('Pagos mayoristas'!$H$10,'Precios mayoristas'!$D$32:$E$32,0)))*INDEX('Informacion del AEP'!$D$54:$N$72,MATCH('Pagos mayoristas'!$C112,'Informacion del AEP'!$C$54:$C$72,0),MATCH('Pagos mayoristas'!$C$95,'Informacion del AEP'!$D$53:$N$53,0)))</f>
        <v>10</v>
      </c>
    </row>
    <row r="113" spans="3:12" x14ac:dyDescent="0.2">
      <c r="C113" s="24" t="str">
        <f>IF(Supuestos!B74="","",Supuestos!B74)</f>
        <v>Originación SMS otros servicios (SVA)</v>
      </c>
      <c r="D113" s="142">
        <f>IF(C113="","",(INDEX('Precios mayoristas'!$D$33:$E$51,MATCH('Pagos mayoristas'!$C113,'Precios mayoristas'!$C$33:$C$51,0),MATCH('Pagos mayoristas'!$D$10,'Precios mayoristas'!$D$32:$E$32,0)))*INDEX('Informacion del AEP'!$D$54:$N$72,MATCH('Pagos mayoristas'!$C113,'Informacion del AEP'!$C$54:$C$72,0),MATCH('Pagos mayoristas'!$C$95,'Informacion del AEP'!$D$53:$N$53,0)))</f>
        <v>2.2000000000000002</v>
      </c>
      <c r="F113" s="142">
        <f>IF(C113="","",('Precios mayoristas'!$D$58*INDEX('Informacion del AEP'!$D$54:$N$72,MATCH('Pagos mayoristas'!$C113,'Informacion del AEP'!$C$54:$C$72,0),MATCH('Pagos mayoristas'!$C$95,'Informacion del AEP'!$D$53:$N$53,0))*INDEX('Informacion del AEP'!$D$113:$F$131,MATCH('Pagos mayoristas'!$C113,'Informacion del AEP'!$C$113:$C$131,0),2)))</f>
        <v>0</v>
      </c>
      <c r="H113" s="142">
        <f>IF(C113="","",(INDEX('Precios mayoristas'!$D$33:$E$51,MATCH('Pagos mayoristas'!$C113,'Precios mayoristas'!$C$33:$C$51,0),MATCH('Pagos mayoristas'!$H$10,'Precios mayoristas'!$D$32:$E$32,0)))*INDEX('Informacion del AEP'!$D$54:$N$72,MATCH('Pagos mayoristas'!$C113,'Informacion del AEP'!$C$54:$C$72,0),MATCH('Pagos mayoristas'!$C$95,'Informacion del AEP'!$D$53:$N$53,0)))</f>
        <v>15</v>
      </c>
    </row>
    <row r="114" spans="3:12" x14ac:dyDescent="0.2">
      <c r="C114" s="24" t="str">
        <f>IF(Supuestos!B75="","",Supuestos!B75)</f>
        <v>Otros servicios (incluyendo marcaciones especiales)</v>
      </c>
      <c r="D114" s="142">
        <f>IF(C114="","",(INDEX('Precios mayoristas'!$D$33:$E$51,MATCH('Pagos mayoristas'!$C114,'Precios mayoristas'!$C$33:$C$51,0),MATCH('Pagos mayoristas'!$D$10,'Precios mayoristas'!$D$32:$E$32,0)))*INDEX('Informacion del AEP'!$D$54:$N$72,MATCH('Pagos mayoristas'!$C114,'Informacion del AEP'!$C$54:$C$72,0),MATCH('Pagos mayoristas'!$C$95,'Informacion del AEP'!$D$53:$N$53,0)))</f>
        <v>2.2000000000000002</v>
      </c>
      <c r="F114" s="142">
        <f>IF(C114="","",('Precios mayoristas'!$D$58*INDEX('Informacion del AEP'!$D$54:$N$72,MATCH('Pagos mayoristas'!$C114,'Informacion del AEP'!$C$54:$C$72,0),MATCH('Pagos mayoristas'!$C$95,'Informacion del AEP'!$D$53:$N$53,0))*INDEX('Informacion del AEP'!$D$113:$F$131,MATCH('Pagos mayoristas'!$C114,'Informacion del AEP'!$C$113:$C$131,0),2)))</f>
        <v>0</v>
      </c>
      <c r="H114" s="142">
        <f>IF(C114="","",(INDEX('Precios mayoristas'!$D$33:$E$51,MATCH('Pagos mayoristas'!$C114,'Precios mayoristas'!$C$33:$C$51,0),MATCH('Pagos mayoristas'!$H$10,'Precios mayoristas'!$D$32:$E$32,0)))*INDEX('Informacion del AEP'!$D$54:$N$72,MATCH('Pagos mayoristas'!$C114,'Informacion del AEP'!$C$54:$C$72,0),MATCH('Pagos mayoristas'!$C$95,'Informacion del AEP'!$D$53:$N$53,0)))</f>
        <v>0</v>
      </c>
    </row>
    <row r="116" spans="3:12" x14ac:dyDescent="0.2">
      <c r="C116" s="135" t="str">
        <f>Supuestos!$B$89</f>
        <v>Oferta 3</v>
      </c>
      <c r="D116" s="141">
        <f>SUM(D117:D135)</f>
        <v>30.999999999999993</v>
      </c>
      <c r="E116" s="136"/>
      <c r="F116" s="141">
        <f>SUM(F117:F135)</f>
        <v>0</v>
      </c>
      <c r="G116" s="136"/>
      <c r="H116" s="141">
        <f>SUM(H117:H135)</f>
        <v>92.946619999999996</v>
      </c>
      <c r="I116" s="136"/>
      <c r="J116" s="141">
        <f>(IF(Supuestos!$C$22&lt;'Precios mayoristas'!$D$25,'Precios mayoristas'!$D$22*'Informacion del AEP'!$H$40,'Precios mayoristas'!$E$22*'Informacion del AEP'!$H$40)+IF(Supuestos!$C$22&lt;'Precios mayoristas'!$D$25,'Precios mayoristas'!$D$24*'Informacion del AEP'!$H$41,'Precios mayoristas'!$E$24*'Informacion del AEP'!$H$41))*Supuestos!$C$7</f>
        <v>4802010</v>
      </c>
      <c r="K116" s="141"/>
      <c r="L116" s="141">
        <f>$L$11*('Informacion del AEP'!$K$12/'Informacion del AEP'!$F$12)</f>
        <v>416.66666666666669</v>
      </c>
    </row>
    <row r="117" spans="3:12" x14ac:dyDescent="0.2">
      <c r="C117" s="24" t="str">
        <f>IF(Supuestos!B57="","",Supuestos!B57)</f>
        <v>Datos</v>
      </c>
      <c r="D117" s="142">
        <f>IF(C117="","",(INDEX('Precios mayoristas'!$D$33:$E$51,MATCH('Pagos mayoristas'!$C117,'Precios mayoristas'!$C$33:$C$51,0),MATCH('Pagos mayoristas'!$D$10,'Precios mayoristas'!$D$32:$E$32,0)))*INDEX('Informacion del AEP'!$D$54:$N$72,MATCH('Pagos mayoristas'!$C117,'Informacion del AEP'!$C$54:$C$72,0),MATCH('Pagos mayoristas'!$C$116,'Informacion del AEP'!$D$53:$N$53,0)))</f>
        <v>2.4</v>
      </c>
      <c r="F117" s="142">
        <f>IF(C117="","",('Precios mayoristas'!$D$58*INDEX('Informacion del AEP'!$D$54:$N$72,MATCH('Pagos mayoristas'!$C117,'Informacion del AEP'!$C$54:$C$72,0),MATCH('Pagos mayoristas'!$C$116,'Informacion del AEP'!$D$53:$N$53,0))*INDEX('Informacion del AEP'!$D$113:$F$131,MATCH('Pagos mayoristas'!$C117,'Informacion del AEP'!$C$113:$C$131,0),2)))</f>
        <v>0</v>
      </c>
      <c r="H117" s="142">
        <f>IF(C117="","",(INDEX('Precios mayoristas'!$D$33:$E$51,MATCH('Pagos mayoristas'!$C117,'Precios mayoristas'!$C$33:$C$51,0),MATCH('Pagos mayoristas'!$H$10,'Precios mayoristas'!$D$32:$E$32,0)))*INDEX('Informacion del AEP'!$D$54:$N$72,MATCH('Pagos mayoristas'!$C117,'Informacion del AEP'!$C$54:$C$72,0),MATCH('Pagos mayoristas'!$C$116,'Informacion del AEP'!$D$53:$N$53,0)))</f>
        <v>0</v>
      </c>
    </row>
    <row r="118" spans="3:12" x14ac:dyDescent="0.2">
      <c r="C118" s="24" t="str">
        <f>IF(Supuestos!B58="","",Supuestos!B58)</f>
        <v>Originación voz mismo OMV</v>
      </c>
      <c r="D118" s="142">
        <f>IF(C118="","",(INDEX('Precios mayoristas'!$D$33:$E$51,MATCH('Pagos mayoristas'!$C118,'Precios mayoristas'!$C$33:$C$51,0),MATCH('Pagos mayoristas'!$D$10,'Precios mayoristas'!$D$32:$E$32,0)))*INDEX('Informacion del AEP'!$D$54:$N$72,MATCH('Pagos mayoristas'!$C118,'Informacion del AEP'!$C$54:$C$72,0),MATCH('Pagos mayoristas'!$C$116,'Informacion del AEP'!$D$53:$N$53,0)))</f>
        <v>2.2000000000000002</v>
      </c>
      <c r="F118" s="142">
        <f>IF(C118="","",('Precios mayoristas'!$D$58*INDEX('Informacion del AEP'!$D$54:$N$72,MATCH('Pagos mayoristas'!$C118,'Informacion del AEP'!$C$54:$C$72,0),MATCH('Pagos mayoristas'!$C$116,'Informacion del AEP'!$D$53:$N$53,0))*INDEX('Informacion del AEP'!$D$113:$F$131,MATCH('Pagos mayoristas'!$C118,'Informacion del AEP'!$C$113:$C$131,0),2)))</f>
        <v>0</v>
      </c>
      <c r="H118" s="142">
        <f>IF(C118="","",(INDEX('Precios mayoristas'!$D$33:$E$51,MATCH('Pagos mayoristas'!$C118,'Precios mayoristas'!$C$33:$C$51,0),MATCH('Pagos mayoristas'!$H$10,'Precios mayoristas'!$D$32:$E$32,0)))*INDEX('Informacion del AEP'!$D$54:$N$72,MATCH('Pagos mayoristas'!$C118,'Informacion del AEP'!$C$54:$C$72,0),MATCH('Pagos mayoristas'!$C$116,'Informacion del AEP'!$D$53:$N$53,0)))</f>
        <v>0</v>
      </c>
    </row>
    <row r="119" spans="3:12" x14ac:dyDescent="0.2">
      <c r="C119" s="24" t="str">
        <f>IF(Supuestos!B59="","",Supuestos!B59)</f>
        <v>Originación voz on-net otro OMV</v>
      </c>
      <c r="D119" s="142">
        <f>IF(C119="","",(INDEX('Precios mayoristas'!$D$33:$E$51,MATCH('Pagos mayoristas'!$C119,'Precios mayoristas'!$C$33:$C$51,0),MATCH('Pagos mayoristas'!$D$10,'Precios mayoristas'!$D$32:$E$32,0)))*INDEX('Informacion del AEP'!$D$54:$N$72,MATCH('Pagos mayoristas'!$C119,'Informacion del AEP'!$C$54:$C$72,0),MATCH('Pagos mayoristas'!$C$116,'Informacion del AEP'!$D$53:$N$53,0)))</f>
        <v>2.2000000000000002</v>
      </c>
      <c r="F119" s="142">
        <f>IF(C119="","",('Precios mayoristas'!$D$58*INDEX('Informacion del AEP'!$D$54:$N$72,MATCH('Pagos mayoristas'!$C119,'Informacion del AEP'!$C$54:$C$72,0),MATCH('Pagos mayoristas'!$C$116,'Informacion del AEP'!$D$53:$N$53,0))*INDEX('Informacion del AEP'!$D$113:$F$131,MATCH('Pagos mayoristas'!$C119,'Informacion del AEP'!$C$113:$C$131,0),2)))</f>
        <v>0</v>
      </c>
      <c r="H119" s="142">
        <f>IF(C119="","",(INDEX('Precios mayoristas'!$D$33:$E$51,MATCH('Pagos mayoristas'!$C119,'Precios mayoristas'!$C$33:$C$51,0),MATCH('Pagos mayoristas'!$H$10,'Precios mayoristas'!$D$32:$E$32,0)))*INDEX('Informacion del AEP'!$D$54:$N$72,MATCH('Pagos mayoristas'!$C119,'Informacion del AEP'!$C$54:$C$72,0),MATCH('Pagos mayoristas'!$C$116,'Informacion del AEP'!$D$53:$N$53,0)))</f>
        <v>3.7380000000000004</v>
      </c>
    </row>
    <row r="120" spans="3:12" x14ac:dyDescent="0.2">
      <c r="C120" s="24" t="str">
        <f>IF(Supuestos!B60="","",Supuestos!B60)</f>
        <v>Originación voz on-net</v>
      </c>
      <c r="D120" s="142">
        <f>IF(C120="","",(INDEX('Precios mayoristas'!$D$33:$E$51,MATCH('Pagos mayoristas'!$C120,'Precios mayoristas'!$C$33:$C$51,0),MATCH('Pagos mayoristas'!$D$10,'Precios mayoristas'!$D$32:$E$32,0)))*INDEX('Informacion del AEP'!$D$54:$N$72,MATCH('Pagos mayoristas'!$C120,'Informacion del AEP'!$C$54:$C$72,0),MATCH('Pagos mayoristas'!$C$116,'Informacion del AEP'!$D$53:$N$53,0)))</f>
        <v>2.2000000000000002</v>
      </c>
      <c r="F120" s="142">
        <f>IF(C120="","",('Precios mayoristas'!$D$58*INDEX('Informacion del AEP'!$D$54:$N$72,MATCH('Pagos mayoristas'!$C120,'Informacion del AEP'!$C$54:$C$72,0),MATCH('Pagos mayoristas'!$C$116,'Informacion del AEP'!$D$53:$N$53,0))*INDEX('Informacion del AEP'!$D$113:$F$131,MATCH('Pagos mayoristas'!$C120,'Informacion del AEP'!$C$113:$C$131,0),2)))</f>
        <v>0</v>
      </c>
      <c r="H120" s="142">
        <f>IF(C120="","",(INDEX('Precios mayoristas'!$D$33:$E$51,MATCH('Pagos mayoristas'!$C120,'Precios mayoristas'!$C$33:$C$51,0),MATCH('Pagos mayoristas'!$H$10,'Precios mayoristas'!$D$32:$E$32,0)))*INDEX('Informacion del AEP'!$D$54:$N$72,MATCH('Pagos mayoristas'!$C120,'Informacion del AEP'!$C$54:$C$72,0),MATCH('Pagos mayoristas'!$C$116,'Informacion del AEP'!$D$53:$N$53,0)))</f>
        <v>6.1760000000000002E-2</v>
      </c>
    </row>
    <row r="121" spans="3:12" x14ac:dyDescent="0.2">
      <c r="C121" s="24" t="str">
        <f>IF(Supuestos!B61="","",Supuestos!B61)</f>
        <v>Originación voz off-net móvil</v>
      </c>
      <c r="D121" s="142">
        <f>IF(C121="","",(INDEX('Precios mayoristas'!$D$33:$E$51,MATCH('Pagos mayoristas'!$C121,'Precios mayoristas'!$C$33:$C$51,0),MATCH('Pagos mayoristas'!$D$10,'Precios mayoristas'!$D$32:$E$32,0)))*INDEX('Informacion del AEP'!$D$54:$N$72,MATCH('Pagos mayoristas'!$C121,'Informacion del AEP'!$C$54:$C$72,0),MATCH('Pagos mayoristas'!$C$116,'Informacion del AEP'!$D$53:$N$53,0)))</f>
        <v>2.2000000000000002</v>
      </c>
      <c r="F121" s="142">
        <f>IF(C121="","",('Precios mayoristas'!$D$58*INDEX('Informacion del AEP'!$D$54:$N$72,MATCH('Pagos mayoristas'!$C121,'Informacion del AEP'!$C$54:$C$72,0),MATCH('Pagos mayoristas'!$C$116,'Informacion del AEP'!$D$53:$N$53,0))*INDEX('Informacion del AEP'!$D$113:$F$131,MATCH('Pagos mayoristas'!$C121,'Informacion del AEP'!$C$113:$C$131,0),2)))</f>
        <v>0</v>
      </c>
      <c r="H121" s="142">
        <f>IF(C121="","",(INDEX('Precios mayoristas'!$D$33:$E$51,MATCH('Pagos mayoristas'!$C121,'Precios mayoristas'!$C$33:$C$51,0),MATCH('Pagos mayoristas'!$H$10,'Precios mayoristas'!$D$32:$E$32,0)))*INDEX('Informacion del AEP'!$D$54:$N$72,MATCH('Pagos mayoristas'!$C121,'Informacion del AEP'!$C$54:$C$72,0),MATCH('Pagos mayoristas'!$C$116,'Informacion del AEP'!$D$53:$N$53,0)))</f>
        <v>0</v>
      </c>
    </row>
    <row r="122" spans="3:12" x14ac:dyDescent="0.2">
      <c r="C122" s="24" t="str">
        <f>IF(Supuestos!B62="","",Supuestos!B62)</f>
        <v>Originación voz fijo</v>
      </c>
      <c r="D122" s="142">
        <f>IF(C122="","",(INDEX('Precios mayoristas'!$D$33:$E$51,MATCH('Pagos mayoristas'!$C122,'Precios mayoristas'!$C$33:$C$51,0),MATCH('Pagos mayoristas'!$D$10,'Precios mayoristas'!$D$32:$E$32,0)))*INDEX('Informacion del AEP'!$D$54:$N$72,MATCH('Pagos mayoristas'!$C122,'Informacion del AEP'!$C$54:$C$72,0),MATCH('Pagos mayoristas'!$C$116,'Informacion del AEP'!$D$53:$N$53,0)))</f>
        <v>2.2000000000000002</v>
      </c>
      <c r="F122" s="142">
        <f>IF(C122="","",('Precios mayoristas'!$D$58*INDEX('Informacion del AEP'!$D$54:$N$72,MATCH('Pagos mayoristas'!$C122,'Informacion del AEP'!$C$54:$C$72,0),MATCH('Pagos mayoristas'!$C$116,'Informacion del AEP'!$D$53:$N$53,0))*INDEX('Informacion del AEP'!$D$113:$F$131,MATCH('Pagos mayoristas'!$C122,'Informacion del AEP'!$C$113:$C$131,0),2)))</f>
        <v>0</v>
      </c>
      <c r="H122" s="142">
        <f>IF(C122="","",(INDEX('Precios mayoristas'!$D$33:$E$51,MATCH('Pagos mayoristas'!$C122,'Precios mayoristas'!$C$33:$C$51,0),MATCH('Pagos mayoristas'!$H$10,'Precios mayoristas'!$D$32:$E$32,0)))*INDEX('Informacion del AEP'!$D$54:$N$72,MATCH('Pagos mayoristas'!$C122,'Informacion del AEP'!$C$54:$C$72,0),MATCH('Pagos mayoristas'!$C$116,'Informacion del AEP'!$D$53:$N$53,0)))</f>
        <v>3.7380000000000004</v>
      </c>
    </row>
    <row r="123" spans="3:12" x14ac:dyDescent="0.2">
      <c r="C123" s="24" t="str">
        <f>IF(Supuestos!B63="","",Supuestos!B63)</f>
        <v>Originación voz internacional USA-Canadá</v>
      </c>
      <c r="D123" s="142">
        <f>IF(C123="","",(INDEX('Precios mayoristas'!$D$33:$E$51,MATCH('Pagos mayoristas'!$C123,'Precios mayoristas'!$C$33:$C$51,0),MATCH('Pagos mayoristas'!$D$10,'Precios mayoristas'!$D$32:$E$32,0)))*INDEX('Informacion del AEP'!$D$54:$N$72,MATCH('Pagos mayoristas'!$C123,'Informacion del AEP'!$C$54:$C$72,0),MATCH('Pagos mayoristas'!$C$116,'Informacion del AEP'!$D$53:$N$53,0)))</f>
        <v>2.2000000000000002</v>
      </c>
      <c r="F123" s="142">
        <f>IF(C123="","",('Precios mayoristas'!$D$58*INDEX('Informacion del AEP'!$D$54:$N$72,MATCH('Pagos mayoristas'!$C123,'Informacion del AEP'!$C$54:$C$72,0),MATCH('Pagos mayoristas'!$C$116,'Informacion del AEP'!$D$53:$N$53,0))*INDEX('Informacion del AEP'!$D$113:$F$131,MATCH('Pagos mayoristas'!$C123,'Informacion del AEP'!$C$113:$C$131,0),2)))</f>
        <v>0</v>
      </c>
      <c r="H123" s="142">
        <f>IF(C123="","",(INDEX('Precios mayoristas'!$D$33:$E$51,MATCH('Pagos mayoristas'!$C123,'Precios mayoristas'!$C$33:$C$51,0),MATCH('Pagos mayoristas'!$H$10,'Precios mayoristas'!$D$32:$E$32,0)))*INDEX('Informacion del AEP'!$D$54:$N$72,MATCH('Pagos mayoristas'!$C123,'Informacion del AEP'!$C$54:$C$72,0),MATCH('Pagos mayoristas'!$C$116,'Informacion del AEP'!$D$53:$N$53,0)))</f>
        <v>6.1760000000000002E-2</v>
      </c>
    </row>
    <row r="124" spans="3:12" x14ac:dyDescent="0.2">
      <c r="C124" s="24" t="str">
        <f>IF(Supuestos!B64="","",Supuestos!B64)</f>
        <v xml:space="preserve">Originación voz internacional Mundial </v>
      </c>
      <c r="D124" s="142">
        <f>IF(C124="","",(INDEX('Precios mayoristas'!$D$33:$E$51,MATCH('Pagos mayoristas'!$C124,'Precios mayoristas'!$C$33:$C$51,0),MATCH('Pagos mayoristas'!$D$10,'Precios mayoristas'!$D$32:$E$32,0)))*INDEX('Informacion del AEP'!$D$54:$N$72,MATCH('Pagos mayoristas'!$C124,'Informacion del AEP'!$C$54:$C$72,0),MATCH('Pagos mayoristas'!$C$116,'Informacion del AEP'!$D$53:$N$53,0)))</f>
        <v>2.2000000000000002</v>
      </c>
      <c r="F124" s="142">
        <f>IF(C124="","",('Precios mayoristas'!$D$58*INDEX('Informacion del AEP'!$D$54:$N$72,MATCH('Pagos mayoristas'!$C124,'Informacion del AEP'!$C$54:$C$72,0),MATCH('Pagos mayoristas'!$C$116,'Informacion del AEP'!$D$53:$N$53,0))*INDEX('Informacion del AEP'!$D$113:$F$131,MATCH('Pagos mayoristas'!$C124,'Informacion del AEP'!$C$113:$C$131,0),2)))</f>
        <v>0</v>
      </c>
      <c r="H124" s="142">
        <f>IF(C124="","",(INDEX('Precios mayoristas'!$D$33:$E$51,MATCH('Pagos mayoristas'!$C124,'Precios mayoristas'!$C$33:$C$51,0),MATCH('Pagos mayoristas'!$H$10,'Precios mayoristas'!$D$32:$E$32,0)))*INDEX('Informacion del AEP'!$D$54:$N$72,MATCH('Pagos mayoristas'!$C124,'Informacion del AEP'!$C$54:$C$72,0),MATCH('Pagos mayoristas'!$C$116,'Informacion del AEP'!$D$53:$N$53,0)))</f>
        <v>10</v>
      </c>
    </row>
    <row r="125" spans="3:12" x14ac:dyDescent="0.2">
      <c r="C125" s="24" t="str">
        <f>IF(Supuestos!B65="","",Supuestos!B65)</f>
        <v>Originación voz internacional Cuba</v>
      </c>
      <c r="D125" s="142">
        <f>IF(C125="","",(INDEX('Precios mayoristas'!$D$33:$E$51,MATCH('Pagos mayoristas'!$C125,'Precios mayoristas'!$C$33:$C$51,0),MATCH('Pagos mayoristas'!$D$10,'Precios mayoristas'!$D$32:$E$32,0)))*INDEX('Informacion del AEP'!$D$54:$N$72,MATCH('Pagos mayoristas'!$C125,'Informacion del AEP'!$C$54:$C$72,0),MATCH('Pagos mayoristas'!$C$116,'Informacion del AEP'!$D$53:$N$53,0)))</f>
        <v>2.2000000000000002</v>
      </c>
      <c r="F125" s="142">
        <f>IF(C125="","",('Precios mayoristas'!$D$58*INDEX('Informacion del AEP'!$D$54:$N$72,MATCH('Pagos mayoristas'!$C125,'Informacion del AEP'!$C$54:$C$72,0),MATCH('Pagos mayoristas'!$C$116,'Informacion del AEP'!$D$53:$N$53,0))*INDEX('Informacion del AEP'!$D$113:$F$131,MATCH('Pagos mayoristas'!$C125,'Informacion del AEP'!$C$113:$C$131,0),2)))</f>
        <v>0</v>
      </c>
      <c r="H125" s="142">
        <f>IF(C125="","",(INDEX('Precios mayoristas'!$D$33:$E$51,MATCH('Pagos mayoristas'!$C125,'Precios mayoristas'!$C$33:$C$51,0),MATCH('Pagos mayoristas'!$H$10,'Precios mayoristas'!$D$32:$E$32,0)))*INDEX('Informacion del AEP'!$D$54:$N$72,MATCH('Pagos mayoristas'!$C125,'Informacion del AEP'!$C$54:$C$72,0),MATCH('Pagos mayoristas'!$C$116,'Informacion del AEP'!$D$53:$N$53,0)))</f>
        <v>50</v>
      </c>
    </row>
    <row r="126" spans="3:12" x14ac:dyDescent="0.2">
      <c r="C126" s="24" t="str">
        <f>IF(Supuestos!B66="","",Supuestos!B66)</f>
        <v/>
      </c>
      <c r="D126" s="142" t="str">
        <f>IF(C126="","",(INDEX('Precios mayoristas'!$D$33:$E$51,MATCH('Pagos mayoristas'!$C126,'Precios mayoristas'!$C$33:$C$51,0),MATCH('Pagos mayoristas'!$D$10,'Precios mayoristas'!$D$32:$E$32,0)))*INDEX('Informacion del AEP'!$D$54:$N$72,MATCH('Pagos mayoristas'!$C126,'Informacion del AEP'!$C$54:$C$72,0),MATCH('Pagos mayoristas'!$C$116,'Informacion del AEP'!$D$53:$N$53,0)))</f>
        <v/>
      </c>
      <c r="F126" s="142" t="str">
        <f>IF(C126="","",('Precios mayoristas'!$D$58*INDEX('Informacion del AEP'!$D$54:$N$72,MATCH('Pagos mayoristas'!$C126,'Informacion del AEP'!$C$54:$C$72,0),MATCH('Pagos mayoristas'!$C$116,'Informacion del AEP'!$D$53:$N$53,0))*INDEX('Informacion del AEP'!$D$113:$F$131,MATCH('Pagos mayoristas'!$C126,'Informacion del AEP'!$C$113:$C$131,0),2)))</f>
        <v/>
      </c>
      <c r="H126" s="142" t="str">
        <f>IF(C126="","",(INDEX('Precios mayoristas'!$D$33:$E$51,MATCH('Pagos mayoristas'!$C126,'Precios mayoristas'!$C$33:$C$51,0),MATCH('Pagos mayoristas'!$H$10,'Precios mayoristas'!$D$32:$E$32,0)))*INDEX('Informacion del AEP'!$D$54:$N$72,MATCH('Pagos mayoristas'!$C126,'Informacion del AEP'!$C$54:$C$72,0),MATCH('Pagos mayoristas'!$C$116,'Informacion del AEP'!$D$53:$N$53,0)))</f>
        <v/>
      </c>
    </row>
    <row r="127" spans="3:12" x14ac:dyDescent="0.2">
      <c r="C127" s="24" t="str">
        <f>IF(Supuestos!B67="","",Supuestos!B67)</f>
        <v/>
      </c>
      <c r="D127" s="142" t="str">
        <f>IF(C127="","",(INDEX('Precios mayoristas'!$D$33:$E$51,MATCH('Pagos mayoristas'!$C127,'Precios mayoristas'!$C$33:$C$51,0),MATCH('Pagos mayoristas'!$D$10,'Precios mayoristas'!$D$32:$E$32,0)))*INDEX('Informacion del AEP'!$D$54:$N$72,MATCH('Pagos mayoristas'!$C127,'Informacion del AEP'!$C$54:$C$72,0),MATCH('Pagos mayoristas'!$C$116,'Informacion del AEP'!$D$53:$N$53,0)))</f>
        <v/>
      </c>
      <c r="F127" s="142" t="str">
        <f>IF(C127="","",('Precios mayoristas'!$D$58*INDEX('Informacion del AEP'!$D$54:$N$72,MATCH('Pagos mayoristas'!$C127,'Informacion del AEP'!$C$54:$C$72,0),MATCH('Pagos mayoristas'!$C$116,'Informacion del AEP'!$D$53:$N$53,0))*INDEX('Informacion del AEP'!$D$113:$F$131,MATCH('Pagos mayoristas'!$C127,'Informacion del AEP'!$C$113:$C$131,0),2)))</f>
        <v/>
      </c>
      <c r="H127" s="142" t="str">
        <f>IF(C127="","",(INDEX('Precios mayoristas'!$D$33:$E$51,MATCH('Pagos mayoristas'!$C127,'Precios mayoristas'!$C$33:$C$51,0),MATCH('Pagos mayoristas'!$H$10,'Precios mayoristas'!$D$32:$E$32,0)))*INDEX('Informacion del AEP'!$D$54:$N$72,MATCH('Pagos mayoristas'!$C127,'Informacion del AEP'!$C$54:$C$72,0),MATCH('Pagos mayoristas'!$C$116,'Informacion del AEP'!$D$53:$N$53,0)))</f>
        <v/>
      </c>
    </row>
    <row r="128" spans="3:12" x14ac:dyDescent="0.2">
      <c r="C128" s="24" t="str">
        <f>IF(Supuestos!B68="","",Supuestos!B68)</f>
        <v/>
      </c>
      <c r="D128" s="142" t="str">
        <f>IF(C128="","",(INDEX('Precios mayoristas'!$D$33:$E$51,MATCH('Pagos mayoristas'!$C128,'Precios mayoristas'!$C$33:$C$51,0),MATCH('Pagos mayoristas'!$D$10,'Precios mayoristas'!$D$32:$E$32,0)))*INDEX('Informacion del AEP'!$D$54:$N$72,MATCH('Pagos mayoristas'!$C128,'Informacion del AEP'!$C$54:$C$72,0),MATCH('Pagos mayoristas'!$C$116,'Informacion del AEP'!$D$53:$N$53,0)))</f>
        <v/>
      </c>
      <c r="F128" s="142" t="str">
        <f>IF(C128="","",('Precios mayoristas'!$D$58*INDEX('Informacion del AEP'!$D$54:$N$72,MATCH('Pagos mayoristas'!$C128,'Informacion del AEP'!$C$54:$C$72,0),MATCH('Pagos mayoristas'!$C$116,'Informacion del AEP'!$D$53:$N$53,0))*INDEX('Informacion del AEP'!$D$113:$F$131,MATCH('Pagos mayoristas'!$C128,'Informacion del AEP'!$C$113:$C$131,0),2)))</f>
        <v/>
      </c>
      <c r="H128" s="142" t="str">
        <f>IF(C128="","",(INDEX('Precios mayoristas'!$D$33:$E$51,MATCH('Pagos mayoristas'!$C128,'Precios mayoristas'!$C$33:$C$51,0),MATCH('Pagos mayoristas'!$H$10,'Precios mayoristas'!$D$32:$E$32,0)))*INDEX('Informacion del AEP'!$D$54:$N$72,MATCH('Pagos mayoristas'!$C128,'Informacion del AEP'!$C$54:$C$72,0),MATCH('Pagos mayoristas'!$C$116,'Informacion del AEP'!$D$53:$N$53,0)))</f>
        <v/>
      </c>
    </row>
    <row r="129" spans="3:12" x14ac:dyDescent="0.2">
      <c r="C129" s="24" t="str">
        <f>IF(Supuestos!B69="","",Supuestos!B69)</f>
        <v/>
      </c>
      <c r="D129" s="142" t="str">
        <f>IF(C129="","",(INDEX('Precios mayoristas'!$D$33:$E$51,MATCH('Pagos mayoristas'!$C129,'Precios mayoristas'!$C$33:$C$51,0),MATCH('Pagos mayoristas'!$D$10,'Precios mayoristas'!$D$32:$E$32,0)))*INDEX('Informacion del AEP'!$D$54:$N$72,MATCH('Pagos mayoristas'!$C129,'Informacion del AEP'!$C$54:$C$72,0),MATCH('Pagos mayoristas'!$C$116,'Informacion del AEP'!$D$53:$N$53,0)))</f>
        <v/>
      </c>
      <c r="F129" s="142" t="str">
        <f>IF(C129="","",('Precios mayoristas'!$D$58*INDEX('Informacion del AEP'!$D$54:$N$72,MATCH('Pagos mayoristas'!$C129,'Informacion del AEP'!$C$54:$C$72,0),MATCH('Pagos mayoristas'!$C$116,'Informacion del AEP'!$D$53:$N$53,0))*INDEX('Informacion del AEP'!$D$113:$F$131,MATCH('Pagos mayoristas'!$C129,'Informacion del AEP'!$C$113:$C$131,0),2)))</f>
        <v/>
      </c>
      <c r="H129" s="142" t="str">
        <f>IF(C129="","",(INDEX('Precios mayoristas'!$D$33:$E$51,MATCH('Pagos mayoristas'!$C129,'Precios mayoristas'!$C$33:$C$51,0),MATCH('Pagos mayoristas'!$H$10,'Precios mayoristas'!$D$32:$E$32,0)))*INDEX('Informacion del AEP'!$D$54:$N$72,MATCH('Pagos mayoristas'!$C129,'Informacion del AEP'!$C$54:$C$72,0),MATCH('Pagos mayoristas'!$C$116,'Informacion del AEP'!$D$53:$N$53,0)))</f>
        <v/>
      </c>
    </row>
    <row r="130" spans="3:12" x14ac:dyDescent="0.2">
      <c r="C130" s="24" t="str">
        <f>IF(Supuestos!B70="","",Supuestos!B70)</f>
        <v/>
      </c>
      <c r="D130" s="142" t="str">
        <f>IF(C130="","",(INDEX('Precios mayoristas'!$D$33:$E$51,MATCH('Pagos mayoristas'!$C130,'Precios mayoristas'!$C$33:$C$51,0),MATCH('Pagos mayoristas'!$D$10,'Precios mayoristas'!$D$32:$E$32,0)))*INDEX('Informacion del AEP'!$D$54:$N$72,MATCH('Pagos mayoristas'!$C130,'Informacion del AEP'!$C$54:$C$72,0),MATCH('Pagos mayoristas'!$C$116,'Informacion del AEP'!$D$53:$N$53,0)))</f>
        <v/>
      </c>
      <c r="F130" s="142" t="str">
        <f>IF(C130="","",('Precios mayoristas'!$D$58*INDEX('Informacion del AEP'!$D$54:$N$72,MATCH('Pagos mayoristas'!$C130,'Informacion del AEP'!$C$54:$C$72,0),MATCH('Pagos mayoristas'!$C$116,'Informacion del AEP'!$D$53:$N$53,0))*INDEX('Informacion del AEP'!$D$113:$F$131,MATCH('Pagos mayoristas'!$C130,'Informacion del AEP'!$C$113:$C$131,0),2)))</f>
        <v/>
      </c>
      <c r="H130" s="142" t="str">
        <f>IF(C130="","",(INDEX('Precios mayoristas'!$D$33:$E$51,MATCH('Pagos mayoristas'!$C130,'Precios mayoristas'!$C$33:$C$51,0),MATCH('Pagos mayoristas'!$H$10,'Precios mayoristas'!$D$32:$E$32,0)))*INDEX('Informacion del AEP'!$D$54:$N$72,MATCH('Pagos mayoristas'!$C130,'Informacion del AEP'!$C$54:$C$72,0),MATCH('Pagos mayoristas'!$C$116,'Informacion del AEP'!$D$53:$N$53,0)))</f>
        <v/>
      </c>
    </row>
    <row r="131" spans="3:12" x14ac:dyDescent="0.2">
      <c r="C131" s="24" t="str">
        <f>IF(Supuestos!B71="","",Supuestos!B71)</f>
        <v>Originación SMS OMV</v>
      </c>
      <c r="D131" s="142">
        <f>IF(C131="","",(INDEX('Precios mayoristas'!$D$33:$E$51,MATCH('Pagos mayoristas'!$C131,'Precios mayoristas'!$C$33:$C$51,0),MATCH('Pagos mayoristas'!$D$10,'Precios mayoristas'!$D$32:$E$32,0)))*INDEX('Informacion del AEP'!$D$54:$N$72,MATCH('Pagos mayoristas'!$C131,'Informacion del AEP'!$C$54:$C$72,0),MATCH('Pagos mayoristas'!$C$116,'Informacion del AEP'!$D$53:$N$53,0)))</f>
        <v>2.2000000000000002</v>
      </c>
      <c r="F131" s="142">
        <f>IF(C131="","",('Precios mayoristas'!$D$58*INDEX('Informacion del AEP'!$D$54:$N$72,MATCH('Pagos mayoristas'!$C131,'Informacion del AEP'!$C$54:$C$72,0),MATCH('Pagos mayoristas'!$C$116,'Informacion del AEP'!$D$53:$N$53,0))*INDEX('Informacion del AEP'!$D$113:$F$131,MATCH('Pagos mayoristas'!$C131,'Informacion del AEP'!$C$113:$C$131,0),2)))</f>
        <v>0</v>
      </c>
      <c r="H131" s="142">
        <f>IF(C131="","",(INDEX('Precios mayoristas'!$D$33:$E$51,MATCH('Pagos mayoristas'!$C131,'Precios mayoristas'!$C$33:$C$51,0),MATCH('Pagos mayoristas'!$H$10,'Precios mayoristas'!$D$32:$E$32,0)))*INDEX('Informacion del AEP'!$D$54:$N$72,MATCH('Pagos mayoristas'!$C131,'Informacion del AEP'!$C$54:$C$72,0),MATCH('Pagos mayoristas'!$C$116,'Informacion del AEP'!$D$53:$N$53,0)))</f>
        <v>0</v>
      </c>
    </row>
    <row r="132" spans="3:12" x14ac:dyDescent="0.2">
      <c r="C132" s="24" t="str">
        <f>IF(Supuestos!B72="","",Supuestos!B72)</f>
        <v>Originación SMS on-net</v>
      </c>
      <c r="D132" s="142">
        <f>IF(C132="","",(INDEX('Precios mayoristas'!$D$33:$E$51,MATCH('Pagos mayoristas'!$C132,'Precios mayoristas'!$C$33:$C$51,0),MATCH('Pagos mayoristas'!$D$10,'Precios mayoristas'!$D$32:$E$32,0)))*INDEX('Informacion del AEP'!$D$54:$N$72,MATCH('Pagos mayoristas'!$C132,'Informacion del AEP'!$C$54:$C$72,0),MATCH('Pagos mayoristas'!$C$116,'Informacion del AEP'!$D$53:$N$53,0)))</f>
        <v>2.2000000000000002</v>
      </c>
      <c r="F132" s="142">
        <f>IF(C132="","",('Precios mayoristas'!$D$58*INDEX('Informacion del AEP'!$D$54:$N$72,MATCH('Pagos mayoristas'!$C132,'Informacion del AEP'!$C$54:$C$72,0),MATCH('Pagos mayoristas'!$C$116,'Informacion del AEP'!$D$53:$N$53,0))*INDEX('Informacion del AEP'!$D$113:$F$131,MATCH('Pagos mayoristas'!$C132,'Informacion del AEP'!$C$113:$C$131,0),2)))</f>
        <v>0</v>
      </c>
      <c r="H132" s="142">
        <f>IF(C132="","",(INDEX('Precios mayoristas'!$D$33:$E$51,MATCH('Pagos mayoristas'!$C132,'Precios mayoristas'!$C$33:$C$51,0),MATCH('Pagos mayoristas'!$H$10,'Precios mayoristas'!$D$32:$E$32,0)))*INDEX('Informacion del AEP'!$D$54:$N$72,MATCH('Pagos mayoristas'!$C132,'Informacion del AEP'!$C$54:$C$72,0),MATCH('Pagos mayoristas'!$C$116,'Informacion del AEP'!$D$53:$N$53,0)))</f>
        <v>0.34709999999999996</v>
      </c>
    </row>
    <row r="133" spans="3:12" x14ac:dyDescent="0.2">
      <c r="C133" s="24" t="str">
        <f>IF(Supuestos!B73="","",Supuestos!B73)</f>
        <v>Originación SMS off-net</v>
      </c>
      <c r="D133" s="142">
        <f>IF(C133="","",(INDEX('Precios mayoristas'!$D$33:$E$51,MATCH('Pagos mayoristas'!$C133,'Precios mayoristas'!$C$33:$C$51,0),MATCH('Pagos mayoristas'!$D$10,'Precios mayoristas'!$D$32:$E$32,0)))*INDEX('Informacion del AEP'!$D$54:$N$72,MATCH('Pagos mayoristas'!$C133,'Informacion del AEP'!$C$54:$C$72,0),MATCH('Pagos mayoristas'!$C$116,'Informacion del AEP'!$D$53:$N$53,0)))</f>
        <v>2.2000000000000002</v>
      </c>
      <c r="F133" s="142">
        <f>IF(C133="","",('Precios mayoristas'!$D$58*INDEX('Informacion del AEP'!$D$54:$N$72,MATCH('Pagos mayoristas'!$C133,'Informacion del AEP'!$C$54:$C$72,0),MATCH('Pagos mayoristas'!$C$116,'Informacion del AEP'!$D$53:$N$53,0))*INDEX('Informacion del AEP'!$D$113:$F$131,MATCH('Pagos mayoristas'!$C133,'Informacion del AEP'!$C$113:$C$131,0),2)))</f>
        <v>0</v>
      </c>
      <c r="H133" s="142">
        <f>IF(C133="","",(INDEX('Precios mayoristas'!$D$33:$E$51,MATCH('Pagos mayoristas'!$C133,'Precios mayoristas'!$C$33:$C$51,0),MATCH('Pagos mayoristas'!$H$10,'Precios mayoristas'!$D$32:$E$32,0)))*INDEX('Informacion del AEP'!$D$54:$N$72,MATCH('Pagos mayoristas'!$C133,'Informacion del AEP'!$C$54:$C$72,0),MATCH('Pagos mayoristas'!$C$116,'Informacion del AEP'!$D$53:$N$53,0)))</f>
        <v>10</v>
      </c>
    </row>
    <row r="134" spans="3:12" x14ac:dyDescent="0.2">
      <c r="C134" s="24" t="str">
        <f>IF(Supuestos!B74="","",Supuestos!B74)</f>
        <v>Originación SMS otros servicios (SVA)</v>
      </c>
      <c r="D134" s="142">
        <f>IF(C134="","",(INDEX('Precios mayoristas'!$D$33:$E$51,MATCH('Pagos mayoristas'!$C134,'Precios mayoristas'!$C$33:$C$51,0),MATCH('Pagos mayoristas'!$D$10,'Precios mayoristas'!$D$32:$E$32,0)))*INDEX('Informacion del AEP'!$D$54:$N$72,MATCH('Pagos mayoristas'!$C134,'Informacion del AEP'!$C$54:$C$72,0),MATCH('Pagos mayoristas'!$C$116,'Informacion del AEP'!$D$53:$N$53,0)))</f>
        <v>2.2000000000000002</v>
      </c>
      <c r="F134" s="142">
        <f>IF(C134="","",('Precios mayoristas'!$D$58*INDEX('Informacion del AEP'!$D$54:$N$72,MATCH('Pagos mayoristas'!$C134,'Informacion del AEP'!$C$54:$C$72,0),MATCH('Pagos mayoristas'!$C$116,'Informacion del AEP'!$D$53:$N$53,0))*INDEX('Informacion del AEP'!$D$113:$F$131,MATCH('Pagos mayoristas'!$C134,'Informacion del AEP'!$C$113:$C$131,0),2)))</f>
        <v>0</v>
      </c>
      <c r="H134" s="142">
        <f>IF(C134="","",(INDEX('Precios mayoristas'!$D$33:$E$51,MATCH('Pagos mayoristas'!$C134,'Precios mayoristas'!$C$33:$C$51,0),MATCH('Pagos mayoristas'!$H$10,'Precios mayoristas'!$D$32:$E$32,0)))*INDEX('Informacion del AEP'!$D$54:$N$72,MATCH('Pagos mayoristas'!$C134,'Informacion del AEP'!$C$54:$C$72,0),MATCH('Pagos mayoristas'!$C$116,'Informacion del AEP'!$D$53:$N$53,0)))</f>
        <v>15</v>
      </c>
    </row>
    <row r="135" spans="3:12" x14ac:dyDescent="0.2">
      <c r="C135" s="24" t="str">
        <f>IF(Supuestos!B75="","",Supuestos!B75)</f>
        <v>Otros servicios (incluyendo marcaciones especiales)</v>
      </c>
      <c r="D135" s="142">
        <f>IF(C135="","",(INDEX('Precios mayoristas'!$D$33:$E$51,MATCH('Pagos mayoristas'!$C135,'Precios mayoristas'!$C$33:$C$51,0),MATCH('Pagos mayoristas'!$D$10,'Precios mayoristas'!$D$32:$E$32,0)))*INDEX('Informacion del AEP'!$D$54:$N$72,MATCH('Pagos mayoristas'!$C135,'Informacion del AEP'!$C$54:$C$72,0),MATCH('Pagos mayoristas'!$C$116,'Informacion del AEP'!$D$53:$N$53,0)))</f>
        <v>2.2000000000000002</v>
      </c>
      <c r="F135" s="142">
        <f>IF(C135="","",('Precios mayoristas'!$D$58*INDEX('Informacion del AEP'!$D$54:$N$72,MATCH('Pagos mayoristas'!$C135,'Informacion del AEP'!$C$54:$C$72,0),MATCH('Pagos mayoristas'!$C$116,'Informacion del AEP'!$D$53:$N$53,0))*INDEX('Informacion del AEP'!$D$113:$F$131,MATCH('Pagos mayoristas'!$C135,'Informacion del AEP'!$C$113:$C$131,0),2)))</f>
        <v>0</v>
      </c>
      <c r="H135" s="142">
        <f>IF(C135="","",(INDEX('Precios mayoristas'!$D$33:$E$51,MATCH('Pagos mayoristas'!$C135,'Precios mayoristas'!$C$33:$C$51,0),MATCH('Pagos mayoristas'!$H$10,'Precios mayoristas'!$D$32:$E$32,0)))*INDEX('Informacion del AEP'!$D$54:$N$72,MATCH('Pagos mayoristas'!$C135,'Informacion del AEP'!$C$54:$C$72,0),MATCH('Pagos mayoristas'!$C$116,'Informacion del AEP'!$D$53:$N$53,0)))</f>
        <v>0</v>
      </c>
    </row>
    <row r="137" spans="3:12" x14ac:dyDescent="0.2">
      <c r="C137" s="135" t="str">
        <f>Supuestos!$B$90</f>
        <v>Oferta 4</v>
      </c>
      <c r="D137" s="141">
        <f>SUM(D138:D156)</f>
        <v>61.999999999999986</v>
      </c>
      <c r="E137" s="136"/>
      <c r="F137" s="141">
        <f>SUM(F138:F156)</f>
        <v>0</v>
      </c>
      <c r="G137" s="136"/>
      <c r="H137" s="141">
        <f>SUM(H138:H156)</f>
        <v>185.89323999999999</v>
      </c>
      <c r="I137" s="136"/>
      <c r="J137" s="141">
        <f>(IF(Supuestos!$C$22&lt;'Precios mayoristas'!$D$25,'Precios mayoristas'!$D$22*'Informacion del AEP'!$H$42,'Precios mayoristas'!$E$22*'Informacion del AEP'!$H$42)+IF(Supuestos!$C$22&lt;'Precios mayoristas'!$D$25,'Precios mayoristas'!$D$24*'Informacion del AEP'!$H$43,'Precios mayoristas'!$E$24*'Informacion del AEP'!$H$43))*Supuestos!$C$7</f>
        <v>4802010</v>
      </c>
      <c r="K137" s="141"/>
      <c r="L137" s="141">
        <f>$L$11*('Informacion del AEP'!$L$12/'Informacion del AEP'!$F$12)</f>
        <v>833.33333333333337</v>
      </c>
    </row>
    <row r="138" spans="3:12" x14ac:dyDescent="0.2">
      <c r="C138" s="24" t="str">
        <f>IF(Supuestos!B57="","",Supuestos!B57)</f>
        <v>Datos</v>
      </c>
      <c r="D138" s="142">
        <f>IF(C138="","",(INDEX('Precios mayoristas'!$D$33:$E$51,MATCH('Pagos mayoristas'!$C138,'Precios mayoristas'!$C$33:$C$51,0),MATCH('Pagos mayoristas'!$D$10,'Precios mayoristas'!$D$32:$E$32,0)))*INDEX('Informacion del AEP'!$D$54:$N$72,MATCH('Pagos mayoristas'!$C138,'Informacion del AEP'!$C$54:$C$72,0),MATCH('Pagos mayoristas'!$C$137,'Informacion del AEP'!$D$53:$N$53,0)))</f>
        <v>4.8</v>
      </c>
      <c r="F138" s="142">
        <f>IF(C138="","",('Precios mayoristas'!$D$58*INDEX('Informacion del AEP'!$D$54:$N$72,MATCH('Pagos mayoristas'!$C138,'Informacion del AEP'!$C$54:$C$72,0),MATCH('Pagos mayoristas'!$C$137,'Informacion del AEP'!$D$53:$N$53,0))*INDEX('Informacion del AEP'!$D$113:$F$131,MATCH('Pagos mayoristas'!$C138,'Informacion del AEP'!$C$113:$C$131,0),2)))</f>
        <v>0</v>
      </c>
      <c r="H138" s="142">
        <f>IF(C138="","",(INDEX('Precios mayoristas'!$D$33:$E$51,MATCH('Pagos mayoristas'!$C138,'Precios mayoristas'!$C$33:$C$51,0),MATCH('Pagos mayoristas'!$H$10,'Precios mayoristas'!$D$32:$E$32,0)))*INDEX('Informacion del AEP'!$D$54:$N$72,MATCH('Pagos mayoristas'!$C138,'Informacion del AEP'!$C$54:$C$72,0),MATCH('Pagos mayoristas'!$C$137,'Informacion del AEP'!$D$53:$N$53,0)))</f>
        <v>0</v>
      </c>
    </row>
    <row r="139" spans="3:12" x14ac:dyDescent="0.2">
      <c r="C139" s="24" t="str">
        <f>IF(Supuestos!B58="","",Supuestos!B58)</f>
        <v>Originación voz mismo OMV</v>
      </c>
      <c r="D139" s="142">
        <f>IF(C139="","",(INDEX('Precios mayoristas'!$D$33:$E$51,MATCH('Pagos mayoristas'!$C139,'Precios mayoristas'!$C$33:$C$51,0),MATCH('Pagos mayoristas'!$D$10,'Precios mayoristas'!$D$32:$E$32,0)))*INDEX('Informacion del AEP'!$D$54:$N$72,MATCH('Pagos mayoristas'!$C139,'Informacion del AEP'!$C$54:$C$72,0),MATCH('Pagos mayoristas'!$C$137,'Informacion del AEP'!$D$53:$N$53,0)))</f>
        <v>4.4000000000000004</v>
      </c>
      <c r="F139" s="142">
        <f>IF(C139="","",('Precios mayoristas'!$D$58*INDEX('Informacion del AEP'!$D$54:$N$72,MATCH('Pagos mayoristas'!$C139,'Informacion del AEP'!$C$54:$C$72,0),MATCH('Pagos mayoristas'!$C$137,'Informacion del AEP'!$D$53:$N$53,0))*INDEX('Informacion del AEP'!$D$113:$F$131,MATCH('Pagos mayoristas'!$C139,'Informacion del AEP'!$C$113:$C$131,0),2)))</f>
        <v>0</v>
      </c>
      <c r="H139" s="142">
        <f>IF(C139="","",(INDEX('Precios mayoristas'!$D$33:$E$51,MATCH('Pagos mayoristas'!$C139,'Precios mayoristas'!$C$33:$C$51,0),MATCH('Pagos mayoristas'!$H$10,'Precios mayoristas'!$D$32:$E$32,0)))*INDEX('Informacion del AEP'!$D$54:$N$72,MATCH('Pagos mayoristas'!$C139,'Informacion del AEP'!$C$54:$C$72,0),MATCH('Pagos mayoristas'!$C$137,'Informacion del AEP'!$D$53:$N$53,0)))</f>
        <v>0</v>
      </c>
    </row>
    <row r="140" spans="3:12" x14ac:dyDescent="0.2">
      <c r="C140" s="24" t="str">
        <f>IF(Supuestos!B59="","",Supuestos!B59)</f>
        <v>Originación voz on-net otro OMV</v>
      </c>
      <c r="D140" s="142">
        <f>IF(C140="","",(INDEX('Precios mayoristas'!$D$33:$E$51,MATCH('Pagos mayoristas'!$C140,'Precios mayoristas'!$C$33:$C$51,0),MATCH('Pagos mayoristas'!$D$10,'Precios mayoristas'!$D$32:$E$32,0)))*INDEX('Informacion del AEP'!$D$54:$N$72,MATCH('Pagos mayoristas'!$C140,'Informacion del AEP'!$C$54:$C$72,0),MATCH('Pagos mayoristas'!$C$137,'Informacion del AEP'!$D$53:$N$53,0)))</f>
        <v>4.4000000000000004</v>
      </c>
      <c r="F140" s="142">
        <f>IF(C140="","",('Precios mayoristas'!$D$58*INDEX('Informacion del AEP'!$D$54:$N$72,MATCH('Pagos mayoristas'!$C140,'Informacion del AEP'!$C$54:$C$72,0),MATCH('Pagos mayoristas'!$C$137,'Informacion del AEP'!$D$53:$N$53,0))*INDEX('Informacion del AEP'!$D$113:$F$131,MATCH('Pagos mayoristas'!$C140,'Informacion del AEP'!$C$113:$C$131,0),2)))</f>
        <v>0</v>
      </c>
      <c r="H140" s="142">
        <f>IF(C140="","",(INDEX('Precios mayoristas'!$D$33:$E$51,MATCH('Pagos mayoristas'!$C140,'Precios mayoristas'!$C$33:$C$51,0),MATCH('Pagos mayoristas'!$H$10,'Precios mayoristas'!$D$32:$E$32,0)))*INDEX('Informacion del AEP'!$D$54:$N$72,MATCH('Pagos mayoristas'!$C140,'Informacion del AEP'!$C$54:$C$72,0),MATCH('Pagos mayoristas'!$C$137,'Informacion del AEP'!$D$53:$N$53,0)))</f>
        <v>7.4760000000000009</v>
      </c>
    </row>
    <row r="141" spans="3:12" x14ac:dyDescent="0.2">
      <c r="C141" s="24" t="str">
        <f>IF(Supuestos!B60="","",Supuestos!B60)</f>
        <v>Originación voz on-net</v>
      </c>
      <c r="D141" s="142">
        <f>IF(C141="","",(INDEX('Precios mayoristas'!$D$33:$E$51,MATCH('Pagos mayoristas'!$C141,'Precios mayoristas'!$C$33:$C$51,0),MATCH('Pagos mayoristas'!$D$10,'Precios mayoristas'!$D$32:$E$32,0)))*INDEX('Informacion del AEP'!$D$54:$N$72,MATCH('Pagos mayoristas'!$C141,'Informacion del AEP'!$C$54:$C$72,0),MATCH('Pagos mayoristas'!$C$137,'Informacion del AEP'!$D$53:$N$53,0)))</f>
        <v>4.4000000000000004</v>
      </c>
      <c r="F141" s="142">
        <f>IF(C141="","",('Precios mayoristas'!$D$58*INDEX('Informacion del AEP'!$D$54:$N$72,MATCH('Pagos mayoristas'!$C141,'Informacion del AEP'!$C$54:$C$72,0),MATCH('Pagos mayoristas'!$C$137,'Informacion del AEP'!$D$53:$N$53,0))*INDEX('Informacion del AEP'!$D$113:$F$131,MATCH('Pagos mayoristas'!$C141,'Informacion del AEP'!$C$113:$C$131,0),2)))</f>
        <v>0</v>
      </c>
      <c r="H141" s="142">
        <f>IF(C141="","",(INDEX('Precios mayoristas'!$D$33:$E$51,MATCH('Pagos mayoristas'!$C141,'Precios mayoristas'!$C$33:$C$51,0),MATCH('Pagos mayoristas'!$H$10,'Precios mayoristas'!$D$32:$E$32,0)))*INDEX('Informacion del AEP'!$D$54:$N$72,MATCH('Pagos mayoristas'!$C141,'Informacion del AEP'!$C$54:$C$72,0),MATCH('Pagos mayoristas'!$C$137,'Informacion del AEP'!$D$53:$N$53,0)))</f>
        <v>0.12352</v>
      </c>
    </row>
    <row r="142" spans="3:12" x14ac:dyDescent="0.2">
      <c r="C142" s="24" t="str">
        <f>IF(Supuestos!B61="","",Supuestos!B61)</f>
        <v>Originación voz off-net móvil</v>
      </c>
      <c r="D142" s="142">
        <f>IF(C142="","",(INDEX('Precios mayoristas'!$D$33:$E$51,MATCH('Pagos mayoristas'!$C142,'Precios mayoristas'!$C$33:$C$51,0),MATCH('Pagos mayoristas'!$D$10,'Precios mayoristas'!$D$32:$E$32,0)))*INDEX('Informacion del AEP'!$D$54:$N$72,MATCH('Pagos mayoristas'!$C142,'Informacion del AEP'!$C$54:$C$72,0),MATCH('Pagos mayoristas'!$C$137,'Informacion del AEP'!$D$53:$N$53,0)))</f>
        <v>4.4000000000000004</v>
      </c>
      <c r="F142" s="142">
        <f>IF(C142="","",('Precios mayoristas'!$D$58*INDEX('Informacion del AEP'!$D$54:$N$72,MATCH('Pagos mayoristas'!$C142,'Informacion del AEP'!$C$54:$C$72,0),MATCH('Pagos mayoristas'!$C$137,'Informacion del AEP'!$D$53:$N$53,0))*INDEX('Informacion del AEP'!$D$113:$F$131,MATCH('Pagos mayoristas'!$C142,'Informacion del AEP'!$C$113:$C$131,0),2)))</f>
        <v>0</v>
      </c>
      <c r="H142" s="142">
        <f>IF(C142="","",(INDEX('Precios mayoristas'!$D$33:$E$51,MATCH('Pagos mayoristas'!$C142,'Precios mayoristas'!$C$33:$C$51,0),MATCH('Pagos mayoristas'!$H$10,'Precios mayoristas'!$D$32:$E$32,0)))*INDEX('Informacion del AEP'!$D$54:$N$72,MATCH('Pagos mayoristas'!$C142,'Informacion del AEP'!$C$54:$C$72,0),MATCH('Pagos mayoristas'!$C$137,'Informacion del AEP'!$D$53:$N$53,0)))</f>
        <v>0</v>
      </c>
    </row>
    <row r="143" spans="3:12" x14ac:dyDescent="0.2">
      <c r="C143" s="24" t="str">
        <f>IF(Supuestos!B62="","",Supuestos!B62)</f>
        <v>Originación voz fijo</v>
      </c>
      <c r="D143" s="142">
        <f>IF(C143="","",(INDEX('Precios mayoristas'!$D$33:$E$51,MATCH('Pagos mayoristas'!$C143,'Precios mayoristas'!$C$33:$C$51,0),MATCH('Pagos mayoristas'!$D$10,'Precios mayoristas'!$D$32:$E$32,0)))*INDEX('Informacion del AEP'!$D$54:$N$72,MATCH('Pagos mayoristas'!$C143,'Informacion del AEP'!$C$54:$C$72,0),MATCH('Pagos mayoristas'!$C$137,'Informacion del AEP'!$D$53:$N$53,0)))</f>
        <v>4.4000000000000004</v>
      </c>
      <c r="F143" s="142">
        <f>IF(C143="","",('Precios mayoristas'!$D$58*INDEX('Informacion del AEP'!$D$54:$N$72,MATCH('Pagos mayoristas'!$C143,'Informacion del AEP'!$C$54:$C$72,0),MATCH('Pagos mayoristas'!$C$137,'Informacion del AEP'!$D$53:$N$53,0))*INDEX('Informacion del AEP'!$D$113:$F$131,MATCH('Pagos mayoristas'!$C143,'Informacion del AEP'!$C$113:$C$131,0),2)))</f>
        <v>0</v>
      </c>
      <c r="H143" s="142">
        <f>IF(C143="","",(INDEX('Precios mayoristas'!$D$33:$E$51,MATCH('Pagos mayoristas'!$C143,'Precios mayoristas'!$C$33:$C$51,0),MATCH('Pagos mayoristas'!$H$10,'Precios mayoristas'!$D$32:$E$32,0)))*INDEX('Informacion del AEP'!$D$54:$N$72,MATCH('Pagos mayoristas'!$C143,'Informacion del AEP'!$C$54:$C$72,0),MATCH('Pagos mayoristas'!$C$137,'Informacion del AEP'!$D$53:$N$53,0)))</f>
        <v>7.4760000000000009</v>
      </c>
    </row>
    <row r="144" spans="3:12" x14ac:dyDescent="0.2">
      <c r="C144" s="24" t="str">
        <f>IF(Supuestos!B63="","",Supuestos!B63)</f>
        <v>Originación voz internacional USA-Canadá</v>
      </c>
      <c r="D144" s="142">
        <f>IF(C144="","",(INDEX('Precios mayoristas'!$D$33:$E$51,MATCH('Pagos mayoristas'!$C144,'Precios mayoristas'!$C$33:$C$51,0),MATCH('Pagos mayoristas'!$D$10,'Precios mayoristas'!$D$32:$E$32,0)))*INDEX('Informacion del AEP'!$D$54:$N$72,MATCH('Pagos mayoristas'!$C144,'Informacion del AEP'!$C$54:$C$72,0),MATCH('Pagos mayoristas'!$C$137,'Informacion del AEP'!$D$53:$N$53,0)))</f>
        <v>4.4000000000000004</v>
      </c>
      <c r="F144" s="142">
        <f>IF(C144="","",('Precios mayoristas'!$D$58*INDEX('Informacion del AEP'!$D$54:$N$72,MATCH('Pagos mayoristas'!$C144,'Informacion del AEP'!$C$54:$C$72,0),MATCH('Pagos mayoristas'!$C$137,'Informacion del AEP'!$D$53:$N$53,0))*INDEX('Informacion del AEP'!$D$113:$F$131,MATCH('Pagos mayoristas'!$C144,'Informacion del AEP'!$C$113:$C$131,0),2)))</f>
        <v>0</v>
      </c>
      <c r="H144" s="142">
        <f>IF(C144="","",(INDEX('Precios mayoristas'!$D$33:$E$51,MATCH('Pagos mayoristas'!$C144,'Precios mayoristas'!$C$33:$C$51,0),MATCH('Pagos mayoristas'!$H$10,'Precios mayoristas'!$D$32:$E$32,0)))*INDEX('Informacion del AEP'!$D$54:$N$72,MATCH('Pagos mayoristas'!$C144,'Informacion del AEP'!$C$54:$C$72,0),MATCH('Pagos mayoristas'!$C$137,'Informacion del AEP'!$D$53:$N$53,0)))</f>
        <v>0.12352</v>
      </c>
    </row>
    <row r="145" spans="3:12" x14ac:dyDescent="0.2">
      <c r="C145" s="24" t="str">
        <f>IF(Supuestos!B64="","",Supuestos!B64)</f>
        <v xml:space="preserve">Originación voz internacional Mundial </v>
      </c>
      <c r="D145" s="142">
        <f>IF(C145="","",(INDEX('Precios mayoristas'!$D$33:$E$51,MATCH('Pagos mayoristas'!$C145,'Precios mayoristas'!$C$33:$C$51,0),MATCH('Pagos mayoristas'!$D$10,'Precios mayoristas'!$D$32:$E$32,0)))*INDEX('Informacion del AEP'!$D$54:$N$72,MATCH('Pagos mayoristas'!$C145,'Informacion del AEP'!$C$54:$C$72,0),MATCH('Pagos mayoristas'!$C$137,'Informacion del AEP'!$D$53:$N$53,0)))</f>
        <v>4.4000000000000004</v>
      </c>
      <c r="F145" s="142">
        <f>IF(C145="","",('Precios mayoristas'!$D$58*INDEX('Informacion del AEP'!$D$54:$N$72,MATCH('Pagos mayoristas'!$C145,'Informacion del AEP'!$C$54:$C$72,0),MATCH('Pagos mayoristas'!$C$137,'Informacion del AEP'!$D$53:$N$53,0))*INDEX('Informacion del AEP'!$D$113:$F$131,MATCH('Pagos mayoristas'!$C145,'Informacion del AEP'!$C$113:$C$131,0),2)))</f>
        <v>0</v>
      </c>
      <c r="H145" s="142">
        <f>IF(C145="","",(INDEX('Precios mayoristas'!$D$33:$E$51,MATCH('Pagos mayoristas'!$C145,'Precios mayoristas'!$C$33:$C$51,0),MATCH('Pagos mayoristas'!$H$10,'Precios mayoristas'!$D$32:$E$32,0)))*INDEX('Informacion del AEP'!$D$54:$N$72,MATCH('Pagos mayoristas'!$C145,'Informacion del AEP'!$C$54:$C$72,0),MATCH('Pagos mayoristas'!$C$137,'Informacion del AEP'!$D$53:$N$53,0)))</f>
        <v>20</v>
      </c>
    </row>
    <row r="146" spans="3:12" x14ac:dyDescent="0.2">
      <c r="C146" s="24" t="str">
        <f>IF(Supuestos!B65="","",Supuestos!B65)</f>
        <v>Originación voz internacional Cuba</v>
      </c>
      <c r="D146" s="142">
        <f>IF(C146="","",(INDEX('Precios mayoristas'!$D$33:$E$51,MATCH('Pagos mayoristas'!$C146,'Precios mayoristas'!$C$33:$C$51,0),MATCH('Pagos mayoristas'!$D$10,'Precios mayoristas'!$D$32:$E$32,0)))*INDEX('Informacion del AEP'!$D$54:$N$72,MATCH('Pagos mayoristas'!$C146,'Informacion del AEP'!$C$54:$C$72,0),MATCH('Pagos mayoristas'!$C$137,'Informacion del AEP'!$D$53:$N$53,0)))</f>
        <v>4.4000000000000004</v>
      </c>
      <c r="F146" s="142">
        <f>IF(C146="","",('Precios mayoristas'!$D$58*INDEX('Informacion del AEP'!$D$54:$N$72,MATCH('Pagos mayoristas'!$C146,'Informacion del AEP'!$C$54:$C$72,0),MATCH('Pagos mayoristas'!$C$137,'Informacion del AEP'!$D$53:$N$53,0))*INDEX('Informacion del AEP'!$D$113:$F$131,MATCH('Pagos mayoristas'!$C146,'Informacion del AEP'!$C$113:$C$131,0),2)))</f>
        <v>0</v>
      </c>
      <c r="H146" s="142">
        <f>IF(C146="","",(INDEX('Precios mayoristas'!$D$33:$E$51,MATCH('Pagos mayoristas'!$C146,'Precios mayoristas'!$C$33:$C$51,0),MATCH('Pagos mayoristas'!$H$10,'Precios mayoristas'!$D$32:$E$32,0)))*INDEX('Informacion del AEP'!$D$54:$N$72,MATCH('Pagos mayoristas'!$C146,'Informacion del AEP'!$C$54:$C$72,0),MATCH('Pagos mayoristas'!$C$137,'Informacion del AEP'!$D$53:$N$53,0)))</f>
        <v>100</v>
      </c>
    </row>
    <row r="147" spans="3:12" x14ac:dyDescent="0.2">
      <c r="C147" s="24" t="str">
        <f>IF(Supuestos!B66="","",Supuestos!B66)</f>
        <v/>
      </c>
      <c r="D147" s="142" t="str">
        <f>IF(C147="","",(INDEX('Precios mayoristas'!$D$33:$E$51,MATCH('Pagos mayoristas'!$C147,'Precios mayoristas'!$C$33:$C$51,0),MATCH('Pagos mayoristas'!$D$10,'Precios mayoristas'!$D$32:$E$32,0)))*INDEX('Informacion del AEP'!$D$54:$N$72,MATCH('Pagos mayoristas'!$C147,'Informacion del AEP'!$C$54:$C$72,0),MATCH('Pagos mayoristas'!$C$137,'Informacion del AEP'!$D$53:$N$53,0)))</f>
        <v/>
      </c>
      <c r="F147" s="142" t="str">
        <f>IF(C147="","",('Precios mayoristas'!$D$58*INDEX('Informacion del AEP'!$D$54:$N$72,MATCH('Pagos mayoristas'!$C147,'Informacion del AEP'!$C$54:$C$72,0),MATCH('Pagos mayoristas'!$C$137,'Informacion del AEP'!$D$53:$N$53,0))*INDEX('Informacion del AEP'!$D$113:$F$131,MATCH('Pagos mayoristas'!$C147,'Informacion del AEP'!$C$113:$C$131,0),2)))</f>
        <v/>
      </c>
      <c r="H147" s="142" t="str">
        <f>IF(C147="","",(INDEX('Precios mayoristas'!$D$33:$E$51,MATCH('Pagos mayoristas'!$C147,'Precios mayoristas'!$C$33:$C$51,0),MATCH('Pagos mayoristas'!$H$10,'Precios mayoristas'!$D$32:$E$32,0)))*INDEX('Informacion del AEP'!$D$54:$N$72,MATCH('Pagos mayoristas'!$C147,'Informacion del AEP'!$C$54:$C$72,0),MATCH('Pagos mayoristas'!$C$137,'Informacion del AEP'!$D$53:$N$53,0)))</f>
        <v/>
      </c>
    </row>
    <row r="148" spans="3:12" x14ac:dyDescent="0.2">
      <c r="C148" s="24" t="str">
        <f>IF(Supuestos!B67="","",Supuestos!B67)</f>
        <v/>
      </c>
      <c r="D148" s="142" t="str">
        <f>IF(C148="","",(INDEX('Precios mayoristas'!$D$33:$E$51,MATCH('Pagos mayoristas'!$C148,'Precios mayoristas'!$C$33:$C$51,0),MATCH('Pagos mayoristas'!$D$10,'Precios mayoristas'!$D$32:$E$32,0)))*INDEX('Informacion del AEP'!$D$54:$N$72,MATCH('Pagos mayoristas'!$C148,'Informacion del AEP'!$C$54:$C$72,0),MATCH('Pagos mayoristas'!$C$137,'Informacion del AEP'!$D$53:$N$53,0)))</f>
        <v/>
      </c>
      <c r="F148" s="142" t="str">
        <f>IF(C148="","",('Precios mayoristas'!$D$58*INDEX('Informacion del AEP'!$D$54:$N$72,MATCH('Pagos mayoristas'!$C148,'Informacion del AEP'!$C$54:$C$72,0),MATCH('Pagos mayoristas'!$C$137,'Informacion del AEP'!$D$53:$N$53,0))*INDEX('Informacion del AEP'!$D$113:$F$131,MATCH('Pagos mayoristas'!$C148,'Informacion del AEP'!$C$113:$C$131,0),2)))</f>
        <v/>
      </c>
      <c r="H148" s="142" t="str">
        <f>IF(C148="","",(INDEX('Precios mayoristas'!$D$33:$E$51,MATCH('Pagos mayoristas'!$C148,'Precios mayoristas'!$C$33:$C$51,0),MATCH('Pagos mayoristas'!$H$10,'Precios mayoristas'!$D$32:$E$32,0)))*INDEX('Informacion del AEP'!$D$54:$N$72,MATCH('Pagos mayoristas'!$C148,'Informacion del AEP'!$C$54:$C$72,0),MATCH('Pagos mayoristas'!$C$137,'Informacion del AEP'!$D$53:$N$53,0)))</f>
        <v/>
      </c>
    </row>
    <row r="149" spans="3:12" x14ac:dyDescent="0.2">
      <c r="C149" s="24" t="str">
        <f>IF(Supuestos!B68="","",Supuestos!B68)</f>
        <v/>
      </c>
      <c r="D149" s="142" t="str">
        <f>IF(C149="","",(INDEX('Precios mayoristas'!$D$33:$E$51,MATCH('Pagos mayoristas'!$C149,'Precios mayoristas'!$C$33:$C$51,0),MATCH('Pagos mayoristas'!$D$10,'Precios mayoristas'!$D$32:$E$32,0)))*INDEX('Informacion del AEP'!$D$54:$N$72,MATCH('Pagos mayoristas'!$C149,'Informacion del AEP'!$C$54:$C$72,0),MATCH('Pagos mayoristas'!$C$137,'Informacion del AEP'!$D$53:$N$53,0)))</f>
        <v/>
      </c>
      <c r="F149" s="142" t="str">
        <f>IF(C149="","",('Precios mayoristas'!$D$58*INDEX('Informacion del AEP'!$D$54:$N$72,MATCH('Pagos mayoristas'!$C149,'Informacion del AEP'!$C$54:$C$72,0),MATCH('Pagos mayoristas'!$C$137,'Informacion del AEP'!$D$53:$N$53,0))*INDEX('Informacion del AEP'!$D$113:$F$131,MATCH('Pagos mayoristas'!$C149,'Informacion del AEP'!$C$113:$C$131,0),2)))</f>
        <v/>
      </c>
      <c r="H149" s="142" t="str">
        <f>IF(C149="","",(INDEX('Precios mayoristas'!$D$33:$E$51,MATCH('Pagos mayoristas'!$C149,'Precios mayoristas'!$C$33:$C$51,0),MATCH('Pagos mayoristas'!$H$10,'Precios mayoristas'!$D$32:$E$32,0)))*INDEX('Informacion del AEP'!$D$54:$N$72,MATCH('Pagos mayoristas'!$C149,'Informacion del AEP'!$C$54:$C$72,0),MATCH('Pagos mayoristas'!$C$137,'Informacion del AEP'!$D$53:$N$53,0)))</f>
        <v/>
      </c>
    </row>
    <row r="150" spans="3:12" x14ac:dyDescent="0.2">
      <c r="C150" s="24" t="str">
        <f>IF(Supuestos!B69="","",Supuestos!B69)</f>
        <v/>
      </c>
      <c r="D150" s="142" t="str">
        <f>IF(C150="","",(INDEX('Precios mayoristas'!$D$33:$E$51,MATCH('Pagos mayoristas'!$C150,'Precios mayoristas'!$C$33:$C$51,0),MATCH('Pagos mayoristas'!$D$10,'Precios mayoristas'!$D$32:$E$32,0)))*INDEX('Informacion del AEP'!$D$54:$N$72,MATCH('Pagos mayoristas'!$C150,'Informacion del AEP'!$C$54:$C$72,0),MATCH('Pagos mayoristas'!$C$137,'Informacion del AEP'!$D$53:$N$53,0)))</f>
        <v/>
      </c>
      <c r="F150" s="142" t="str">
        <f>IF(C150="","",('Precios mayoristas'!$D$58*INDEX('Informacion del AEP'!$D$54:$N$72,MATCH('Pagos mayoristas'!$C150,'Informacion del AEP'!$C$54:$C$72,0),MATCH('Pagos mayoristas'!$C$137,'Informacion del AEP'!$D$53:$N$53,0))*INDEX('Informacion del AEP'!$D$113:$F$131,MATCH('Pagos mayoristas'!$C150,'Informacion del AEP'!$C$113:$C$131,0),2)))</f>
        <v/>
      </c>
      <c r="H150" s="142" t="str">
        <f>IF(C150="","",(INDEX('Precios mayoristas'!$D$33:$E$51,MATCH('Pagos mayoristas'!$C150,'Precios mayoristas'!$C$33:$C$51,0),MATCH('Pagos mayoristas'!$H$10,'Precios mayoristas'!$D$32:$E$32,0)))*INDEX('Informacion del AEP'!$D$54:$N$72,MATCH('Pagos mayoristas'!$C150,'Informacion del AEP'!$C$54:$C$72,0),MATCH('Pagos mayoristas'!$C$137,'Informacion del AEP'!$D$53:$N$53,0)))</f>
        <v/>
      </c>
    </row>
    <row r="151" spans="3:12" x14ac:dyDescent="0.2">
      <c r="C151" s="24" t="str">
        <f>IF(Supuestos!B70="","",Supuestos!B70)</f>
        <v/>
      </c>
      <c r="D151" s="142" t="str">
        <f>IF(C151="","",(INDEX('Precios mayoristas'!$D$33:$E$51,MATCH('Pagos mayoristas'!$C151,'Precios mayoristas'!$C$33:$C$51,0),MATCH('Pagos mayoristas'!$D$10,'Precios mayoristas'!$D$32:$E$32,0)))*INDEX('Informacion del AEP'!$D$54:$N$72,MATCH('Pagos mayoristas'!$C151,'Informacion del AEP'!$C$54:$C$72,0),MATCH('Pagos mayoristas'!$C$137,'Informacion del AEP'!$D$53:$N$53,0)))</f>
        <v/>
      </c>
      <c r="F151" s="142" t="str">
        <f>IF(C151="","",('Precios mayoristas'!$D$58*INDEX('Informacion del AEP'!$D$54:$N$72,MATCH('Pagos mayoristas'!$C151,'Informacion del AEP'!$C$54:$C$72,0),MATCH('Pagos mayoristas'!$C$137,'Informacion del AEP'!$D$53:$N$53,0))*INDEX('Informacion del AEP'!$D$113:$F$131,MATCH('Pagos mayoristas'!$C151,'Informacion del AEP'!$C$113:$C$131,0),2)))</f>
        <v/>
      </c>
      <c r="H151" s="142" t="str">
        <f>IF(C151="","",(INDEX('Precios mayoristas'!$D$33:$E$51,MATCH('Pagos mayoristas'!$C151,'Precios mayoristas'!$C$33:$C$51,0),MATCH('Pagos mayoristas'!$H$10,'Precios mayoristas'!$D$32:$E$32,0)))*INDEX('Informacion del AEP'!$D$54:$N$72,MATCH('Pagos mayoristas'!$C151,'Informacion del AEP'!$C$54:$C$72,0),MATCH('Pagos mayoristas'!$C$137,'Informacion del AEP'!$D$53:$N$53,0)))</f>
        <v/>
      </c>
    </row>
    <row r="152" spans="3:12" x14ac:dyDescent="0.2">
      <c r="C152" s="24" t="str">
        <f>IF(Supuestos!B71="","",Supuestos!B71)</f>
        <v>Originación SMS OMV</v>
      </c>
      <c r="D152" s="142">
        <f>IF(C152="","",(INDEX('Precios mayoristas'!$D$33:$E$51,MATCH('Pagos mayoristas'!$C152,'Precios mayoristas'!$C$33:$C$51,0),MATCH('Pagos mayoristas'!$D$10,'Precios mayoristas'!$D$32:$E$32,0)))*INDEX('Informacion del AEP'!$D$54:$N$72,MATCH('Pagos mayoristas'!$C152,'Informacion del AEP'!$C$54:$C$72,0),MATCH('Pagos mayoristas'!$C$137,'Informacion del AEP'!$D$53:$N$53,0)))</f>
        <v>4.4000000000000004</v>
      </c>
      <c r="F152" s="142">
        <f>IF(C152="","",('Precios mayoristas'!$D$58*INDEX('Informacion del AEP'!$D$54:$N$72,MATCH('Pagos mayoristas'!$C152,'Informacion del AEP'!$C$54:$C$72,0),MATCH('Pagos mayoristas'!$C$137,'Informacion del AEP'!$D$53:$N$53,0))*INDEX('Informacion del AEP'!$D$113:$F$131,MATCH('Pagos mayoristas'!$C152,'Informacion del AEP'!$C$113:$C$131,0),2)))</f>
        <v>0</v>
      </c>
      <c r="H152" s="142">
        <f>IF(C152="","",(INDEX('Precios mayoristas'!$D$33:$E$51,MATCH('Pagos mayoristas'!$C152,'Precios mayoristas'!$C$33:$C$51,0),MATCH('Pagos mayoristas'!$H$10,'Precios mayoristas'!$D$32:$E$32,0)))*INDEX('Informacion del AEP'!$D$54:$N$72,MATCH('Pagos mayoristas'!$C152,'Informacion del AEP'!$C$54:$C$72,0),MATCH('Pagos mayoristas'!$C$137,'Informacion del AEP'!$D$53:$N$53,0)))</f>
        <v>0</v>
      </c>
    </row>
    <row r="153" spans="3:12" x14ac:dyDescent="0.2">
      <c r="C153" s="24" t="str">
        <f>IF(Supuestos!B72="","",Supuestos!B72)</f>
        <v>Originación SMS on-net</v>
      </c>
      <c r="D153" s="142">
        <f>IF(C153="","",(INDEX('Precios mayoristas'!$D$33:$E$51,MATCH('Pagos mayoristas'!$C153,'Precios mayoristas'!$C$33:$C$51,0),MATCH('Pagos mayoristas'!$D$10,'Precios mayoristas'!$D$32:$E$32,0)))*INDEX('Informacion del AEP'!$D$54:$N$72,MATCH('Pagos mayoristas'!$C153,'Informacion del AEP'!$C$54:$C$72,0),MATCH('Pagos mayoristas'!$C$137,'Informacion del AEP'!$D$53:$N$53,0)))</f>
        <v>4.4000000000000004</v>
      </c>
      <c r="F153" s="142">
        <f>IF(C153="","",('Precios mayoristas'!$D$58*INDEX('Informacion del AEP'!$D$54:$N$72,MATCH('Pagos mayoristas'!$C153,'Informacion del AEP'!$C$54:$C$72,0),MATCH('Pagos mayoristas'!$C$137,'Informacion del AEP'!$D$53:$N$53,0))*INDEX('Informacion del AEP'!$D$113:$F$131,MATCH('Pagos mayoristas'!$C153,'Informacion del AEP'!$C$113:$C$131,0),2)))</f>
        <v>0</v>
      </c>
      <c r="H153" s="142">
        <f>IF(C153="","",(INDEX('Precios mayoristas'!$D$33:$E$51,MATCH('Pagos mayoristas'!$C153,'Precios mayoristas'!$C$33:$C$51,0),MATCH('Pagos mayoristas'!$H$10,'Precios mayoristas'!$D$32:$E$32,0)))*INDEX('Informacion del AEP'!$D$54:$N$72,MATCH('Pagos mayoristas'!$C153,'Informacion del AEP'!$C$54:$C$72,0),MATCH('Pagos mayoristas'!$C$137,'Informacion del AEP'!$D$53:$N$53,0)))</f>
        <v>0.69419999999999993</v>
      </c>
    </row>
    <row r="154" spans="3:12" x14ac:dyDescent="0.2">
      <c r="C154" s="24" t="str">
        <f>IF(Supuestos!B73="","",Supuestos!B73)</f>
        <v>Originación SMS off-net</v>
      </c>
      <c r="D154" s="142">
        <f>IF(C154="","",(INDEX('Precios mayoristas'!$D$33:$E$51,MATCH('Pagos mayoristas'!$C154,'Precios mayoristas'!$C$33:$C$51,0),MATCH('Pagos mayoristas'!$D$10,'Precios mayoristas'!$D$32:$E$32,0)))*INDEX('Informacion del AEP'!$D$54:$N$72,MATCH('Pagos mayoristas'!$C154,'Informacion del AEP'!$C$54:$C$72,0),MATCH('Pagos mayoristas'!$C$137,'Informacion del AEP'!$D$53:$N$53,0)))</f>
        <v>4.4000000000000004</v>
      </c>
      <c r="F154" s="142">
        <f>IF(C154="","",('Precios mayoristas'!$D$58*INDEX('Informacion del AEP'!$D$54:$N$72,MATCH('Pagos mayoristas'!$C154,'Informacion del AEP'!$C$54:$C$72,0),MATCH('Pagos mayoristas'!$C$137,'Informacion del AEP'!$D$53:$N$53,0))*INDEX('Informacion del AEP'!$D$113:$F$131,MATCH('Pagos mayoristas'!$C154,'Informacion del AEP'!$C$113:$C$131,0),2)))</f>
        <v>0</v>
      </c>
      <c r="H154" s="142">
        <f>IF(C154="","",(INDEX('Precios mayoristas'!$D$33:$E$51,MATCH('Pagos mayoristas'!$C154,'Precios mayoristas'!$C$33:$C$51,0),MATCH('Pagos mayoristas'!$H$10,'Precios mayoristas'!$D$32:$E$32,0)))*INDEX('Informacion del AEP'!$D$54:$N$72,MATCH('Pagos mayoristas'!$C154,'Informacion del AEP'!$C$54:$C$72,0),MATCH('Pagos mayoristas'!$C$137,'Informacion del AEP'!$D$53:$N$53,0)))</f>
        <v>20</v>
      </c>
    </row>
    <row r="155" spans="3:12" x14ac:dyDescent="0.2">
      <c r="C155" s="24" t="str">
        <f>IF(Supuestos!B74="","",Supuestos!B74)</f>
        <v>Originación SMS otros servicios (SVA)</v>
      </c>
      <c r="D155" s="142">
        <f>IF(C155="","",(INDEX('Precios mayoristas'!$D$33:$E$51,MATCH('Pagos mayoristas'!$C155,'Precios mayoristas'!$C$33:$C$51,0),MATCH('Pagos mayoristas'!$D$10,'Precios mayoristas'!$D$32:$E$32,0)))*INDEX('Informacion del AEP'!$D$54:$N$72,MATCH('Pagos mayoristas'!$C155,'Informacion del AEP'!$C$54:$C$72,0),MATCH('Pagos mayoristas'!$C$137,'Informacion del AEP'!$D$53:$N$53,0)))</f>
        <v>4.4000000000000004</v>
      </c>
      <c r="F155" s="142">
        <f>IF(C155="","",('Precios mayoristas'!$D$58*INDEX('Informacion del AEP'!$D$54:$N$72,MATCH('Pagos mayoristas'!$C155,'Informacion del AEP'!$C$54:$C$72,0),MATCH('Pagos mayoristas'!$C$137,'Informacion del AEP'!$D$53:$N$53,0))*INDEX('Informacion del AEP'!$D$113:$F$131,MATCH('Pagos mayoristas'!$C155,'Informacion del AEP'!$C$113:$C$131,0),2)))</f>
        <v>0</v>
      </c>
      <c r="H155" s="142">
        <f>IF(C155="","",(INDEX('Precios mayoristas'!$D$33:$E$51,MATCH('Pagos mayoristas'!$C155,'Precios mayoristas'!$C$33:$C$51,0),MATCH('Pagos mayoristas'!$H$10,'Precios mayoristas'!$D$32:$E$32,0)))*INDEX('Informacion del AEP'!$D$54:$N$72,MATCH('Pagos mayoristas'!$C155,'Informacion del AEP'!$C$54:$C$72,0),MATCH('Pagos mayoristas'!$C$137,'Informacion del AEP'!$D$53:$N$53,0)))</f>
        <v>30</v>
      </c>
    </row>
    <row r="156" spans="3:12" x14ac:dyDescent="0.2">
      <c r="C156" s="24" t="str">
        <f>IF(Supuestos!B75="","",Supuestos!B75)</f>
        <v>Otros servicios (incluyendo marcaciones especiales)</v>
      </c>
      <c r="D156" s="142">
        <f>IF(C156="","",(INDEX('Precios mayoristas'!$D$33:$E$51,MATCH('Pagos mayoristas'!$C156,'Precios mayoristas'!$C$33:$C$51,0),MATCH('Pagos mayoristas'!$D$10,'Precios mayoristas'!$D$32:$E$32,0)))*INDEX('Informacion del AEP'!$D$54:$N$72,MATCH('Pagos mayoristas'!$C156,'Informacion del AEP'!$C$54:$C$72,0),MATCH('Pagos mayoristas'!$C$137,'Informacion del AEP'!$D$53:$N$53,0)))</f>
        <v>4.4000000000000004</v>
      </c>
      <c r="F156" s="142">
        <f>IF(C156="","",('Precios mayoristas'!$D$58*INDEX('Informacion del AEP'!$D$54:$N$72,MATCH('Pagos mayoristas'!$C156,'Informacion del AEP'!$C$54:$C$72,0),MATCH('Pagos mayoristas'!$C$137,'Informacion del AEP'!$D$53:$N$53,0))*INDEX('Informacion del AEP'!$D$113:$F$131,MATCH('Pagos mayoristas'!$C156,'Informacion del AEP'!$C$113:$C$131,0),2)))</f>
        <v>0</v>
      </c>
      <c r="H156" s="142">
        <f>IF(C156="","",(INDEX('Precios mayoristas'!$D$33:$E$51,MATCH('Pagos mayoristas'!$C156,'Precios mayoristas'!$C$33:$C$51,0),MATCH('Pagos mayoristas'!$H$10,'Precios mayoristas'!$D$32:$E$32,0)))*INDEX('Informacion del AEP'!$D$54:$N$72,MATCH('Pagos mayoristas'!$C156,'Informacion del AEP'!$C$54:$C$72,0),MATCH('Pagos mayoristas'!$C$137,'Informacion del AEP'!$D$53:$N$53,0)))</f>
        <v>0</v>
      </c>
    </row>
    <row r="158" spans="3:12" x14ac:dyDescent="0.2">
      <c r="C158" s="135" t="str">
        <f>Supuestos!$B$91</f>
        <v>Oferta 5</v>
      </c>
      <c r="D158" s="141">
        <f>SUM(D159:D177)</f>
        <v>61.999999999999986</v>
      </c>
      <c r="E158" s="136"/>
      <c r="F158" s="141">
        <f>SUM(F159:F177)</f>
        <v>0</v>
      </c>
      <c r="G158" s="136"/>
      <c r="H158" s="141">
        <f>SUM(H159:H177)</f>
        <v>185.89323999999999</v>
      </c>
      <c r="I158" s="136"/>
      <c r="J158" s="141">
        <f>(IF(Supuestos!$C$22&lt;'Precios mayoristas'!$D$25,'Precios mayoristas'!$D$22*'Informacion del AEP'!$H$44,'Precios mayoristas'!$E$22*'Informacion del AEP'!$H$44)+IF(Supuestos!$C$22&lt;'Precios mayoristas'!$D$25,'Precios mayoristas'!$D$24*'Informacion del AEP'!$H$45,'Precios mayoristas'!$E$24*'Informacion del AEP'!$H$45))*Supuestos!$C$7</f>
        <v>4802010</v>
      </c>
      <c r="K158" s="141"/>
      <c r="L158" s="141">
        <f>$L$11*('Informacion del AEP'!$M$12/'Informacion del AEP'!$F$12)</f>
        <v>833.33333333333337</v>
      </c>
    </row>
    <row r="159" spans="3:12" x14ac:dyDescent="0.2">
      <c r="C159" s="24" t="str">
        <f>IF(Supuestos!B57="","",Supuestos!B57)</f>
        <v>Datos</v>
      </c>
      <c r="D159" s="142">
        <f>IF(C159="","",(INDEX('Precios mayoristas'!$D$33:$E$51,MATCH('Pagos mayoristas'!$C159,'Precios mayoristas'!$C$33:$C$51,0),MATCH('Pagos mayoristas'!$D$10,'Precios mayoristas'!$D$32:$E$32,0)))*INDEX('Informacion del AEP'!$D$54:$N$72,MATCH('Pagos mayoristas'!$C159,'Informacion del AEP'!$C$54:$C$72,0),MATCH('Pagos mayoristas'!$C$158,'Informacion del AEP'!$D$53:$N$53,0)))</f>
        <v>4.8</v>
      </c>
      <c r="F159" s="142">
        <f>IF(C159="","",('Precios mayoristas'!$D$58*INDEX('Informacion del AEP'!$D$54:$N$72,MATCH('Pagos mayoristas'!$C159,'Informacion del AEP'!$C$54:$C$72,0),MATCH('Pagos mayoristas'!$C$158,'Informacion del AEP'!$D$53:$N$53,0))*INDEX('Informacion del AEP'!$D$113:$F$131,MATCH('Pagos mayoristas'!$C159,'Informacion del AEP'!$C$113:$C$131,0),2)))</f>
        <v>0</v>
      </c>
      <c r="H159" s="142">
        <f>IF(C159="","",(INDEX('Precios mayoristas'!$D$33:$E$51,MATCH('Pagos mayoristas'!$C159,'Precios mayoristas'!$C$33:$C$51,0),MATCH('Pagos mayoristas'!$H$10,'Precios mayoristas'!$D$32:$E$32,0)))*INDEX('Informacion del AEP'!$D$54:$N$72,MATCH('Pagos mayoristas'!$C159,'Informacion del AEP'!$C$54:$C$72,0),MATCH('Pagos mayoristas'!$C$158,'Informacion del AEP'!$D$53:$N$53,0)))</f>
        <v>0</v>
      </c>
    </row>
    <row r="160" spans="3:12" x14ac:dyDescent="0.2">
      <c r="C160" s="24" t="str">
        <f>IF(Supuestos!B58="","",Supuestos!B58)</f>
        <v>Originación voz mismo OMV</v>
      </c>
      <c r="D160" s="142">
        <f>IF(C160="","",(INDEX('Precios mayoristas'!$D$33:$E$51,MATCH('Pagos mayoristas'!$C160,'Precios mayoristas'!$C$33:$C$51,0),MATCH('Pagos mayoristas'!$D$10,'Precios mayoristas'!$D$32:$E$32,0)))*INDEX('Informacion del AEP'!$D$54:$N$72,MATCH('Pagos mayoristas'!$C160,'Informacion del AEP'!$C$54:$C$72,0),MATCH('Pagos mayoristas'!$C$158,'Informacion del AEP'!$D$53:$N$53,0)))</f>
        <v>4.4000000000000004</v>
      </c>
      <c r="F160" s="142">
        <f>IF(C160="","",('Precios mayoristas'!$D$58*INDEX('Informacion del AEP'!$D$54:$N$72,MATCH('Pagos mayoristas'!$C160,'Informacion del AEP'!$C$54:$C$72,0),MATCH('Pagos mayoristas'!$C$158,'Informacion del AEP'!$D$53:$N$53,0))*INDEX('Informacion del AEP'!$D$113:$F$131,MATCH('Pagos mayoristas'!$C160,'Informacion del AEP'!$C$113:$C$131,0),2)))</f>
        <v>0</v>
      </c>
      <c r="H160" s="142">
        <f>IF(C160="","",(INDEX('Precios mayoristas'!$D$33:$E$51,MATCH('Pagos mayoristas'!$C160,'Precios mayoristas'!$C$33:$C$51,0),MATCH('Pagos mayoristas'!$H$10,'Precios mayoristas'!$D$32:$E$32,0)))*INDEX('Informacion del AEP'!$D$54:$N$72,MATCH('Pagos mayoristas'!$C160,'Informacion del AEP'!$C$54:$C$72,0),MATCH('Pagos mayoristas'!$C$158,'Informacion del AEP'!$D$53:$N$53,0)))</f>
        <v>0</v>
      </c>
    </row>
    <row r="161" spans="3:8" x14ac:dyDescent="0.2">
      <c r="C161" s="24" t="str">
        <f>IF(Supuestos!B59="","",Supuestos!B59)</f>
        <v>Originación voz on-net otro OMV</v>
      </c>
      <c r="D161" s="142">
        <f>IF(C161="","",(INDEX('Precios mayoristas'!$D$33:$E$51,MATCH('Pagos mayoristas'!$C161,'Precios mayoristas'!$C$33:$C$51,0),MATCH('Pagos mayoristas'!$D$10,'Precios mayoristas'!$D$32:$E$32,0)))*INDEX('Informacion del AEP'!$D$54:$N$72,MATCH('Pagos mayoristas'!$C161,'Informacion del AEP'!$C$54:$C$72,0),MATCH('Pagos mayoristas'!$C$158,'Informacion del AEP'!$D$53:$N$53,0)))</f>
        <v>4.4000000000000004</v>
      </c>
      <c r="F161" s="142">
        <f>IF(C161="","",('Precios mayoristas'!$D$58*INDEX('Informacion del AEP'!$D$54:$N$72,MATCH('Pagos mayoristas'!$C161,'Informacion del AEP'!$C$54:$C$72,0),MATCH('Pagos mayoristas'!$C$158,'Informacion del AEP'!$D$53:$N$53,0))*INDEX('Informacion del AEP'!$D$113:$F$131,MATCH('Pagos mayoristas'!$C161,'Informacion del AEP'!$C$113:$C$131,0),2)))</f>
        <v>0</v>
      </c>
      <c r="H161" s="142">
        <f>IF(C161="","",(INDEX('Precios mayoristas'!$D$33:$E$51,MATCH('Pagos mayoristas'!$C161,'Precios mayoristas'!$C$33:$C$51,0),MATCH('Pagos mayoristas'!$H$10,'Precios mayoristas'!$D$32:$E$32,0)))*INDEX('Informacion del AEP'!$D$54:$N$72,MATCH('Pagos mayoristas'!$C161,'Informacion del AEP'!$C$54:$C$72,0),MATCH('Pagos mayoristas'!$C$158,'Informacion del AEP'!$D$53:$N$53,0)))</f>
        <v>7.4760000000000009</v>
      </c>
    </row>
    <row r="162" spans="3:8" x14ac:dyDescent="0.2">
      <c r="C162" s="24" t="str">
        <f>IF(Supuestos!B60="","",Supuestos!B60)</f>
        <v>Originación voz on-net</v>
      </c>
      <c r="D162" s="142">
        <f>IF(C162="","",(INDEX('Precios mayoristas'!$D$33:$E$51,MATCH('Pagos mayoristas'!$C162,'Precios mayoristas'!$C$33:$C$51,0),MATCH('Pagos mayoristas'!$D$10,'Precios mayoristas'!$D$32:$E$32,0)))*INDEX('Informacion del AEP'!$D$54:$N$72,MATCH('Pagos mayoristas'!$C162,'Informacion del AEP'!$C$54:$C$72,0),MATCH('Pagos mayoristas'!$C$158,'Informacion del AEP'!$D$53:$N$53,0)))</f>
        <v>4.4000000000000004</v>
      </c>
      <c r="F162" s="142">
        <f>IF(C162="","",('Precios mayoristas'!$D$58*INDEX('Informacion del AEP'!$D$54:$N$72,MATCH('Pagos mayoristas'!$C162,'Informacion del AEP'!$C$54:$C$72,0),MATCH('Pagos mayoristas'!$C$158,'Informacion del AEP'!$D$53:$N$53,0))*INDEX('Informacion del AEP'!$D$113:$F$131,MATCH('Pagos mayoristas'!$C162,'Informacion del AEP'!$C$113:$C$131,0),2)))</f>
        <v>0</v>
      </c>
      <c r="H162" s="142">
        <f>IF(C162="","",(INDEX('Precios mayoristas'!$D$33:$E$51,MATCH('Pagos mayoristas'!$C162,'Precios mayoristas'!$C$33:$C$51,0),MATCH('Pagos mayoristas'!$H$10,'Precios mayoristas'!$D$32:$E$32,0)))*INDEX('Informacion del AEP'!$D$54:$N$72,MATCH('Pagos mayoristas'!$C162,'Informacion del AEP'!$C$54:$C$72,0),MATCH('Pagos mayoristas'!$C$158,'Informacion del AEP'!$D$53:$N$53,0)))</f>
        <v>0.12352</v>
      </c>
    </row>
    <row r="163" spans="3:8" x14ac:dyDescent="0.2">
      <c r="C163" s="24" t="str">
        <f>IF(Supuestos!B61="","",Supuestos!B61)</f>
        <v>Originación voz off-net móvil</v>
      </c>
      <c r="D163" s="142">
        <f>IF(C163="","",(INDEX('Precios mayoristas'!$D$33:$E$51,MATCH('Pagos mayoristas'!$C163,'Precios mayoristas'!$C$33:$C$51,0),MATCH('Pagos mayoristas'!$D$10,'Precios mayoristas'!$D$32:$E$32,0)))*INDEX('Informacion del AEP'!$D$54:$N$72,MATCH('Pagos mayoristas'!$C163,'Informacion del AEP'!$C$54:$C$72,0),MATCH('Pagos mayoristas'!$C$158,'Informacion del AEP'!$D$53:$N$53,0)))</f>
        <v>4.4000000000000004</v>
      </c>
      <c r="F163" s="142">
        <f>IF(C163="","",('Precios mayoristas'!$D$58*INDEX('Informacion del AEP'!$D$54:$N$72,MATCH('Pagos mayoristas'!$C163,'Informacion del AEP'!$C$54:$C$72,0),MATCH('Pagos mayoristas'!$C$158,'Informacion del AEP'!$D$53:$N$53,0))*INDEX('Informacion del AEP'!$D$113:$F$131,MATCH('Pagos mayoristas'!$C163,'Informacion del AEP'!$C$113:$C$131,0),2)))</f>
        <v>0</v>
      </c>
      <c r="H163" s="142">
        <f>IF(C163="","",(INDEX('Precios mayoristas'!$D$33:$E$51,MATCH('Pagos mayoristas'!$C163,'Precios mayoristas'!$C$33:$C$51,0),MATCH('Pagos mayoristas'!$H$10,'Precios mayoristas'!$D$32:$E$32,0)))*INDEX('Informacion del AEP'!$D$54:$N$72,MATCH('Pagos mayoristas'!$C163,'Informacion del AEP'!$C$54:$C$72,0),MATCH('Pagos mayoristas'!$C$158,'Informacion del AEP'!$D$53:$N$53,0)))</f>
        <v>0</v>
      </c>
    </row>
    <row r="164" spans="3:8" x14ac:dyDescent="0.2">
      <c r="C164" s="24" t="str">
        <f>IF(Supuestos!B62="","",Supuestos!B62)</f>
        <v>Originación voz fijo</v>
      </c>
      <c r="D164" s="142">
        <f>IF(C164="","",(INDEX('Precios mayoristas'!$D$33:$E$51,MATCH('Pagos mayoristas'!$C164,'Precios mayoristas'!$C$33:$C$51,0),MATCH('Pagos mayoristas'!$D$10,'Precios mayoristas'!$D$32:$E$32,0)))*INDEX('Informacion del AEP'!$D$54:$N$72,MATCH('Pagos mayoristas'!$C164,'Informacion del AEP'!$C$54:$C$72,0),MATCH('Pagos mayoristas'!$C$158,'Informacion del AEP'!$D$53:$N$53,0)))</f>
        <v>4.4000000000000004</v>
      </c>
      <c r="F164" s="142">
        <f>IF(C164="","",('Precios mayoristas'!$D$58*INDEX('Informacion del AEP'!$D$54:$N$72,MATCH('Pagos mayoristas'!$C164,'Informacion del AEP'!$C$54:$C$72,0),MATCH('Pagos mayoristas'!$C$158,'Informacion del AEP'!$D$53:$N$53,0))*INDEX('Informacion del AEP'!$D$113:$F$131,MATCH('Pagos mayoristas'!$C164,'Informacion del AEP'!$C$113:$C$131,0),2)))</f>
        <v>0</v>
      </c>
      <c r="H164" s="142">
        <f>IF(C164="","",(INDEX('Precios mayoristas'!$D$33:$E$51,MATCH('Pagos mayoristas'!$C164,'Precios mayoristas'!$C$33:$C$51,0),MATCH('Pagos mayoristas'!$H$10,'Precios mayoristas'!$D$32:$E$32,0)))*INDEX('Informacion del AEP'!$D$54:$N$72,MATCH('Pagos mayoristas'!$C164,'Informacion del AEP'!$C$54:$C$72,0),MATCH('Pagos mayoristas'!$C$158,'Informacion del AEP'!$D$53:$N$53,0)))</f>
        <v>7.4760000000000009</v>
      </c>
    </row>
    <row r="165" spans="3:8" x14ac:dyDescent="0.2">
      <c r="C165" s="24" t="str">
        <f>IF(Supuestos!B63="","",Supuestos!B63)</f>
        <v>Originación voz internacional USA-Canadá</v>
      </c>
      <c r="D165" s="142">
        <f>IF(C165="","",(INDEX('Precios mayoristas'!$D$33:$E$51,MATCH('Pagos mayoristas'!$C165,'Precios mayoristas'!$C$33:$C$51,0),MATCH('Pagos mayoristas'!$D$10,'Precios mayoristas'!$D$32:$E$32,0)))*INDEX('Informacion del AEP'!$D$54:$N$72,MATCH('Pagos mayoristas'!$C165,'Informacion del AEP'!$C$54:$C$72,0),MATCH('Pagos mayoristas'!$C$158,'Informacion del AEP'!$D$53:$N$53,0)))</f>
        <v>4.4000000000000004</v>
      </c>
      <c r="F165" s="142">
        <f>IF(C165="","",('Precios mayoristas'!$D$58*INDEX('Informacion del AEP'!$D$54:$N$72,MATCH('Pagos mayoristas'!$C165,'Informacion del AEP'!$C$54:$C$72,0),MATCH('Pagos mayoristas'!$C$158,'Informacion del AEP'!$D$53:$N$53,0))*INDEX('Informacion del AEP'!$D$113:$F$131,MATCH('Pagos mayoristas'!$C165,'Informacion del AEP'!$C$113:$C$131,0),2)))</f>
        <v>0</v>
      </c>
      <c r="H165" s="142">
        <f>IF(C165="","",(INDEX('Precios mayoristas'!$D$33:$E$51,MATCH('Pagos mayoristas'!$C165,'Precios mayoristas'!$C$33:$C$51,0),MATCH('Pagos mayoristas'!$H$10,'Precios mayoristas'!$D$32:$E$32,0)))*INDEX('Informacion del AEP'!$D$54:$N$72,MATCH('Pagos mayoristas'!$C165,'Informacion del AEP'!$C$54:$C$72,0),MATCH('Pagos mayoristas'!$C$158,'Informacion del AEP'!$D$53:$N$53,0)))</f>
        <v>0.12352</v>
      </c>
    </row>
    <row r="166" spans="3:8" x14ac:dyDescent="0.2">
      <c r="C166" s="24" t="str">
        <f>IF(Supuestos!B64="","",Supuestos!B64)</f>
        <v xml:space="preserve">Originación voz internacional Mundial </v>
      </c>
      <c r="D166" s="142">
        <f>IF(C166="","",(INDEX('Precios mayoristas'!$D$33:$E$51,MATCH('Pagos mayoristas'!$C166,'Precios mayoristas'!$C$33:$C$51,0),MATCH('Pagos mayoristas'!$D$10,'Precios mayoristas'!$D$32:$E$32,0)))*INDEX('Informacion del AEP'!$D$54:$N$72,MATCH('Pagos mayoristas'!$C166,'Informacion del AEP'!$C$54:$C$72,0),MATCH('Pagos mayoristas'!$C$158,'Informacion del AEP'!$D$53:$N$53,0)))</f>
        <v>4.4000000000000004</v>
      </c>
      <c r="F166" s="142">
        <f>IF(C166="","",('Precios mayoristas'!$D$58*INDEX('Informacion del AEP'!$D$54:$N$72,MATCH('Pagos mayoristas'!$C166,'Informacion del AEP'!$C$54:$C$72,0),MATCH('Pagos mayoristas'!$C$158,'Informacion del AEP'!$D$53:$N$53,0))*INDEX('Informacion del AEP'!$D$113:$F$131,MATCH('Pagos mayoristas'!$C166,'Informacion del AEP'!$C$113:$C$131,0),2)))</f>
        <v>0</v>
      </c>
      <c r="H166" s="142">
        <f>IF(C166="","",(INDEX('Precios mayoristas'!$D$33:$E$51,MATCH('Pagos mayoristas'!$C166,'Precios mayoristas'!$C$33:$C$51,0),MATCH('Pagos mayoristas'!$H$10,'Precios mayoristas'!$D$32:$E$32,0)))*INDEX('Informacion del AEP'!$D$54:$N$72,MATCH('Pagos mayoristas'!$C166,'Informacion del AEP'!$C$54:$C$72,0),MATCH('Pagos mayoristas'!$C$158,'Informacion del AEP'!$D$53:$N$53,0)))</f>
        <v>20</v>
      </c>
    </row>
    <row r="167" spans="3:8" x14ac:dyDescent="0.2">
      <c r="C167" s="24" t="str">
        <f>IF(Supuestos!B65="","",Supuestos!B65)</f>
        <v>Originación voz internacional Cuba</v>
      </c>
      <c r="D167" s="142">
        <f>IF(C167="","",(INDEX('Precios mayoristas'!$D$33:$E$51,MATCH('Pagos mayoristas'!$C167,'Precios mayoristas'!$C$33:$C$51,0),MATCH('Pagos mayoristas'!$D$10,'Precios mayoristas'!$D$32:$E$32,0)))*INDEX('Informacion del AEP'!$D$54:$N$72,MATCH('Pagos mayoristas'!$C167,'Informacion del AEP'!$C$54:$C$72,0),MATCH('Pagos mayoristas'!$C$158,'Informacion del AEP'!$D$53:$N$53,0)))</f>
        <v>4.4000000000000004</v>
      </c>
      <c r="F167" s="142">
        <f>IF(C167="","",('Precios mayoristas'!$D$58*INDEX('Informacion del AEP'!$D$54:$N$72,MATCH('Pagos mayoristas'!$C167,'Informacion del AEP'!$C$54:$C$72,0),MATCH('Pagos mayoristas'!$C$158,'Informacion del AEP'!$D$53:$N$53,0))*INDEX('Informacion del AEP'!$D$113:$F$131,MATCH('Pagos mayoristas'!$C167,'Informacion del AEP'!$C$113:$C$131,0),2)))</f>
        <v>0</v>
      </c>
      <c r="H167" s="142">
        <f>IF(C167="","",(INDEX('Precios mayoristas'!$D$33:$E$51,MATCH('Pagos mayoristas'!$C167,'Precios mayoristas'!$C$33:$C$51,0),MATCH('Pagos mayoristas'!$H$10,'Precios mayoristas'!$D$32:$E$32,0)))*INDEX('Informacion del AEP'!$D$54:$N$72,MATCH('Pagos mayoristas'!$C167,'Informacion del AEP'!$C$54:$C$72,0),MATCH('Pagos mayoristas'!$C$158,'Informacion del AEP'!$D$53:$N$53,0)))</f>
        <v>100</v>
      </c>
    </row>
    <row r="168" spans="3:8" x14ac:dyDescent="0.2">
      <c r="C168" s="24" t="str">
        <f>IF(Supuestos!B66="","",Supuestos!B66)</f>
        <v/>
      </c>
      <c r="D168" s="142" t="str">
        <f>IF(C168="","",(INDEX('Precios mayoristas'!$D$33:$E$51,MATCH('Pagos mayoristas'!$C168,'Precios mayoristas'!$C$33:$C$51,0),MATCH('Pagos mayoristas'!$D$10,'Precios mayoristas'!$D$32:$E$32,0)))*INDEX('Informacion del AEP'!$D$54:$N$72,MATCH('Pagos mayoristas'!$C168,'Informacion del AEP'!$C$54:$C$72,0),MATCH('Pagos mayoristas'!$C$158,'Informacion del AEP'!$D$53:$N$53,0)))</f>
        <v/>
      </c>
      <c r="F168" s="142" t="str">
        <f>IF(C168="","",('Precios mayoristas'!$D$58*INDEX('Informacion del AEP'!$D$54:$N$72,MATCH('Pagos mayoristas'!$C168,'Informacion del AEP'!$C$54:$C$72,0),MATCH('Pagos mayoristas'!$C$158,'Informacion del AEP'!$D$53:$N$53,0))*INDEX('Informacion del AEP'!$D$113:$F$131,MATCH('Pagos mayoristas'!$C168,'Informacion del AEP'!$C$113:$C$131,0),2)))</f>
        <v/>
      </c>
      <c r="H168" s="142" t="str">
        <f>IF(C168="","",(INDEX('Precios mayoristas'!$D$33:$E$51,MATCH('Pagos mayoristas'!$C168,'Precios mayoristas'!$C$33:$C$51,0),MATCH('Pagos mayoristas'!$H$10,'Precios mayoristas'!$D$32:$E$32,0)))*INDEX('Informacion del AEP'!$D$54:$N$72,MATCH('Pagos mayoristas'!$C168,'Informacion del AEP'!$C$54:$C$72,0),MATCH('Pagos mayoristas'!$C$158,'Informacion del AEP'!$D$53:$N$53,0)))</f>
        <v/>
      </c>
    </row>
    <row r="169" spans="3:8" x14ac:dyDescent="0.2">
      <c r="C169" s="24" t="str">
        <f>IF(Supuestos!B67="","",Supuestos!B67)</f>
        <v/>
      </c>
      <c r="D169" s="142" t="str">
        <f>IF(C169="","",(INDEX('Precios mayoristas'!$D$33:$E$51,MATCH('Pagos mayoristas'!$C169,'Precios mayoristas'!$C$33:$C$51,0),MATCH('Pagos mayoristas'!$D$10,'Precios mayoristas'!$D$32:$E$32,0)))*INDEX('Informacion del AEP'!$D$54:$N$72,MATCH('Pagos mayoristas'!$C169,'Informacion del AEP'!$C$54:$C$72,0),MATCH('Pagos mayoristas'!$C$158,'Informacion del AEP'!$D$53:$N$53,0)))</f>
        <v/>
      </c>
      <c r="F169" s="142" t="str">
        <f>IF(C169="","",('Precios mayoristas'!$D$58*INDEX('Informacion del AEP'!$D$54:$N$72,MATCH('Pagos mayoristas'!$C169,'Informacion del AEP'!$C$54:$C$72,0),MATCH('Pagos mayoristas'!$C$158,'Informacion del AEP'!$D$53:$N$53,0))*INDEX('Informacion del AEP'!$D$113:$F$131,MATCH('Pagos mayoristas'!$C169,'Informacion del AEP'!$C$113:$C$131,0),2)))</f>
        <v/>
      </c>
      <c r="H169" s="142" t="str">
        <f>IF(C169="","",(INDEX('Precios mayoristas'!$D$33:$E$51,MATCH('Pagos mayoristas'!$C169,'Precios mayoristas'!$C$33:$C$51,0),MATCH('Pagos mayoristas'!$H$10,'Precios mayoristas'!$D$32:$E$32,0)))*INDEX('Informacion del AEP'!$D$54:$N$72,MATCH('Pagos mayoristas'!$C169,'Informacion del AEP'!$C$54:$C$72,0),MATCH('Pagos mayoristas'!$C$158,'Informacion del AEP'!$D$53:$N$53,0)))</f>
        <v/>
      </c>
    </row>
    <row r="170" spans="3:8" x14ac:dyDescent="0.2">
      <c r="C170" s="24" t="str">
        <f>IF(Supuestos!B68="","",Supuestos!B68)</f>
        <v/>
      </c>
      <c r="D170" s="142" t="str">
        <f>IF(C170="","",(INDEX('Precios mayoristas'!$D$33:$E$51,MATCH('Pagos mayoristas'!$C170,'Precios mayoristas'!$C$33:$C$51,0),MATCH('Pagos mayoristas'!$D$10,'Precios mayoristas'!$D$32:$E$32,0)))*INDEX('Informacion del AEP'!$D$54:$N$72,MATCH('Pagos mayoristas'!$C170,'Informacion del AEP'!$C$54:$C$72,0),MATCH('Pagos mayoristas'!$C$158,'Informacion del AEP'!$D$53:$N$53,0)))</f>
        <v/>
      </c>
      <c r="F170" s="142" t="str">
        <f>IF(C170="","",('Precios mayoristas'!$D$58*INDEX('Informacion del AEP'!$D$54:$N$72,MATCH('Pagos mayoristas'!$C170,'Informacion del AEP'!$C$54:$C$72,0),MATCH('Pagos mayoristas'!$C$158,'Informacion del AEP'!$D$53:$N$53,0))*INDEX('Informacion del AEP'!$D$113:$F$131,MATCH('Pagos mayoristas'!$C170,'Informacion del AEP'!$C$113:$C$131,0),2)))</f>
        <v/>
      </c>
      <c r="H170" s="142" t="str">
        <f>IF(C170="","",(INDEX('Precios mayoristas'!$D$33:$E$51,MATCH('Pagos mayoristas'!$C170,'Precios mayoristas'!$C$33:$C$51,0),MATCH('Pagos mayoristas'!$H$10,'Precios mayoristas'!$D$32:$E$32,0)))*INDEX('Informacion del AEP'!$D$54:$N$72,MATCH('Pagos mayoristas'!$C170,'Informacion del AEP'!$C$54:$C$72,0),MATCH('Pagos mayoristas'!$C$158,'Informacion del AEP'!$D$53:$N$53,0)))</f>
        <v/>
      </c>
    </row>
    <row r="171" spans="3:8" x14ac:dyDescent="0.2">
      <c r="C171" s="24" t="str">
        <f>IF(Supuestos!B69="","",Supuestos!B69)</f>
        <v/>
      </c>
      <c r="D171" s="142" t="str">
        <f>IF(C171="","",(INDEX('Precios mayoristas'!$D$33:$E$51,MATCH('Pagos mayoristas'!$C171,'Precios mayoristas'!$C$33:$C$51,0),MATCH('Pagos mayoristas'!$D$10,'Precios mayoristas'!$D$32:$E$32,0)))*INDEX('Informacion del AEP'!$D$54:$N$72,MATCH('Pagos mayoristas'!$C171,'Informacion del AEP'!$C$54:$C$72,0),MATCH('Pagos mayoristas'!$C$158,'Informacion del AEP'!$D$53:$N$53,0)))</f>
        <v/>
      </c>
      <c r="F171" s="142" t="str">
        <f>IF(C171="","",('Precios mayoristas'!$D$58*INDEX('Informacion del AEP'!$D$54:$N$72,MATCH('Pagos mayoristas'!$C171,'Informacion del AEP'!$C$54:$C$72,0),MATCH('Pagos mayoristas'!$C$158,'Informacion del AEP'!$D$53:$N$53,0))*INDEX('Informacion del AEP'!$D$113:$F$131,MATCH('Pagos mayoristas'!$C171,'Informacion del AEP'!$C$113:$C$131,0),2)))</f>
        <v/>
      </c>
      <c r="H171" s="142" t="str">
        <f>IF(C171="","",(INDEX('Precios mayoristas'!$D$33:$E$51,MATCH('Pagos mayoristas'!$C171,'Precios mayoristas'!$C$33:$C$51,0),MATCH('Pagos mayoristas'!$H$10,'Precios mayoristas'!$D$32:$E$32,0)))*INDEX('Informacion del AEP'!$D$54:$N$72,MATCH('Pagos mayoristas'!$C171,'Informacion del AEP'!$C$54:$C$72,0),MATCH('Pagos mayoristas'!$C$158,'Informacion del AEP'!$D$53:$N$53,0)))</f>
        <v/>
      </c>
    </row>
    <row r="172" spans="3:8" x14ac:dyDescent="0.2">
      <c r="C172" s="24" t="str">
        <f>IF(Supuestos!B70="","",Supuestos!B70)</f>
        <v/>
      </c>
      <c r="D172" s="142" t="str">
        <f>IF(C172="","",(INDEX('Precios mayoristas'!$D$33:$E$51,MATCH('Pagos mayoristas'!$C172,'Precios mayoristas'!$C$33:$C$51,0),MATCH('Pagos mayoristas'!$D$10,'Precios mayoristas'!$D$32:$E$32,0)))*INDEX('Informacion del AEP'!$D$54:$N$72,MATCH('Pagos mayoristas'!$C172,'Informacion del AEP'!$C$54:$C$72,0),MATCH('Pagos mayoristas'!$C$158,'Informacion del AEP'!$D$53:$N$53,0)))</f>
        <v/>
      </c>
      <c r="F172" s="142" t="str">
        <f>IF(C172="","",('Precios mayoristas'!$D$58*INDEX('Informacion del AEP'!$D$54:$N$72,MATCH('Pagos mayoristas'!$C172,'Informacion del AEP'!$C$54:$C$72,0),MATCH('Pagos mayoristas'!$C$158,'Informacion del AEP'!$D$53:$N$53,0))*INDEX('Informacion del AEP'!$D$113:$F$131,MATCH('Pagos mayoristas'!$C172,'Informacion del AEP'!$C$113:$C$131,0),2)))</f>
        <v/>
      </c>
      <c r="H172" s="142" t="str">
        <f>IF(C172="","",(INDEX('Precios mayoristas'!$D$33:$E$51,MATCH('Pagos mayoristas'!$C172,'Precios mayoristas'!$C$33:$C$51,0),MATCH('Pagos mayoristas'!$H$10,'Precios mayoristas'!$D$32:$E$32,0)))*INDEX('Informacion del AEP'!$D$54:$N$72,MATCH('Pagos mayoristas'!$C172,'Informacion del AEP'!$C$54:$C$72,0),MATCH('Pagos mayoristas'!$C$158,'Informacion del AEP'!$D$53:$N$53,0)))</f>
        <v/>
      </c>
    </row>
    <row r="173" spans="3:8" x14ac:dyDescent="0.2">
      <c r="C173" s="24" t="str">
        <f>IF(Supuestos!B71="","",Supuestos!B71)</f>
        <v>Originación SMS OMV</v>
      </c>
      <c r="D173" s="142">
        <f>IF(C173="","",(INDEX('Precios mayoristas'!$D$33:$E$51,MATCH('Pagos mayoristas'!$C173,'Precios mayoristas'!$C$33:$C$51,0),MATCH('Pagos mayoristas'!$D$10,'Precios mayoristas'!$D$32:$E$32,0)))*INDEX('Informacion del AEP'!$D$54:$N$72,MATCH('Pagos mayoristas'!$C173,'Informacion del AEP'!$C$54:$C$72,0),MATCH('Pagos mayoristas'!$C$158,'Informacion del AEP'!$D$53:$N$53,0)))</f>
        <v>4.4000000000000004</v>
      </c>
      <c r="F173" s="142">
        <f>IF(C173="","",('Precios mayoristas'!$D$58*INDEX('Informacion del AEP'!$D$54:$N$72,MATCH('Pagos mayoristas'!$C173,'Informacion del AEP'!$C$54:$C$72,0),MATCH('Pagos mayoristas'!$C$158,'Informacion del AEP'!$D$53:$N$53,0))*INDEX('Informacion del AEP'!$D$113:$F$131,MATCH('Pagos mayoristas'!$C173,'Informacion del AEP'!$C$113:$C$131,0),2)))</f>
        <v>0</v>
      </c>
      <c r="H173" s="142">
        <f>IF(C173="","",(INDEX('Precios mayoristas'!$D$33:$E$51,MATCH('Pagos mayoristas'!$C173,'Precios mayoristas'!$C$33:$C$51,0),MATCH('Pagos mayoristas'!$H$10,'Precios mayoristas'!$D$32:$E$32,0)))*INDEX('Informacion del AEP'!$D$54:$N$72,MATCH('Pagos mayoristas'!$C173,'Informacion del AEP'!$C$54:$C$72,0),MATCH('Pagos mayoristas'!$C$158,'Informacion del AEP'!$D$53:$N$53,0)))</f>
        <v>0</v>
      </c>
    </row>
    <row r="174" spans="3:8" x14ac:dyDescent="0.2">
      <c r="C174" s="24" t="str">
        <f>IF(Supuestos!B72="","",Supuestos!B72)</f>
        <v>Originación SMS on-net</v>
      </c>
      <c r="D174" s="142">
        <f>IF(C174="","",(INDEX('Precios mayoristas'!$D$33:$E$51,MATCH('Pagos mayoristas'!$C174,'Precios mayoristas'!$C$33:$C$51,0),MATCH('Pagos mayoristas'!$D$10,'Precios mayoristas'!$D$32:$E$32,0)))*INDEX('Informacion del AEP'!$D$54:$N$72,MATCH('Pagos mayoristas'!$C174,'Informacion del AEP'!$C$54:$C$72,0),MATCH('Pagos mayoristas'!$C$158,'Informacion del AEP'!$D$53:$N$53,0)))</f>
        <v>4.4000000000000004</v>
      </c>
      <c r="F174" s="142">
        <f>IF(C174="","",('Precios mayoristas'!$D$58*INDEX('Informacion del AEP'!$D$54:$N$72,MATCH('Pagos mayoristas'!$C174,'Informacion del AEP'!$C$54:$C$72,0),MATCH('Pagos mayoristas'!$C$158,'Informacion del AEP'!$D$53:$N$53,0))*INDEX('Informacion del AEP'!$D$113:$F$131,MATCH('Pagos mayoristas'!$C174,'Informacion del AEP'!$C$113:$C$131,0),2)))</f>
        <v>0</v>
      </c>
      <c r="H174" s="142">
        <f>IF(C174="","",(INDEX('Precios mayoristas'!$D$33:$E$51,MATCH('Pagos mayoristas'!$C174,'Precios mayoristas'!$C$33:$C$51,0),MATCH('Pagos mayoristas'!$H$10,'Precios mayoristas'!$D$32:$E$32,0)))*INDEX('Informacion del AEP'!$D$54:$N$72,MATCH('Pagos mayoristas'!$C174,'Informacion del AEP'!$C$54:$C$72,0),MATCH('Pagos mayoristas'!$C$158,'Informacion del AEP'!$D$53:$N$53,0)))</f>
        <v>0.69419999999999993</v>
      </c>
    </row>
    <row r="175" spans="3:8" x14ac:dyDescent="0.2">
      <c r="C175" s="24" t="str">
        <f>IF(Supuestos!B73="","",Supuestos!B73)</f>
        <v>Originación SMS off-net</v>
      </c>
      <c r="D175" s="142">
        <f>IF(C175="","",(INDEX('Precios mayoristas'!$D$33:$E$51,MATCH('Pagos mayoristas'!$C175,'Precios mayoristas'!$C$33:$C$51,0),MATCH('Pagos mayoristas'!$D$10,'Precios mayoristas'!$D$32:$E$32,0)))*INDEX('Informacion del AEP'!$D$54:$N$72,MATCH('Pagos mayoristas'!$C175,'Informacion del AEP'!$C$54:$C$72,0),MATCH('Pagos mayoristas'!$C$158,'Informacion del AEP'!$D$53:$N$53,0)))</f>
        <v>4.4000000000000004</v>
      </c>
      <c r="F175" s="142">
        <f>IF(C175="","",('Precios mayoristas'!$D$58*INDEX('Informacion del AEP'!$D$54:$N$72,MATCH('Pagos mayoristas'!$C175,'Informacion del AEP'!$C$54:$C$72,0),MATCH('Pagos mayoristas'!$C$158,'Informacion del AEP'!$D$53:$N$53,0))*INDEX('Informacion del AEP'!$D$113:$F$131,MATCH('Pagos mayoristas'!$C175,'Informacion del AEP'!$C$113:$C$131,0),2)))</f>
        <v>0</v>
      </c>
      <c r="H175" s="142">
        <f>IF(C175="","",(INDEX('Precios mayoristas'!$D$33:$E$51,MATCH('Pagos mayoristas'!$C175,'Precios mayoristas'!$C$33:$C$51,0),MATCH('Pagos mayoristas'!$H$10,'Precios mayoristas'!$D$32:$E$32,0)))*INDEX('Informacion del AEP'!$D$54:$N$72,MATCH('Pagos mayoristas'!$C175,'Informacion del AEP'!$C$54:$C$72,0),MATCH('Pagos mayoristas'!$C$158,'Informacion del AEP'!$D$53:$N$53,0)))</f>
        <v>20</v>
      </c>
    </row>
    <row r="176" spans="3:8" x14ac:dyDescent="0.2">
      <c r="C176" s="24" t="str">
        <f>IF(Supuestos!B74="","",Supuestos!B74)</f>
        <v>Originación SMS otros servicios (SVA)</v>
      </c>
      <c r="D176" s="142">
        <f>IF(C176="","",(INDEX('Precios mayoristas'!$D$33:$E$51,MATCH('Pagos mayoristas'!$C176,'Precios mayoristas'!$C$33:$C$51,0),MATCH('Pagos mayoristas'!$D$10,'Precios mayoristas'!$D$32:$E$32,0)))*INDEX('Informacion del AEP'!$D$54:$N$72,MATCH('Pagos mayoristas'!$C176,'Informacion del AEP'!$C$54:$C$72,0),MATCH('Pagos mayoristas'!$C$158,'Informacion del AEP'!$D$53:$N$53,0)))</f>
        <v>4.4000000000000004</v>
      </c>
      <c r="F176" s="142">
        <f>IF(C176="","",('Precios mayoristas'!$D$58*INDEX('Informacion del AEP'!$D$54:$N$72,MATCH('Pagos mayoristas'!$C176,'Informacion del AEP'!$C$54:$C$72,0),MATCH('Pagos mayoristas'!$C$158,'Informacion del AEP'!$D$53:$N$53,0))*INDEX('Informacion del AEP'!$D$113:$F$131,MATCH('Pagos mayoristas'!$C176,'Informacion del AEP'!$C$113:$C$131,0),2)))</f>
        <v>0</v>
      </c>
      <c r="H176" s="142">
        <f>IF(C176="","",(INDEX('Precios mayoristas'!$D$33:$E$51,MATCH('Pagos mayoristas'!$C176,'Precios mayoristas'!$C$33:$C$51,0),MATCH('Pagos mayoristas'!$H$10,'Precios mayoristas'!$D$32:$E$32,0)))*INDEX('Informacion del AEP'!$D$54:$N$72,MATCH('Pagos mayoristas'!$C176,'Informacion del AEP'!$C$54:$C$72,0),MATCH('Pagos mayoristas'!$C$158,'Informacion del AEP'!$D$53:$N$53,0)))</f>
        <v>30</v>
      </c>
    </row>
    <row r="177" spans="3:12" x14ac:dyDescent="0.2">
      <c r="C177" s="24" t="str">
        <f>IF(Supuestos!B75="","",Supuestos!B75)</f>
        <v>Otros servicios (incluyendo marcaciones especiales)</v>
      </c>
      <c r="D177" s="142">
        <f>IF(C177="","",(INDEX('Precios mayoristas'!$D$33:$E$51,MATCH('Pagos mayoristas'!$C177,'Precios mayoristas'!$C$33:$C$51,0),MATCH('Pagos mayoristas'!$D$10,'Precios mayoristas'!$D$32:$E$32,0)))*INDEX('Informacion del AEP'!$D$54:$N$72,MATCH('Pagos mayoristas'!$C177,'Informacion del AEP'!$C$54:$C$72,0),MATCH('Pagos mayoristas'!$C$158,'Informacion del AEP'!$D$53:$N$53,0)))</f>
        <v>4.4000000000000004</v>
      </c>
      <c r="F177" s="142">
        <f>IF(C177="","",('Precios mayoristas'!$D$58*INDEX('Informacion del AEP'!$D$54:$N$72,MATCH('Pagos mayoristas'!$C177,'Informacion del AEP'!$C$54:$C$72,0),MATCH('Pagos mayoristas'!$C$158,'Informacion del AEP'!$D$53:$N$53,0))*INDEX('Informacion del AEP'!$D$113:$F$131,MATCH('Pagos mayoristas'!$C177,'Informacion del AEP'!$C$113:$C$131,0),2)))</f>
        <v>0</v>
      </c>
      <c r="H177" s="142">
        <f>IF(C177="","",(INDEX('Precios mayoristas'!$D$33:$E$51,MATCH('Pagos mayoristas'!$C177,'Precios mayoristas'!$C$33:$C$51,0),MATCH('Pagos mayoristas'!$H$10,'Precios mayoristas'!$D$32:$E$32,0)))*INDEX('Informacion del AEP'!$D$54:$N$72,MATCH('Pagos mayoristas'!$C177,'Informacion del AEP'!$C$54:$C$72,0),MATCH('Pagos mayoristas'!$C$158,'Informacion del AEP'!$D$53:$N$53,0)))</f>
        <v>0</v>
      </c>
    </row>
    <row r="179" spans="3:12" x14ac:dyDescent="0.2">
      <c r="C179" s="135" t="str">
        <f>Supuestos!$B$92</f>
        <v>Oferta 6</v>
      </c>
      <c r="D179" s="141">
        <f>SUM(D180:D198)</f>
        <v>61.999999999999986</v>
      </c>
      <c r="E179" s="136"/>
      <c r="F179" s="141">
        <f>SUM(F180:F198)</f>
        <v>0</v>
      </c>
      <c r="G179" s="136"/>
      <c r="H179" s="141">
        <f>SUM(H180:H198)</f>
        <v>185.89323999999999</v>
      </c>
      <c r="I179" s="136"/>
      <c r="J179" s="141">
        <f>(IF(Supuestos!$C$22&lt;'Precios mayoristas'!$D$25,'Precios mayoristas'!$D$22*'Informacion del AEP'!$H$46,'Precios mayoristas'!$E$22*'Informacion del AEP'!$H$46)+IF(Supuestos!$C$22&lt;'Precios mayoristas'!$D$25,'Precios mayoristas'!$D$24*'Informacion del AEP'!$H$47,'Precios mayoristas'!$E$24*'Informacion del AEP'!$H$47))*Supuestos!$C$7</f>
        <v>4802010</v>
      </c>
      <c r="K179" s="141"/>
      <c r="L179" s="141">
        <f>$L$11*('Informacion del AEP'!$N$12/'Informacion del AEP'!$F$12)</f>
        <v>833.33333333333337</v>
      </c>
    </row>
    <row r="180" spans="3:12" x14ac:dyDescent="0.2">
      <c r="C180" s="24" t="str">
        <f>IF(Supuestos!B57="","",Supuestos!B57)</f>
        <v>Datos</v>
      </c>
      <c r="D180" s="142">
        <f>IF(C180="","",(INDEX('Precios mayoristas'!$D$33:$E$51,MATCH('Pagos mayoristas'!$C180,'Precios mayoristas'!$C$33:$C$51,0),MATCH('Pagos mayoristas'!$D$10,'Precios mayoristas'!$D$32:$E$32,0)))*INDEX('Informacion del AEP'!$D$54:$N$72,MATCH('Pagos mayoristas'!$C180,'Informacion del AEP'!$C$54:$C$72,0),MATCH('Pagos mayoristas'!$C$179,'Informacion del AEP'!$D$53:$N$53,0)))</f>
        <v>4.8</v>
      </c>
      <c r="F180" s="142">
        <f>IF(C180="","",('Precios mayoristas'!$D$58*INDEX('Informacion del AEP'!$D$54:$N$72,MATCH('Pagos mayoristas'!$C180,'Informacion del AEP'!$C$54:$C$72,0),MATCH('Pagos mayoristas'!$C$179,'Informacion del AEP'!$D$53:$N$53,0))*INDEX('Informacion del AEP'!$D$113:$F$131,MATCH('Pagos mayoristas'!$C180,'Informacion del AEP'!$C$113:$C$131,0),2)))</f>
        <v>0</v>
      </c>
      <c r="H180" s="142">
        <f>IF(C180="","",(INDEX('Precios mayoristas'!$D$33:$E$51,MATCH('Pagos mayoristas'!$C180,'Precios mayoristas'!$C$33:$C$51,0),MATCH('Pagos mayoristas'!$H$10,'Precios mayoristas'!$D$32:$E$32,0)))*INDEX('Informacion del AEP'!$D$54:$N$72,MATCH('Pagos mayoristas'!$C180,'Informacion del AEP'!$C$54:$C$72,0),MATCH('Pagos mayoristas'!$C$179,'Informacion del AEP'!$D$53:$N$53,0)))</f>
        <v>0</v>
      </c>
    </row>
    <row r="181" spans="3:12" x14ac:dyDescent="0.2">
      <c r="C181" s="24" t="str">
        <f>IF(Supuestos!B58="","",Supuestos!B58)</f>
        <v>Originación voz mismo OMV</v>
      </c>
      <c r="D181" s="142">
        <f>IF(C181="","",(INDEX('Precios mayoristas'!$D$33:$E$51,MATCH('Pagos mayoristas'!$C181,'Precios mayoristas'!$C$33:$C$51,0),MATCH('Pagos mayoristas'!$D$10,'Precios mayoristas'!$D$32:$E$32,0)))*INDEX('Informacion del AEP'!$D$54:$N$72,MATCH('Pagos mayoristas'!$C181,'Informacion del AEP'!$C$54:$C$72,0),MATCH('Pagos mayoristas'!$C$179,'Informacion del AEP'!$D$53:$N$53,0)))</f>
        <v>4.4000000000000004</v>
      </c>
      <c r="F181" s="142">
        <f>IF(C181="","",('Precios mayoristas'!$D$58*INDEX('Informacion del AEP'!$D$54:$N$72,MATCH('Pagos mayoristas'!$C181,'Informacion del AEP'!$C$54:$C$72,0),MATCH('Pagos mayoristas'!$C$179,'Informacion del AEP'!$D$53:$N$53,0))*INDEX('Informacion del AEP'!$D$113:$F$131,MATCH('Pagos mayoristas'!$C181,'Informacion del AEP'!$C$113:$C$131,0),2)))</f>
        <v>0</v>
      </c>
      <c r="H181" s="142">
        <f>IF(C181="","",(INDEX('Precios mayoristas'!$D$33:$E$51,MATCH('Pagos mayoristas'!$C181,'Precios mayoristas'!$C$33:$C$51,0),MATCH('Pagos mayoristas'!$H$10,'Precios mayoristas'!$D$32:$E$32,0)))*INDEX('Informacion del AEP'!$D$54:$N$72,MATCH('Pagos mayoristas'!$C181,'Informacion del AEP'!$C$54:$C$72,0),MATCH('Pagos mayoristas'!$C$179,'Informacion del AEP'!$D$53:$N$53,0)))</f>
        <v>0</v>
      </c>
    </row>
    <row r="182" spans="3:12" x14ac:dyDescent="0.2">
      <c r="C182" s="24" t="str">
        <f>IF(Supuestos!B59="","",Supuestos!B59)</f>
        <v>Originación voz on-net otro OMV</v>
      </c>
      <c r="D182" s="142">
        <f>IF(C182="","",(INDEX('Precios mayoristas'!$D$33:$E$51,MATCH('Pagos mayoristas'!$C182,'Precios mayoristas'!$C$33:$C$51,0),MATCH('Pagos mayoristas'!$D$10,'Precios mayoristas'!$D$32:$E$32,0)))*INDEX('Informacion del AEP'!$D$54:$N$72,MATCH('Pagos mayoristas'!$C182,'Informacion del AEP'!$C$54:$C$72,0),MATCH('Pagos mayoristas'!$C$179,'Informacion del AEP'!$D$53:$N$53,0)))</f>
        <v>4.4000000000000004</v>
      </c>
      <c r="F182" s="142">
        <f>IF(C182="","",('Precios mayoristas'!$D$58*INDEX('Informacion del AEP'!$D$54:$N$72,MATCH('Pagos mayoristas'!$C182,'Informacion del AEP'!$C$54:$C$72,0),MATCH('Pagos mayoristas'!$C$179,'Informacion del AEP'!$D$53:$N$53,0))*INDEX('Informacion del AEP'!$D$113:$F$131,MATCH('Pagos mayoristas'!$C182,'Informacion del AEP'!$C$113:$C$131,0),2)))</f>
        <v>0</v>
      </c>
      <c r="H182" s="142">
        <f>IF(C182="","",(INDEX('Precios mayoristas'!$D$33:$E$51,MATCH('Pagos mayoristas'!$C182,'Precios mayoristas'!$C$33:$C$51,0),MATCH('Pagos mayoristas'!$H$10,'Precios mayoristas'!$D$32:$E$32,0)))*INDEX('Informacion del AEP'!$D$54:$N$72,MATCH('Pagos mayoristas'!$C182,'Informacion del AEP'!$C$54:$C$72,0),MATCH('Pagos mayoristas'!$C$179,'Informacion del AEP'!$D$53:$N$53,0)))</f>
        <v>7.4760000000000009</v>
      </c>
    </row>
    <row r="183" spans="3:12" x14ac:dyDescent="0.2">
      <c r="C183" s="24" t="str">
        <f>IF(Supuestos!B60="","",Supuestos!B60)</f>
        <v>Originación voz on-net</v>
      </c>
      <c r="D183" s="142">
        <f>IF(C183="","",(INDEX('Precios mayoristas'!$D$33:$E$51,MATCH('Pagos mayoristas'!$C183,'Precios mayoristas'!$C$33:$C$51,0),MATCH('Pagos mayoristas'!$D$10,'Precios mayoristas'!$D$32:$E$32,0)))*INDEX('Informacion del AEP'!$D$54:$N$72,MATCH('Pagos mayoristas'!$C183,'Informacion del AEP'!$C$54:$C$72,0),MATCH('Pagos mayoristas'!$C$179,'Informacion del AEP'!$D$53:$N$53,0)))</f>
        <v>4.4000000000000004</v>
      </c>
      <c r="F183" s="142">
        <f>IF(C183="","",('Precios mayoristas'!$D$58*INDEX('Informacion del AEP'!$D$54:$N$72,MATCH('Pagos mayoristas'!$C183,'Informacion del AEP'!$C$54:$C$72,0),MATCH('Pagos mayoristas'!$C$179,'Informacion del AEP'!$D$53:$N$53,0))*INDEX('Informacion del AEP'!$D$113:$F$131,MATCH('Pagos mayoristas'!$C183,'Informacion del AEP'!$C$113:$C$131,0),2)))</f>
        <v>0</v>
      </c>
      <c r="H183" s="142">
        <f>IF(C183="","",(INDEX('Precios mayoristas'!$D$33:$E$51,MATCH('Pagos mayoristas'!$C183,'Precios mayoristas'!$C$33:$C$51,0),MATCH('Pagos mayoristas'!$H$10,'Precios mayoristas'!$D$32:$E$32,0)))*INDEX('Informacion del AEP'!$D$54:$N$72,MATCH('Pagos mayoristas'!$C183,'Informacion del AEP'!$C$54:$C$72,0),MATCH('Pagos mayoristas'!$C$179,'Informacion del AEP'!$D$53:$N$53,0)))</f>
        <v>0.12352</v>
      </c>
    </row>
    <row r="184" spans="3:12" x14ac:dyDescent="0.2">
      <c r="C184" s="24" t="str">
        <f>IF(Supuestos!B61="","",Supuestos!B61)</f>
        <v>Originación voz off-net móvil</v>
      </c>
      <c r="D184" s="142">
        <f>IF(C184="","",(INDEX('Precios mayoristas'!$D$33:$E$51,MATCH('Pagos mayoristas'!$C184,'Precios mayoristas'!$C$33:$C$51,0),MATCH('Pagos mayoristas'!$D$10,'Precios mayoristas'!$D$32:$E$32,0)))*INDEX('Informacion del AEP'!$D$54:$N$72,MATCH('Pagos mayoristas'!$C184,'Informacion del AEP'!$C$54:$C$72,0),MATCH('Pagos mayoristas'!$C$179,'Informacion del AEP'!$D$53:$N$53,0)))</f>
        <v>4.4000000000000004</v>
      </c>
      <c r="F184" s="142">
        <f>IF(C184="","",('Precios mayoristas'!$D$58*INDEX('Informacion del AEP'!$D$54:$N$72,MATCH('Pagos mayoristas'!$C184,'Informacion del AEP'!$C$54:$C$72,0),MATCH('Pagos mayoristas'!$C$179,'Informacion del AEP'!$D$53:$N$53,0))*INDEX('Informacion del AEP'!$D$113:$F$131,MATCH('Pagos mayoristas'!$C184,'Informacion del AEP'!$C$113:$C$131,0),2)))</f>
        <v>0</v>
      </c>
      <c r="H184" s="142">
        <f>IF(C184="","",(INDEX('Precios mayoristas'!$D$33:$E$51,MATCH('Pagos mayoristas'!$C184,'Precios mayoristas'!$C$33:$C$51,0),MATCH('Pagos mayoristas'!$H$10,'Precios mayoristas'!$D$32:$E$32,0)))*INDEX('Informacion del AEP'!$D$54:$N$72,MATCH('Pagos mayoristas'!$C184,'Informacion del AEP'!$C$54:$C$72,0),MATCH('Pagos mayoristas'!$C$179,'Informacion del AEP'!$D$53:$N$53,0)))</f>
        <v>0</v>
      </c>
    </row>
    <row r="185" spans="3:12" x14ac:dyDescent="0.2">
      <c r="C185" s="24" t="str">
        <f>IF(Supuestos!B62="","",Supuestos!B62)</f>
        <v>Originación voz fijo</v>
      </c>
      <c r="D185" s="142">
        <f>IF(C185="","",(INDEX('Precios mayoristas'!$D$33:$E$51,MATCH('Pagos mayoristas'!$C185,'Precios mayoristas'!$C$33:$C$51,0),MATCH('Pagos mayoristas'!$D$10,'Precios mayoristas'!$D$32:$E$32,0)))*INDEX('Informacion del AEP'!$D$54:$N$72,MATCH('Pagos mayoristas'!$C185,'Informacion del AEP'!$C$54:$C$72,0),MATCH('Pagos mayoristas'!$C$179,'Informacion del AEP'!$D$53:$N$53,0)))</f>
        <v>4.4000000000000004</v>
      </c>
      <c r="F185" s="142">
        <f>IF(C185="","",('Precios mayoristas'!$D$58*INDEX('Informacion del AEP'!$D$54:$N$72,MATCH('Pagos mayoristas'!$C185,'Informacion del AEP'!$C$54:$C$72,0),MATCH('Pagos mayoristas'!$C$179,'Informacion del AEP'!$D$53:$N$53,0))*INDEX('Informacion del AEP'!$D$113:$F$131,MATCH('Pagos mayoristas'!$C185,'Informacion del AEP'!$C$113:$C$131,0),2)))</f>
        <v>0</v>
      </c>
      <c r="H185" s="142">
        <f>IF(C185="","",(INDEX('Precios mayoristas'!$D$33:$E$51,MATCH('Pagos mayoristas'!$C185,'Precios mayoristas'!$C$33:$C$51,0),MATCH('Pagos mayoristas'!$H$10,'Precios mayoristas'!$D$32:$E$32,0)))*INDEX('Informacion del AEP'!$D$54:$N$72,MATCH('Pagos mayoristas'!$C185,'Informacion del AEP'!$C$54:$C$72,0),MATCH('Pagos mayoristas'!$C$179,'Informacion del AEP'!$D$53:$N$53,0)))</f>
        <v>7.4760000000000009</v>
      </c>
    </row>
    <row r="186" spans="3:12" x14ac:dyDescent="0.2">
      <c r="C186" s="24" t="str">
        <f>IF(Supuestos!B63="","",Supuestos!B63)</f>
        <v>Originación voz internacional USA-Canadá</v>
      </c>
      <c r="D186" s="142">
        <f>IF(C186="","",(INDEX('Precios mayoristas'!$D$33:$E$51,MATCH('Pagos mayoristas'!$C186,'Precios mayoristas'!$C$33:$C$51,0),MATCH('Pagos mayoristas'!$D$10,'Precios mayoristas'!$D$32:$E$32,0)))*INDEX('Informacion del AEP'!$D$54:$N$72,MATCH('Pagos mayoristas'!$C186,'Informacion del AEP'!$C$54:$C$72,0),MATCH('Pagos mayoristas'!$C$179,'Informacion del AEP'!$D$53:$N$53,0)))</f>
        <v>4.4000000000000004</v>
      </c>
      <c r="F186" s="142">
        <f>IF(C186="","",('Precios mayoristas'!$D$58*INDEX('Informacion del AEP'!$D$54:$N$72,MATCH('Pagos mayoristas'!$C186,'Informacion del AEP'!$C$54:$C$72,0),MATCH('Pagos mayoristas'!$C$179,'Informacion del AEP'!$D$53:$N$53,0))*INDEX('Informacion del AEP'!$D$113:$F$131,MATCH('Pagos mayoristas'!$C186,'Informacion del AEP'!$C$113:$C$131,0),2)))</f>
        <v>0</v>
      </c>
      <c r="H186" s="142">
        <f>IF(C186="","",(INDEX('Precios mayoristas'!$D$33:$E$51,MATCH('Pagos mayoristas'!$C186,'Precios mayoristas'!$C$33:$C$51,0),MATCH('Pagos mayoristas'!$H$10,'Precios mayoristas'!$D$32:$E$32,0)))*INDEX('Informacion del AEP'!$D$54:$N$72,MATCH('Pagos mayoristas'!$C186,'Informacion del AEP'!$C$54:$C$72,0),MATCH('Pagos mayoristas'!$C$179,'Informacion del AEP'!$D$53:$N$53,0)))</f>
        <v>0.12352</v>
      </c>
    </row>
    <row r="187" spans="3:12" x14ac:dyDescent="0.2">
      <c r="C187" s="24" t="str">
        <f>IF(Supuestos!B64="","",Supuestos!B64)</f>
        <v xml:space="preserve">Originación voz internacional Mundial </v>
      </c>
      <c r="D187" s="142">
        <f>IF(C187="","",(INDEX('Precios mayoristas'!$D$33:$E$51,MATCH('Pagos mayoristas'!$C187,'Precios mayoristas'!$C$33:$C$51,0),MATCH('Pagos mayoristas'!$D$10,'Precios mayoristas'!$D$32:$E$32,0)))*INDEX('Informacion del AEP'!$D$54:$N$72,MATCH('Pagos mayoristas'!$C187,'Informacion del AEP'!$C$54:$C$72,0),MATCH('Pagos mayoristas'!$C$179,'Informacion del AEP'!$D$53:$N$53,0)))</f>
        <v>4.4000000000000004</v>
      </c>
      <c r="F187" s="142">
        <f>IF(C187="","",('Precios mayoristas'!$D$58*INDEX('Informacion del AEP'!$D$54:$N$72,MATCH('Pagos mayoristas'!$C187,'Informacion del AEP'!$C$54:$C$72,0),MATCH('Pagos mayoristas'!$C$179,'Informacion del AEP'!$D$53:$N$53,0))*INDEX('Informacion del AEP'!$D$113:$F$131,MATCH('Pagos mayoristas'!$C187,'Informacion del AEP'!$C$113:$C$131,0),2)))</f>
        <v>0</v>
      </c>
      <c r="H187" s="142">
        <f>IF(C187="","",(INDEX('Precios mayoristas'!$D$33:$E$51,MATCH('Pagos mayoristas'!$C187,'Precios mayoristas'!$C$33:$C$51,0),MATCH('Pagos mayoristas'!$H$10,'Precios mayoristas'!$D$32:$E$32,0)))*INDEX('Informacion del AEP'!$D$54:$N$72,MATCH('Pagos mayoristas'!$C187,'Informacion del AEP'!$C$54:$C$72,0),MATCH('Pagos mayoristas'!$C$179,'Informacion del AEP'!$D$53:$N$53,0)))</f>
        <v>20</v>
      </c>
    </row>
    <row r="188" spans="3:12" x14ac:dyDescent="0.2">
      <c r="C188" s="24" t="str">
        <f>IF(Supuestos!B65="","",Supuestos!B65)</f>
        <v>Originación voz internacional Cuba</v>
      </c>
      <c r="D188" s="142">
        <f>IF(C188="","",(INDEX('Precios mayoristas'!$D$33:$E$51,MATCH('Pagos mayoristas'!$C188,'Precios mayoristas'!$C$33:$C$51,0),MATCH('Pagos mayoristas'!$D$10,'Precios mayoristas'!$D$32:$E$32,0)))*INDEX('Informacion del AEP'!$D$54:$N$72,MATCH('Pagos mayoristas'!$C188,'Informacion del AEP'!$C$54:$C$72,0),MATCH('Pagos mayoristas'!$C$179,'Informacion del AEP'!$D$53:$N$53,0)))</f>
        <v>4.4000000000000004</v>
      </c>
      <c r="F188" s="142">
        <f>IF(C188="","",('Precios mayoristas'!$D$58*INDEX('Informacion del AEP'!$D$54:$N$72,MATCH('Pagos mayoristas'!$C188,'Informacion del AEP'!$C$54:$C$72,0),MATCH('Pagos mayoristas'!$C$179,'Informacion del AEP'!$D$53:$N$53,0))*INDEX('Informacion del AEP'!$D$113:$F$131,MATCH('Pagos mayoristas'!$C188,'Informacion del AEP'!$C$113:$C$131,0),2)))</f>
        <v>0</v>
      </c>
      <c r="H188" s="142">
        <f>IF(C188="","",(INDEX('Precios mayoristas'!$D$33:$E$51,MATCH('Pagos mayoristas'!$C188,'Precios mayoristas'!$C$33:$C$51,0),MATCH('Pagos mayoristas'!$H$10,'Precios mayoristas'!$D$32:$E$32,0)))*INDEX('Informacion del AEP'!$D$54:$N$72,MATCH('Pagos mayoristas'!$C188,'Informacion del AEP'!$C$54:$C$72,0),MATCH('Pagos mayoristas'!$C$179,'Informacion del AEP'!$D$53:$N$53,0)))</f>
        <v>100</v>
      </c>
    </row>
    <row r="189" spans="3:12" x14ac:dyDescent="0.2">
      <c r="C189" s="24" t="str">
        <f>IF(Supuestos!B66="","",Supuestos!B66)</f>
        <v/>
      </c>
      <c r="D189" s="142" t="str">
        <f>IF(C189="","",(INDEX('Precios mayoristas'!$D$33:$E$51,MATCH('Pagos mayoristas'!$C189,'Precios mayoristas'!$C$33:$C$51,0),MATCH('Pagos mayoristas'!$D$10,'Precios mayoristas'!$D$32:$E$32,0)))*INDEX('Informacion del AEP'!$D$54:$N$72,MATCH('Pagos mayoristas'!$C189,'Informacion del AEP'!$C$54:$C$72,0),MATCH('Pagos mayoristas'!$C$179,'Informacion del AEP'!$D$53:$N$53,0)))</f>
        <v/>
      </c>
      <c r="F189" s="142" t="str">
        <f>IF(C189="","",('Precios mayoristas'!$D$58*INDEX('Informacion del AEP'!$D$54:$N$72,MATCH('Pagos mayoristas'!$C189,'Informacion del AEP'!$C$54:$C$72,0),MATCH('Pagos mayoristas'!$C$179,'Informacion del AEP'!$D$53:$N$53,0))*INDEX('Informacion del AEP'!$D$113:$F$131,MATCH('Pagos mayoristas'!$C189,'Informacion del AEP'!$C$113:$C$131,0),2)))</f>
        <v/>
      </c>
      <c r="H189" s="142" t="str">
        <f>IF(C189="","",(INDEX('Precios mayoristas'!$D$33:$E$51,MATCH('Pagos mayoristas'!$C189,'Precios mayoristas'!$C$33:$C$51,0),MATCH('Pagos mayoristas'!$H$10,'Precios mayoristas'!$D$32:$E$32,0)))*INDEX('Informacion del AEP'!$D$54:$N$72,MATCH('Pagos mayoristas'!$C189,'Informacion del AEP'!$C$54:$C$72,0),MATCH('Pagos mayoristas'!$C$179,'Informacion del AEP'!$D$53:$N$53,0)))</f>
        <v/>
      </c>
    </row>
    <row r="190" spans="3:12" x14ac:dyDescent="0.2">
      <c r="C190" s="24" t="str">
        <f>IF(Supuestos!B67="","",Supuestos!B67)</f>
        <v/>
      </c>
      <c r="D190" s="142" t="str">
        <f>IF(C190="","",(INDEX('Precios mayoristas'!$D$33:$E$51,MATCH('Pagos mayoristas'!$C190,'Precios mayoristas'!$C$33:$C$51,0),MATCH('Pagos mayoristas'!$D$10,'Precios mayoristas'!$D$32:$E$32,0)))*INDEX('Informacion del AEP'!$D$54:$N$72,MATCH('Pagos mayoristas'!$C190,'Informacion del AEP'!$C$54:$C$72,0),MATCH('Pagos mayoristas'!$C$179,'Informacion del AEP'!$D$53:$N$53,0)))</f>
        <v/>
      </c>
      <c r="F190" s="142" t="str">
        <f>IF(C190="","",('Precios mayoristas'!$D$58*INDEX('Informacion del AEP'!$D$54:$N$72,MATCH('Pagos mayoristas'!$C190,'Informacion del AEP'!$C$54:$C$72,0),MATCH('Pagos mayoristas'!$C$179,'Informacion del AEP'!$D$53:$N$53,0))*INDEX('Informacion del AEP'!$D$113:$F$131,MATCH('Pagos mayoristas'!$C190,'Informacion del AEP'!$C$113:$C$131,0),2)))</f>
        <v/>
      </c>
      <c r="H190" s="142" t="str">
        <f>IF(C190="","",(INDEX('Precios mayoristas'!$D$33:$E$51,MATCH('Pagos mayoristas'!$C190,'Precios mayoristas'!$C$33:$C$51,0),MATCH('Pagos mayoristas'!$H$10,'Precios mayoristas'!$D$32:$E$32,0)))*INDEX('Informacion del AEP'!$D$54:$N$72,MATCH('Pagos mayoristas'!$C190,'Informacion del AEP'!$C$54:$C$72,0),MATCH('Pagos mayoristas'!$C$179,'Informacion del AEP'!$D$53:$N$53,0)))</f>
        <v/>
      </c>
    </row>
    <row r="191" spans="3:12" x14ac:dyDescent="0.2">
      <c r="C191" s="24" t="str">
        <f>IF(Supuestos!B68="","",Supuestos!B68)</f>
        <v/>
      </c>
      <c r="D191" s="142" t="str">
        <f>IF(C191="","",(INDEX('Precios mayoristas'!$D$33:$E$51,MATCH('Pagos mayoristas'!$C191,'Precios mayoristas'!$C$33:$C$51,0),MATCH('Pagos mayoristas'!$D$10,'Precios mayoristas'!$D$32:$E$32,0)))*INDEX('Informacion del AEP'!$D$54:$N$72,MATCH('Pagos mayoristas'!$C191,'Informacion del AEP'!$C$54:$C$72,0),MATCH('Pagos mayoristas'!$C$179,'Informacion del AEP'!$D$53:$N$53,0)))</f>
        <v/>
      </c>
      <c r="F191" s="142" t="str">
        <f>IF(C191="","",('Precios mayoristas'!$D$58*INDEX('Informacion del AEP'!$D$54:$N$72,MATCH('Pagos mayoristas'!$C191,'Informacion del AEP'!$C$54:$C$72,0),MATCH('Pagos mayoristas'!$C$179,'Informacion del AEP'!$D$53:$N$53,0))*INDEX('Informacion del AEP'!$D$113:$F$131,MATCH('Pagos mayoristas'!$C191,'Informacion del AEP'!$C$113:$C$131,0),2)))</f>
        <v/>
      </c>
      <c r="H191" s="142" t="str">
        <f>IF(C191="","",(INDEX('Precios mayoristas'!$D$33:$E$51,MATCH('Pagos mayoristas'!$C191,'Precios mayoristas'!$C$33:$C$51,0),MATCH('Pagos mayoristas'!$H$10,'Precios mayoristas'!$D$32:$E$32,0)))*INDEX('Informacion del AEP'!$D$54:$N$72,MATCH('Pagos mayoristas'!$C191,'Informacion del AEP'!$C$54:$C$72,0),MATCH('Pagos mayoristas'!$C$179,'Informacion del AEP'!$D$53:$N$53,0)))</f>
        <v/>
      </c>
    </row>
    <row r="192" spans="3:12" x14ac:dyDescent="0.2">
      <c r="C192" s="24" t="str">
        <f>IF(Supuestos!B69="","",Supuestos!B69)</f>
        <v/>
      </c>
      <c r="D192" s="142" t="str">
        <f>IF(C192="","",(INDEX('Precios mayoristas'!$D$33:$E$51,MATCH('Pagos mayoristas'!$C192,'Precios mayoristas'!$C$33:$C$51,0),MATCH('Pagos mayoristas'!$D$10,'Precios mayoristas'!$D$32:$E$32,0)))*INDEX('Informacion del AEP'!$D$54:$N$72,MATCH('Pagos mayoristas'!$C192,'Informacion del AEP'!$C$54:$C$72,0),MATCH('Pagos mayoristas'!$C$179,'Informacion del AEP'!$D$53:$N$53,0)))</f>
        <v/>
      </c>
      <c r="F192" s="142" t="str">
        <f>IF(C192="","",('Precios mayoristas'!$D$58*INDEX('Informacion del AEP'!$D$54:$N$72,MATCH('Pagos mayoristas'!$C192,'Informacion del AEP'!$C$54:$C$72,0),MATCH('Pagos mayoristas'!$C$179,'Informacion del AEP'!$D$53:$N$53,0))*INDEX('Informacion del AEP'!$D$113:$F$131,MATCH('Pagos mayoristas'!$C192,'Informacion del AEP'!$C$113:$C$131,0),2)))</f>
        <v/>
      </c>
      <c r="H192" s="142" t="str">
        <f>IF(C192="","",(INDEX('Precios mayoristas'!$D$33:$E$51,MATCH('Pagos mayoristas'!$C192,'Precios mayoristas'!$C$33:$C$51,0),MATCH('Pagos mayoristas'!$H$10,'Precios mayoristas'!$D$32:$E$32,0)))*INDEX('Informacion del AEP'!$D$54:$N$72,MATCH('Pagos mayoristas'!$C192,'Informacion del AEP'!$C$54:$C$72,0),MATCH('Pagos mayoristas'!$C$179,'Informacion del AEP'!$D$53:$N$53,0)))</f>
        <v/>
      </c>
    </row>
    <row r="193" spans="3:8" x14ac:dyDescent="0.2">
      <c r="C193" s="24" t="str">
        <f>IF(Supuestos!B70="","",Supuestos!B70)</f>
        <v/>
      </c>
      <c r="D193" s="142" t="str">
        <f>IF(C193="","",(INDEX('Precios mayoristas'!$D$33:$E$51,MATCH('Pagos mayoristas'!$C193,'Precios mayoristas'!$C$33:$C$51,0),MATCH('Pagos mayoristas'!$D$10,'Precios mayoristas'!$D$32:$E$32,0)))*INDEX('Informacion del AEP'!$D$54:$N$72,MATCH('Pagos mayoristas'!$C193,'Informacion del AEP'!$C$54:$C$72,0),MATCH('Pagos mayoristas'!$C$179,'Informacion del AEP'!$D$53:$N$53,0)))</f>
        <v/>
      </c>
      <c r="F193" s="142" t="str">
        <f>IF(C193="","",('Precios mayoristas'!$D$58*INDEX('Informacion del AEP'!$D$54:$N$72,MATCH('Pagos mayoristas'!$C193,'Informacion del AEP'!$C$54:$C$72,0),MATCH('Pagos mayoristas'!$C$179,'Informacion del AEP'!$D$53:$N$53,0))*INDEX('Informacion del AEP'!$D$113:$F$131,MATCH('Pagos mayoristas'!$C193,'Informacion del AEP'!$C$113:$C$131,0),2)))</f>
        <v/>
      </c>
      <c r="H193" s="142" t="str">
        <f>IF(C193="","",(INDEX('Precios mayoristas'!$D$33:$E$51,MATCH('Pagos mayoristas'!$C193,'Precios mayoristas'!$C$33:$C$51,0),MATCH('Pagos mayoristas'!$H$10,'Precios mayoristas'!$D$32:$E$32,0)))*INDEX('Informacion del AEP'!$D$54:$N$72,MATCH('Pagos mayoristas'!$C193,'Informacion del AEP'!$C$54:$C$72,0),MATCH('Pagos mayoristas'!$C$179,'Informacion del AEP'!$D$53:$N$53,0)))</f>
        <v/>
      </c>
    </row>
    <row r="194" spans="3:8" x14ac:dyDescent="0.2">
      <c r="C194" s="24" t="str">
        <f>IF(Supuestos!B71="","",Supuestos!B71)</f>
        <v>Originación SMS OMV</v>
      </c>
      <c r="D194" s="142">
        <f>IF(C194="","",(INDEX('Precios mayoristas'!$D$33:$E$51,MATCH('Pagos mayoristas'!$C194,'Precios mayoristas'!$C$33:$C$51,0),MATCH('Pagos mayoristas'!$D$10,'Precios mayoristas'!$D$32:$E$32,0)))*INDEX('Informacion del AEP'!$D$54:$N$72,MATCH('Pagos mayoristas'!$C194,'Informacion del AEP'!$C$54:$C$72,0),MATCH('Pagos mayoristas'!$C$179,'Informacion del AEP'!$D$53:$N$53,0)))</f>
        <v>4.4000000000000004</v>
      </c>
      <c r="F194" s="142">
        <f>IF(C194="","",('Precios mayoristas'!$D$58*INDEX('Informacion del AEP'!$D$54:$N$72,MATCH('Pagos mayoristas'!$C194,'Informacion del AEP'!$C$54:$C$72,0),MATCH('Pagos mayoristas'!$C$179,'Informacion del AEP'!$D$53:$N$53,0))*INDEX('Informacion del AEP'!$D$113:$F$131,MATCH('Pagos mayoristas'!$C194,'Informacion del AEP'!$C$113:$C$131,0),2)))</f>
        <v>0</v>
      </c>
      <c r="H194" s="142">
        <f>IF(C194="","",(INDEX('Precios mayoristas'!$D$33:$E$51,MATCH('Pagos mayoristas'!$C194,'Precios mayoristas'!$C$33:$C$51,0),MATCH('Pagos mayoristas'!$H$10,'Precios mayoristas'!$D$32:$E$32,0)))*INDEX('Informacion del AEP'!$D$54:$N$72,MATCH('Pagos mayoristas'!$C194,'Informacion del AEP'!$C$54:$C$72,0),MATCH('Pagos mayoristas'!$C$179,'Informacion del AEP'!$D$53:$N$53,0)))</f>
        <v>0</v>
      </c>
    </row>
    <row r="195" spans="3:8" x14ac:dyDescent="0.2">
      <c r="C195" s="24" t="str">
        <f>IF(Supuestos!B72="","",Supuestos!B72)</f>
        <v>Originación SMS on-net</v>
      </c>
      <c r="D195" s="142">
        <f>IF(C195="","",(INDEX('Precios mayoristas'!$D$33:$E$51,MATCH('Pagos mayoristas'!$C195,'Precios mayoristas'!$C$33:$C$51,0),MATCH('Pagos mayoristas'!$D$10,'Precios mayoristas'!$D$32:$E$32,0)))*INDEX('Informacion del AEP'!$D$54:$N$72,MATCH('Pagos mayoristas'!$C195,'Informacion del AEP'!$C$54:$C$72,0),MATCH('Pagos mayoristas'!$C$179,'Informacion del AEP'!$D$53:$N$53,0)))</f>
        <v>4.4000000000000004</v>
      </c>
      <c r="F195" s="142">
        <f>IF(C195="","",('Precios mayoristas'!$D$58*INDEX('Informacion del AEP'!$D$54:$N$72,MATCH('Pagos mayoristas'!$C195,'Informacion del AEP'!$C$54:$C$72,0),MATCH('Pagos mayoristas'!$C$179,'Informacion del AEP'!$D$53:$N$53,0))*INDEX('Informacion del AEP'!$D$113:$F$131,MATCH('Pagos mayoristas'!$C195,'Informacion del AEP'!$C$113:$C$131,0),2)))</f>
        <v>0</v>
      </c>
      <c r="H195" s="142">
        <f>IF(C195="","",(INDEX('Precios mayoristas'!$D$33:$E$51,MATCH('Pagos mayoristas'!$C195,'Precios mayoristas'!$C$33:$C$51,0),MATCH('Pagos mayoristas'!$H$10,'Precios mayoristas'!$D$32:$E$32,0)))*INDEX('Informacion del AEP'!$D$54:$N$72,MATCH('Pagos mayoristas'!$C195,'Informacion del AEP'!$C$54:$C$72,0),MATCH('Pagos mayoristas'!$C$179,'Informacion del AEP'!$D$53:$N$53,0)))</f>
        <v>0.69419999999999993</v>
      </c>
    </row>
    <row r="196" spans="3:8" x14ac:dyDescent="0.2">
      <c r="C196" s="24" t="str">
        <f>IF(Supuestos!B73="","",Supuestos!B73)</f>
        <v>Originación SMS off-net</v>
      </c>
      <c r="D196" s="142">
        <f>IF(C196="","",(INDEX('Precios mayoristas'!$D$33:$E$51,MATCH('Pagos mayoristas'!$C196,'Precios mayoristas'!$C$33:$C$51,0),MATCH('Pagos mayoristas'!$D$10,'Precios mayoristas'!$D$32:$E$32,0)))*INDEX('Informacion del AEP'!$D$54:$N$72,MATCH('Pagos mayoristas'!$C196,'Informacion del AEP'!$C$54:$C$72,0),MATCH('Pagos mayoristas'!$C$179,'Informacion del AEP'!$D$53:$N$53,0)))</f>
        <v>4.4000000000000004</v>
      </c>
      <c r="F196" s="142">
        <f>IF(C196="","",('Precios mayoristas'!$D$58*INDEX('Informacion del AEP'!$D$54:$N$72,MATCH('Pagos mayoristas'!$C196,'Informacion del AEP'!$C$54:$C$72,0),MATCH('Pagos mayoristas'!$C$179,'Informacion del AEP'!$D$53:$N$53,0))*INDEX('Informacion del AEP'!$D$113:$F$131,MATCH('Pagos mayoristas'!$C196,'Informacion del AEP'!$C$113:$C$131,0),2)))</f>
        <v>0</v>
      </c>
      <c r="H196" s="142">
        <f>IF(C196="","",(INDEX('Precios mayoristas'!$D$33:$E$51,MATCH('Pagos mayoristas'!$C196,'Precios mayoristas'!$C$33:$C$51,0),MATCH('Pagos mayoristas'!$H$10,'Precios mayoristas'!$D$32:$E$32,0)))*INDEX('Informacion del AEP'!$D$54:$N$72,MATCH('Pagos mayoristas'!$C196,'Informacion del AEP'!$C$54:$C$72,0),MATCH('Pagos mayoristas'!$C$179,'Informacion del AEP'!$D$53:$N$53,0)))</f>
        <v>20</v>
      </c>
    </row>
    <row r="197" spans="3:8" x14ac:dyDescent="0.2">
      <c r="C197" s="24" t="str">
        <f>IF(Supuestos!B74="","",Supuestos!B74)</f>
        <v>Originación SMS otros servicios (SVA)</v>
      </c>
      <c r="D197" s="142">
        <f>IF(C197="","",(INDEX('Precios mayoristas'!$D$33:$E$51,MATCH('Pagos mayoristas'!$C197,'Precios mayoristas'!$C$33:$C$51,0),MATCH('Pagos mayoristas'!$D$10,'Precios mayoristas'!$D$32:$E$32,0)))*INDEX('Informacion del AEP'!$D$54:$N$72,MATCH('Pagos mayoristas'!$C197,'Informacion del AEP'!$C$54:$C$72,0),MATCH('Pagos mayoristas'!$C$179,'Informacion del AEP'!$D$53:$N$53,0)))</f>
        <v>4.4000000000000004</v>
      </c>
      <c r="F197" s="142">
        <f>IF(C197="","",('Precios mayoristas'!$D$58*INDEX('Informacion del AEP'!$D$54:$N$72,MATCH('Pagos mayoristas'!$C197,'Informacion del AEP'!$C$54:$C$72,0),MATCH('Pagos mayoristas'!$C$179,'Informacion del AEP'!$D$53:$N$53,0))*INDEX('Informacion del AEP'!$D$113:$F$131,MATCH('Pagos mayoristas'!$C197,'Informacion del AEP'!$C$113:$C$131,0),2)))</f>
        <v>0</v>
      </c>
      <c r="H197" s="142">
        <f>IF(C197="","",(INDEX('Precios mayoristas'!$D$33:$E$51,MATCH('Pagos mayoristas'!$C197,'Precios mayoristas'!$C$33:$C$51,0),MATCH('Pagos mayoristas'!$H$10,'Precios mayoristas'!$D$32:$E$32,0)))*INDEX('Informacion del AEP'!$D$54:$N$72,MATCH('Pagos mayoristas'!$C197,'Informacion del AEP'!$C$54:$C$72,0),MATCH('Pagos mayoristas'!$C$179,'Informacion del AEP'!$D$53:$N$53,0)))</f>
        <v>30</v>
      </c>
    </row>
    <row r="198" spans="3:8" x14ac:dyDescent="0.2">
      <c r="C198" s="24" t="str">
        <f>IF(Supuestos!B75="","",Supuestos!B75)</f>
        <v>Otros servicios (incluyendo marcaciones especiales)</v>
      </c>
      <c r="D198" s="142">
        <f>IF(C198="","",(INDEX('Precios mayoristas'!$D$33:$E$51,MATCH('Pagos mayoristas'!$C198,'Precios mayoristas'!$C$33:$C$51,0),MATCH('Pagos mayoristas'!$D$10,'Precios mayoristas'!$D$32:$E$32,0)))*INDEX('Informacion del AEP'!$D$54:$N$72,MATCH('Pagos mayoristas'!$C198,'Informacion del AEP'!$C$54:$C$72,0),MATCH('Pagos mayoristas'!$C$179,'Informacion del AEP'!$D$53:$N$53,0)))</f>
        <v>4.4000000000000004</v>
      </c>
      <c r="F198" s="142">
        <f>IF(C198="","",('Precios mayoristas'!$D$58*INDEX('Informacion del AEP'!$D$54:$N$72,MATCH('Pagos mayoristas'!$C198,'Informacion del AEP'!$C$54:$C$72,0),MATCH('Pagos mayoristas'!$C$179,'Informacion del AEP'!$D$53:$N$53,0))*INDEX('Informacion del AEP'!$D$113:$F$131,MATCH('Pagos mayoristas'!$C198,'Informacion del AEP'!$C$113:$C$131,0),2)))</f>
        <v>0</v>
      </c>
      <c r="H198" s="142">
        <f>IF(C198="","",(INDEX('Precios mayoristas'!$D$33:$E$51,MATCH('Pagos mayoristas'!$C198,'Precios mayoristas'!$C$33:$C$51,0),MATCH('Pagos mayoristas'!$H$10,'Precios mayoristas'!$D$32:$E$32,0)))*INDEX('Informacion del AEP'!$D$54:$N$72,MATCH('Pagos mayoristas'!$C198,'Informacion del AEP'!$C$54:$C$72,0),MATCH('Pagos mayoristas'!$C$179,'Informacion del AEP'!$D$53:$N$53,0)))</f>
        <v>0</v>
      </c>
    </row>
  </sheetData>
  <mergeCells count="1">
    <mergeCell ref="C8:L8"/>
  </mergeCells>
  <conditionalFormatting sqref="P11:R11">
    <cfRule type="containsText" dxfId="47" priority="13" operator="containsText" text="Error">
      <formula>NOT(ISERROR(SEARCH("Error",P11)))</formula>
    </cfRule>
    <cfRule type="containsText" dxfId="46" priority="14" operator="containsText" text="Ok">
      <formula>NOT(ISERROR(SEARCH("Ok",P11)))</formula>
    </cfRule>
    <cfRule type="expression" dxfId="45" priority="15">
      <formula>"Ok"</formula>
    </cfRule>
  </conditionalFormatting>
  <conditionalFormatting sqref="S11">
    <cfRule type="containsText" dxfId="44" priority="10" operator="containsText" text="Error">
      <formula>NOT(ISERROR(SEARCH("Error",S11)))</formula>
    </cfRule>
    <cfRule type="containsText" dxfId="43" priority="11" operator="containsText" text="Ok">
      <formula>NOT(ISERROR(SEARCH("Ok",S11)))</formula>
    </cfRule>
    <cfRule type="expression" dxfId="42" priority="12">
      <formula>"Ok"</formula>
    </cfRule>
  </conditionalFormatting>
  <conditionalFormatting sqref="P32:R32">
    <cfRule type="containsText" dxfId="41" priority="7" operator="containsText" text="Error">
      <formula>NOT(ISERROR(SEARCH("Error",P32)))</formula>
    </cfRule>
    <cfRule type="containsText" dxfId="40" priority="8" operator="containsText" text="Ok">
      <formula>NOT(ISERROR(SEARCH("Ok",P32)))</formula>
    </cfRule>
    <cfRule type="expression" dxfId="39" priority="9">
      <formula>"Ok"</formula>
    </cfRule>
  </conditionalFormatting>
  <conditionalFormatting sqref="S32">
    <cfRule type="containsText" dxfId="38" priority="4" operator="containsText" text="Error">
      <formula>NOT(ISERROR(SEARCH("Error",S32)))</formula>
    </cfRule>
    <cfRule type="containsText" dxfId="37" priority="5" operator="containsText" text="Ok">
      <formula>NOT(ISERROR(SEARCH("Ok",S32)))</formula>
    </cfRule>
    <cfRule type="expression" dxfId="36" priority="6">
      <formula>"Ok"</formula>
    </cfRule>
  </conditionalFormatting>
  <conditionalFormatting sqref="P53">
    <cfRule type="containsText" dxfId="35" priority="1" operator="containsText" text="Error">
      <formula>NOT(ISERROR(SEARCH("Error",P53)))</formula>
    </cfRule>
    <cfRule type="containsText" dxfId="34" priority="2" operator="containsText" text="Ok">
      <formula>NOT(ISERROR(SEARCH("Ok",P53)))</formula>
    </cfRule>
    <cfRule type="expression" dxfId="33" priority="3">
      <formula>"Ok"</formula>
    </cfRule>
  </conditionalFormatting>
  <hyperlinks>
    <hyperlink ref="C3" location="'Resultados &gt;&gt;'!A1" display="Ir a Resultados &gt;&gt;" xr:uid="{4010B83E-A79A-43D8-9614-C85F40D0B8E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CD5121B912868449A3C5ACBE470BFC5" ma:contentTypeVersion="0" ma:contentTypeDescription="Crear nuevo documento." ma:contentTypeScope="" ma:versionID="815d36a22a4b62884af4297906ef7370">
  <xsd:schema xmlns:xsd="http://www.w3.org/2001/XMLSchema" xmlns:xs="http://www.w3.org/2001/XMLSchema" xmlns:p="http://schemas.microsoft.com/office/2006/metadata/properties" targetNamespace="http://schemas.microsoft.com/office/2006/metadata/properties" ma:root="true" ma:fieldsID="dad187ede1053dd323176c0832b9836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121B78-AC5D-4E54-830C-1FF8E2CED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32BCCC2-5493-4F1D-B239-AA99305B07C4}">
  <ds:schemaRef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7E4AE05-9A65-43CD-8206-A795348454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Resumen</vt:lpstr>
      <vt:lpstr>Descripción</vt:lpstr>
      <vt:lpstr>Resultados &gt;&gt;</vt:lpstr>
      <vt:lpstr>Prueba Servicios Moviles</vt:lpstr>
      <vt:lpstr>Resultados intermedios &gt;&gt;</vt:lpstr>
      <vt:lpstr>Ingresos minoristas</vt:lpstr>
      <vt:lpstr>Costos</vt:lpstr>
      <vt:lpstr>Cálculos intermedios &gt;&gt;</vt:lpstr>
      <vt:lpstr>Pagos mayoristas</vt:lpstr>
      <vt:lpstr>Costos aguas abajo</vt:lpstr>
      <vt:lpstr>Requerimiento de información &gt;&gt;</vt:lpstr>
      <vt:lpstr>Informacion del AEP</vt:lpstr>
      <vt:lpstr>Precios mayoristas</vt:lpstr>
      <vt:lpstr>Ofertas insignia</vt:lpstr>
      <vt:lpstr>Supuestos</vt:lpstr>
      <vt:lpstr>Otras hojas&gt;&gt;</vt:lpstr>
      <vt:lpstr>Frontier_BAJFBHABEBJD</vt:lpstr>
      <vt:lpstr>Frontier_BAJFBHABEJEA</vt:lpstr>
      <vt:lpstr>Frontier_BAJFBHAEDACC</vt:lpstr>
    </vt:vector>
  </TitlesOfParts>
  <Company>Frontier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Santamaria</dc:creator>
  <cp:lastModifiedBy>DGDTR</cp:lastModifiedBy>
  <cp:lastPrinted>2021-06-22T13:08:27Z</cp:lastPrinted>
  <dcterms:created xsi:type="dcterms:W3CDTF">2003-10-24T13:18:20Z</dcterms:created>
  <dcterms:modified xsi:type="dcterms:W3CDTF">2021-12-07T03:05:21Z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0x0101003CD5121B912868449A3C5ACBE470BFC5</vt:lpwstr>
  </property>
</Properties>
</file>