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codeName="ThisWorkbook"/>
  <mc:AlternateContent xmlns:mc="http://schemas.openxmlformats.org/markup-compatibility/2006">
    <mc:Choice Requires="x15">
      <x15ac:absPath xmlns:x15ac="http://schemas.microsoft.com/office/spreadsheetml/2010/11/ac" url="http://sharepointift/uni/upr/DGDTR/DAC/25 02 10 Metodología RE Móvil/04 Acuerdo/Notificación modelos/"/>
    </mc:Choice>
  </mc:AlternateContent>
  <xr:revisionPtr revIDLastSave="0" documentId="13_ncr:1_{B08F7B7C-2462-462D-AA24-A8729399A17D}" xr6:coauthVersionLast="47" xr6:coauthVersionMax="47" xr10:uidLastSave="{00000000-0000-0000-0000-000000000000}"/>
  <bookViews>
    <workbookView xWindow="-110" yWindow="-110" windowWidth="19420" windowHeight="10300" tabRatio="809" firstSheet="11" activeTab="13" xr2:uid="{00000000-000D-0000-FFFF-FFFF00000000}"/>
  </bookViews>
  <sheets>
    <sheet name="Descripción" sheetId="34" r:id="rId1"/>
    <sheet name="Resultados &gt;&gt;" sheetId="38" r:id="rId2"/>
    <sheet name="Prueba Servicios Moviles" sheetId="50" r:id="rId3"/>
    <sheet name="Resultados intermedios &gt;&gt;" sheetId="39" r:id="rId4"/>
    <sheet name="Ingresos minoristas" sheetId="40" r:id="rId5"/>
    <sheet name="Costos" sheetId="41" r:id="rId6"/>
    <sheet name="Cálculos intermedios &gt;&gt;" sheetId="52" r:id="rId7"/>
    <sheet name="Costos aguas abajo" sheetId="43" r:id="rId8"/>
    <sheet name="Administración usuario prepago" sheetId="62" r:id="rId9"/>
    <sheet name="Pagos Mayoristas" sheetId="57" r:id="rId10"/>
    <sheet name="Requerimiento de información &gt;&gt;" sheetId="45" r:id="rId11"/>
    <sheet name="Ofertas insignia" sheetId="51" r:id="rId12"/>
    <sheet name="Informacion del AEP" sheetId="47" r:id="rId13"/>
    <sheet name="Informacion de tráfico" sheetId="63" r:id="rId14"/>
    <sheet name="Oferta de Referencia &gt;&gt;" sheetId="60" r:id="rId15"/>
    <sheet name="Precio Mayorista" sheetId="53" r:id="rId16"/>
    <sheet name="Precios mayoristas efectivos" sheetId="61" r:id="rId17"/>
    <sheet name="Hoja Auxiliar" sheetId="55" r:id="rId18"/>
    <sheet name="Supuestos" sheetId="46" r:id="rId19"/>
    <sheet name="Hoja auxiliar gráficos" sheetId="59" r:id="rId20"/>
  </sheets>
  <definedNames>
    <definedName name="_1377_0">#REF!</definedName>
    <definedName name="_2754_0ecm">#REF!</definedName>
    <definedName name="_4131_0ecw">#REF!</definedName>
    <definedName name="asdas" localSheetId="6" hidden="1">{#N/A,#N/A,FALSE,"TMCOMP96";#N/A,#N/A,FALSE,"MAT96";#N/A,#N/A,FALSE,"FANDA96";#N/A,#N/A,FALSE,"INTRAN96";#N/A,#N/A,FALSE,"NAA9697";#N/A,#N/A,FALSE,"ECWEBB";#N/A,#N/A,FALSE,"MFT96";#N/A,#N/A,FALSE,"CTrecon"}</definedName>
    <definedName name="asdas" hidden="1">{#N/A,#N/A,FALSE,"TMCOMP96";#N/A,#N/A,FALSE,"MAT96";#N/A,#N/A,FALSE,"FANDA96";#N/A,#N/A,FALSE,"INTRAN96";#N/A,#N/A,FALSE,"NAA9697";#N/A,#N/A,FALSE,"ECWEBB";#N/A,#N/A,FALSE,"MFT96";#N/A,#N/A,FALSE,"CTrecon"}</definedName>
    <definedName name="Average_Bill_List">OFFSET(#REF!,0,0,16-COUNTIF(#REF!,""),1)</definedName>
    <definedName name="BillEffect">OFFSET(#REF!,0,0,45-COUNTBLANK(#REF!),1)</definedName>
    <definedName name="BillEffect_Schedule">OFFSET(#REF!,0,0,45-COUNTBLANK(#REF!),1)</definedName>
    <definedName name="BLPH1" hidden="1">#REF!</definedName>
    <definedName name="BLPH2" hidden="1">#REF!</definedName>
    <definedName name="BLPH3" hidden="1">#REF!</definedName>
    <definedName name="BLPH4" hidden="1">#REF!</definedName>
    <definedName name="BLPH5" hidden="1">#REF!</definedName>
    <definedName name="Countries">#REF!</definedName>
    <definedName name="CustomerName">OFFSET(#REF!,0,0,(ROWS(#REF!)-COUNTIF(#REF!,"")),1)</definedName>
    <definedName name="dgsgf" localSheetId="6" hidden="1">{#N/A,#N/A,FALSE,"TMCOMP96";#N/A,#N/A,FALSE,"MAT96";#N/A,#N/A,FALSE,"FANDA96";#N/A,#N/A,FALSE,"INTRAN96";#N/A,#N/A,FALSE,"NAA9697";#N/A,#N/A,FALSE,"ECWEBB";#N/A,#N/A,FALSE,"MFT96";#N/A,#N/A,FALSE,"CTrecon"}</definedName>
    <definedName name="dgsgf" hidden="1">{#N/A,#N/A,FALSE,"TMCOMP96";#N/A,#N/A,FALSE,"MAT96";#N/A,#N/A,FALSE,"FANDA96";#N/A,#N/A,FALSE,"INTRAN96";#N/A,#N/A,FALSE,"NAA9697";#N/A,#N/A,FALSE,"ECWEBB";#N/A,#N/A,FALSE,"MFT96";#N/A,#N/A,FALSE,"CTrecon"}</definedName>
    <definedName name="Differential_List">OFFSET(#REF!,0,0,(6-COUNTIF(#REF!,"")),1)</definedName>
    <definedName name="Distribution" hidden="1">#REF!</definedName>
    <definedName name="ExtraProfiles" hidden="1">#REF!</definedName>
    <definedName name="fg" localSheetId="6" hidden="1">{#N/A,#N/A,FALSE,"TMCOMP96";#N/A,#N/A,FALSE,"MAT96";#N/A,#N/A,FALSE,"FANDA96";#N/A,#N/A,FALSE,"INTRAN96";#N/A,#N/A,FALSE,"NAA9697";#N/A,#N/A,FALSE,"ECWEBB";#N/A,#N/A,FALSE,"MFT96";#N/A,#N/A,FALSE,"CTrecon"}</definedName>
    <definedName name="fg" hidden="1">{#N/A,#N/A,FALSE,"TMCOMP96";#N/A,#N/A,FALSE,"MAT96";#N/A,#N/A,FALSE,"FANDA96";#N/A,#N/A,FALSE,"INTRAN96";#N/A,#N/A,FALSE,"NAA9697";#N/A,#N/A,FALSE,"ECWEBB";#N/A,#N/A,FALSE,"MFT96";#N/A,#N/A,FALSE,"CTrecon"}</definedName>
    <definedName name="fgfd" localSheetId="6" hidden="1">{#N/A,#N/A,FALSE,"TMCOMP96";#N/A,#N/A,FALSE,"MAT96";#N/A,#N/A,FALSE,"FANDA96";#N/A,#N/A,FALSE,"INTRAN96";#N/A,#N/A,FALSE,"NAA9697";#N/A,#N/A,FALSE,"ECWEBB";#N/A,#N/A,FALSE,"MFT96";#N/A,#N/A,FALSE,"CTrecon"}</definedName>
    <definedName name="fgfd" hidden="1">{#N/A,#N/A,FALSE,"TMCOMP96";#N/A,#N/A,FALSE,"MAT96";#N/A,#N/A,FALSE,"FANDA96";#N/A,#N/A,FALSE,"INTRAN96";#N/A,#N/A,FALSE,"NAA9697";#N/A,#N/A,FALSE,"ECWEBB";#N/A,#N/A,FALSE,"MFT96";#N/A,#N/A,FALSE,"CTrecon"}</definedName>
    <definedName name="Forecast">#REF!</definedName>
    <definedName name="Frontier_BAJABBAFCHAB">#REF!</definedName>
    <definedName name="Frontier_BAJABFAJDDBE">#REF!</definedName>
    <definedName name="Frontier_BAJABFAJDFAI">#REF!</definedName>
    <definedName name="Frontier_BAJABFAJDJDH">#REF!</definedName>
    <definedName name="Frontier_BAJABGABBCAF">#REF!</definedName>
    <definedName name="Frontier_BAJABGADAHBH">#REF!</definedName>
    <definedName name="Frontier_BAJABGADBCAE">#REF!</definedName>
    <definedName name="Frontier_BAJABGAGADAH">#REF!</definedName>
    <definedName name="Frontier_BAJABGAGADAI">#REF!</definedName>
    <definedName name="Frontier_BAJABIAAJCCC">#REF!</definedName>
    <definedName name="Frontier_BAJABIAECBDJ">#REF!</definedName>
    <definedName name="Frontier_BAJABIAECEDJ">#REF!</definedName>
    <definedName name="Frontier_BAJABIAGDDDA">#REF!</definedName>
    <definedName name="Frontier_BAJDBAADCAJC">#REF!</definedName>
    <definedName name="Frontier_BAJDBAAFDBBI">#REF!</definedName>
    <definedName name="Frontier_BAJDBAAGBBBD">#REF!</definedName>
    <definedName name="Frontier_BAJDBAAGBECD">#REF!</definedName>
    <definedName name="Frontier_BAJDBAAGBEDI">#REF!</definedName>
    <definedName name="Frontier_BAJDBFADCICF">#REF!</definedName>
    <definedName name="Frontier_BAJFAGAJDDAI">#REF!</definedName>
    <definedName name="Frontier_BAJFAGAJDDCJ">#REF!</definedName>
    <definedName name="Frontier_BAJFAGAJDDJC">#REF!</definedName>
    <definedName name="Frontier_BAJFAGJFECAA">#REF!</definedName>
    <definedName name="Frontier_BAJFAGJFEDED">#REF!</definedName>
    <definedName name="Frontier_BAJFAGJFEDJD">#REF!</definedName>
    <definedName name="Frontier_BAJFAGJFEICF">#REF!</definedName>
    <definedName name="Frontier_BAJFAGJGJAAH">#REF!</definedName>
    <definedName name="Frontier_BAJFAGJGJCDB">#REF!</definedName>
    <definedName name="Frontier_BAJFAGJGJDBH">#REF!</definedName>
    <definedName name="Frontier_BAJFAGJGJFAF">#REF!</definedName>
    <definedName name="Frontier_BAJFAGJGJGJJ">#REF!</definedName>
    <definedName name="Frontier_BAJFAGJGJIBB">#REF!</definedName>
    <definedName name="Frontier_BAJFAGJGJIBC">#REF!</definedName>
    <definedName name="Frontier_BAJFAGJGJIBD">#REF!</definedName>
    <definedName name="Frontier_BAJFAGJGJIJI">#REF!</definedName>
    <definedName name="Frontier_BAJFBHABEBJD">#REF!</definedName>
    <definedName name="Frontier_BAJFBHABEJEA">#REF!</definedName>
    <definedName name="Frontier_BAJFBHAEDACC">#REF!</definedName>
    <definedName name="Frontier_BAJIAFAGBDJC">#REF!</definedName>
    <definedName name="Frontier_BAJIAFAGEDCF">#REF!</definedName>
    <definedName name="Frontier_BAJIBBAAEDDG">#REF!</definedName>
    <definedName name="Frontier_BAJIBBAAEHEF">#REF!</definedName>
    <definedName name="Frontier_BAJIBJADECEB">#REF!</definedName>
    <definedName name="Frontier_BJAABCABCIJF">#REF!</definedName>
    <definedName name="Frontier_BJAABCADAJAG">#REF!</definedName>
    <definedName name="Frontier_BJAABCADDEED">#REF!</definedName>
    <definedName name="Frontier_BJAABCADEAJC">#REF!</definedName>
    <definedName name="Frontier_BJAABCADJHEF">#REF!</definedName>
    <definedName name="Frontier_BJAABCAEBADA">#REF!</definedName>
    <definedName name="Frontier_BJAABCAEBBJD">#REF!</definedName>
    <definedName name="Frontier_BJAABCAEJIBG">#REF!</definedName>
    <definedName name="Frontier_BJAABCAEJIDE">#REF!</definedName>
    <definedName name="Frontier_BJAABDAAAGBE">#REF!</definedName>
    <definedName name="Frontier_BJAABDAAAGCH">#REF!</definedName>
    <definedName name="Frontier_BJAABDAAAHEH">#REF!</definedName>
    <definedName name="Frontier_BJAABDAABADF">#REF!</definedName>
    <definedName name="Frontier_BJAABDAACJBB">#REF!</definedName>
    <definedName name="Frontier_BJAABDAADDJG">#REF!</definedName>
    <definedName name="Frontier_BJAABDAADIJF">#REF!</definedName>
    <definedName name="Frontier_BJAABEABAJAH">#REF!</definedName>
    <definedName name="Frontier_BJAABEABDFEB">#REF!</definedName>
    <definedName name="Frontier_BJAABEABDGDA">#REF!</definedName>
    <definedName name="Frontier_BJAABEACDFJJ">#REF!</definedName>
    <definedName name="Frontier_BJAABFAJJCEB">#REF!</definedName>
    <definedName name="Frontier_BJAABFAJJEAE">#REF!</definedName>
    <definedName name="Frontier_BJAABFAJJHCF">#REF!</definedName>
    <definedName name="Frontier_BJAABGADECEC">#REF!</definedName>
    <definedName name="Frontier_BJAABGAEEJBG">#REF!</definedName>
    <definedName name="Frontier_BJAABGAFCGJB">#REF!</definedName>
    <definedName name="Frontier_BJAABGAFCIBH">#REF!</definedName>
    <definedName name="Frontier_BJAABGAFCIDD">#REF!</definedName>
    <definedName name="Frontier_BJAABGAFDICA">#REF!</definedName>
    <definedName name="Frontier_BJAACJAAEGJE">#REF!</definedName>
    <definedName name="Frontier_BJAACJABJIJA">#REF!</definedName>
    <definedName name="Frontier_BJAACJADCCJE">#REF!</definedName>
    <definedName name="Frontier_BJAACJADEDCJ">#REF!</definedName>
    <definedName name="Frontier_BJAACJAEAGDB">#REF!</definedName>
    <definedName name="Frontier_BJAACJAEAGDH">#REF!</definedName>
    <definedName name="Frontier_BJAACJAEAIDB">#REF!</definedName>
    <definedName name="Frontier_BJAACJAEJGEA">#REF!</definedName>
    <definedName name="Frontier_BJAACJAHEDJF">#REF!</definedName>
    <definedName name="Frontier_BJABJBAEACDA">#REF!</definedName>
    <definedName name="Frontier_BJABJBAEACDD">#REF!</definedName>
    <definedName name="Frontier_BJABJBAEAGBE">#REF!</definedName>
    <definedName name="Frontier_BJABJBAEBDDF">#REF!</definedName>
    <definedName name="Frontier_BJABJBAEBEEB">#REF!</definedName>
    <definedName name="Frontier_BJABJBAEBEEF">#REF!</definedName>
    <definedName name="Frontier_BJABJBAECJEA">#REF!</definedName>
    <definedName name="Frontier_BJABJBAFJCCJ">#REF!</definedName>
    <definedName name="Frontier_BJABJCAACEAC">#REF!</definedName>
    <definedName name="Frontier_BJABJCAACGJC">#REF!</definedName>
    <definedName name="Frontier_BJABJCAADJAF">#REF!</definedName>
    <definedName name="Frontier_BJABJCAEDHAA">#REF!</definedName>
    <definedName name="Frontier_BJABJCAGCDAD">#REF!</definedName>
    <definedName name="Frontier_BJABJCAGCDDJ">#REF!</definedName>
    <definedName name="Frontier_BJABJCAGDDEJ">#REF!</definedName>
    <definedName name="Frontier_BJABJCAGDGAI">#REF!</definedName>
    <definedName name="Frontier_BJABJCAGJCAB">#REF!</definedName>
    <definedName name="Frontier_BJABJDAADDCI">#REF!</definedName>
    <definedName name="Frontier_BJABJDAADFCA">#REF!</definedName>
    <definedName name="Frontier_BJABJDAADIBH">#REF!</definedName>
    <definedName name="Frontier_BJABJDABCDAH">#REF!</definedName>
    <definedName name="Frontier_BJABJDABDGJF">#REF!</definedName>
    <definedName name="Frontier_BJABJDABEBED">#REF!</definedName>
    <definedName name="Frontier_BJABJDABEDAA">#REF!</definedName>
    <definedName name="Frontier_BJABJDABJEDJ">#REF!</definedName>
    <definedName name="Frontier_BJABJDACJBBE">#REF!</definedName>
    <definedName name="Frontier_BJABJDAJJJBI">#REF!</definedName>
    <definedName name="Frontier_BJABJHAJCABH">#REF!</definedName>
    <definedName name="Frontier_BJABJHAJCBAA">#REF!</definedName>
    <definedName name="Frontier_BJABJHAJECAI">#REF!</definedName>
    <definedName name="Frontier_BJABJHAJEEBA">#REF!</definedName>
    <definedName name="ghj" localSheetId="6" hidden="1">{#N/A,#N/A,FALSE,"TMCOMP96";#N/A,#N/A,FALSE,"MAT96";#N/A,#N/A,FALSE,"FANDA96";#N/A,#N/A,FALSE,"INTRAN96";#N/A,#N/A,FALSE,"NAA9697";#N/A,#N/A,FALSE,"ECWEBB";#N/A,#N/A,FALSE,"MFT96";#N/A,#N/A,FALSE,"CTrecon"}</definedName>
    <definedName name="ghj" hidden="1">{#N/A,#N/A,FALSE,"TMCOMP96";#N/A,#N/A,FALSE,"MAT96";#N/A,#N/A,FALSE,"FANDA96";#N/A,#N/A,FALSE,"INTRAN96";#N/A,#N/A,FALSE,"NAA9697";#N/A,#N/A,FALSE,"ECWEBB";#N/A,#N/A,FALSE,"MFT96";#N/A,#N/A,FALSE,"CTrecon"}</definedName>
    <definedName name="Industries">#REF!</definedName>
    <definedName name="jhkgh" localSheetId="6" hidden="1">{#N/A,#N/A,FALSE,"TMCOMP96";#N/A,#N/A,FALSE,"MAT96";#N/A,#N/A,FALSE,"FANDA96";#N/A,#N/A,FALSE,"INTRAN96";#N/A,#N/A,FALSE,"NAA9697";#N/A,#N/A,FALSE,"ECWEBB";#N/A,#N/A,FALSE,"MFT96";#N/A,#N/A,FALSE,"CTrecon"}</definedName>
    <definedName name="jhkgh" hidden="1">{#N/A,#N/A,FALSE,"TMCOMP96";#N/A,#N/A,FALSE,"MAT96";#N/A,#N/A,FALSE,"FANDA96";#N/A,#N/A,FALSE,"INTRAN96";#N/A,#N/A,FALSE,"NAA9697";#N/A,#N/A,FALSE,"ECWEBB";#N/A,#N/A,FALSE,"MFT96";#N/A,#N/A,FALSE,"CTrecon"}</definedName>
    <definedName name="jhkgh2" localSheetId="6" hidden="1">{#N/A,#N/A,FALSE,"TMCOMP96";#N/A,#N/A,FALSE,"MAT96";#N/A,#N/A,FALSE,"FANDA96";#N/A,#N/A,FALSE,"INTRAN96";#N/A,#N/A,FALSE,"NAA9697";#N/A,#N/A,FALSE,"ECWEBB";#N/A,#N/A,FALSE,"MFT96";#N/A,#N/A,FALSE,"CTrecon"}</definedName>
    <definedName name="jhkgh2" hidden="1">{#N/A,#N/A,FALSE,"TMCOMP96";#N/A,#N/A,FALSE,"MAT96";#N/A,#N/A,FALSE,"FANDA96";#N/A,#N/A,FALSE,"INTRAN96";#N/A,#N/A,FALSE,"NAA9697";#N/A,#N/A,FALSE,"ECWEBB";#N/A,#N/A,FALSE,"MFT96";#N/A,#N/A,FALSE,"CTrecon"}</definedName>
    <definedName name="NAC">#REF!</definedName>
    <definedName name="Option2" localSheetId="6" hidden="1">{#N/A,#N/A,FALSE,"TMCOMP96";#N/A,#N/A,FALSE,"MAT96";#N/A,#N/A,FALSE,"FANDA96";#N/A,#N/A,FALSE,"INTRAN96";#N/A,#N/A,FALSE,"NAA9697";#N/A,#N/A,FALSE,"ECWEBB";#N/A,#N/A,FALSE,"MFT96";#N/A,#N/A,FALSE,"CTrecon"}</definedName>
    <definedName name="Option2" hidden="1">{#N/A,#N/A,FALSE,"TMCOMP96";#N/A,#N/A,FALSE,"MAT96";#N/A,#N/A,FALSE,"FANDA96";#N/A,#N/A,FALSE,"INTRAN96";#N/A,#N/A,FALSE,"NAA9697";#N/A,#N/A,FALSE,"ECWEBB";#N/A,#N/A,FALSE,"MFT96";#N/A,#N/A,FALSE,"CTrecon"}</definedName>
    <definedName name="Pop" hidden="1">#REF!</definedName>
    <definedName name="Population" hidden="1">#REF!</definedName>
    <definedName name="Profiles" hidden="1">#REF!</definedName>
    <definedName name="Projections" hidden="1">#REF!</definedName>
    <definedName name="Results" hidden="1">#REF!</definedName>
    <definedName name="sdf" localSheetId="6" hidden="1">{#N/A,#N/A,FALSE,"TMCOMP96";#N/A,#N/A,FALSE,"MAT96";#N/A,#N/A,FALSE,"FANDA96";#N/A,#N/A,FALSE,"INTRAN96";#N/A,#N/A,FALSE,"NAA9697";#N/A,#N/A,FALSE,"ECWEBB";#N/A,#N/A,FALSE,"MFT96";#N/A,#N/A,FALSE,"CTrecon"}</definedName>
    <definedName name="sdf" hidden="1">{#N/A,#N/A,FALSE,"TMCOMP96";#N/A,#N/A,FALSE,"MAT96";#N/A,#N/A,FALSE,"FANDA96";#N/A,#N/A,FALSE,"INTRAN96";#N/A,#N/A,FALSE,"NAA9697";#N/A,#N/A,FALSE,"ECWEBB";#N/A,#N/A,FALSE,"MFT96";#N/A,#N/A,FALSE,"CTrecon"}</definedName>
    <definedName name="sdff" localSheetId="6" hidden="1">{#N/A,#N/A,FALSE,"TMCOMP96";#N/A,#N/A,FALSE,"MAT96";#N/A,#N/A,FALSE,"FANDA96";#N/A,#N/A,FALSE,"INTRAN96";#N/A,#N/A,FALSE,"NAA9697";#N/A,#N/A,FALSE,"ECWEBB";#N/A,#N/A,FALSE,"MFT96";#N/A,#N/A,FALSE,"CTrecon"}</definedName>
    <definedName name="sdff" hidden="1">{#N/A,#N/A,FALSE,"TMCOMP96";#N/A,#N/A,FALSE,"MAT96";#N/A,#N/A,FALSE,"FANDA96";#N/A,#N/A,FALSE,"INTRAN96";#N/A,#N/A,FALSE,"NAA9697";#N/A,#N/A,FALSE,"ECWEBB";#N/A,#N/A,FALSE,"MFT96";#N/A,#N/A,FALSE,"CTrecon"}</definedName>
    <definedName name="sfad" localSheetId="6" hidden="1">{#N/A,#N/A,FALSE,"TMCOMP96";#N/A,#N/A,FALSE,"MAT96";#N/A,#N/A,FALSE,"FANDA96";#N/A,#N/A,FALSE,"INTRAN96";#N/A,#N/A,FALSE,"NAA9697";#N/A,#N/A,FALSE,"ECWEBB";#N/A,#N/A,FALSE,"MFT96";#N/A,#N/A,FALSE,"CTrecon"}</definedName>
    <definedName name="sfad" hidden="1">{#N/A,#N/A,FALSE,"TMCOMP96";#N/A,#N/A,FALSE,"MAT96";#N/A,#N/A,FALSE,"FANDA96";#N/A,#N/A,FALSE,"INTRAN96";#N/A,#N/A,FALSE,"NAA9697";#N/A,#N/A,FALSE,"ECWEBB";#N/A,#N/A,FALSE,"MFT96";#N/A,#N/A,FALSE,"CTrecon"}</definedName>
    <definedName name="Tariff_ID">OFFSET(#REF!,0,0,(345-COUNTBLANK(#REF!)),1)</definedName>
    <definedName name="Tariff_Types">OFFSET(#REF!,0,0,19-COUNTIF(#REF!,""),1)</definedName>
    <definedName name="TariffYears">#REF!</definedName>
    <definedName name="TariffYearSet">#REF!</definedName>
    <definedName name="TariffYearSetMinus1">#REF!</definedName>
    <definedName name="TariffYearSetMinus2">#REF!</definedName>
    <definedName name="trggh" localSheetId="6" hidden="1">{#N/A,#N/A,FALSE,"TMCOMP96";#N/A,#N/A,FALSE,"MAT96";#N/A,#N/A,FALSE,"FANDA96";#N/A,#N/A,FALSE,"INTRAN96";#N/A,#N/A,FALSE,"NAA9697";#N/A,#N/A,FALSE,"ECWEBB";#N/A,#N/A,FALSE,"MFT96";#N/A,#N/A,FALSE,"CTrecon"}</definedName>
    <definedName name="trggh" hidden="1">{#N/A,#N/A,FALSE,"TMCOMP96";#N/A,#N/A,FALSE,"MAT96";#N/A,#N/A,FALSE,"FANDA96";#N/A,#N/A,FALSE,"INTRAN96";#N/A,#N/A,FALSE,"NAA9697";#N/A,#N/A,FALSE,"ECWEBB";#N/A,#N/A,FALSE,"MFT96";#N/A,#N/A,FALSE,"CTrecon"}</definedName>
    <definedName name="wrn.TMCOMP." localSheetId="6" hidden="1">{#N/A,#N/A,FALSE,"TMCOMP96";#N/A,#N/A,FALSE,"MAT96";#N/A,#N/A,FALSE,"FANDA96";#N/A,#N/A,FALSE,"INTRAN96";#N/A,#N/A,FALSE,"NAA9697";#N/A,#N/A,FALSE,"ECWEBB";#N/A,#N/A,FALSE,"MFT96";#N/A,#N/A,FALSE,"CTrecon"}</definedName>
    <definedName name="wrn.TMCOMP." hidden="1">{#N/A,#N/A,FALSE,"TMCOMP96";#N/A,#N/A,FALSE,"MAT96";#N/A,#N/A,FALSE,"FANDA96";#N/A,#N/A,FALSE,"INTRAN96";#N/A,#N/A,FALSE,"NAA9697";#N/A,#N/A,FALSE,"ECWEBB";#N/A,#N/A,FALSE,"MFT96";#N/A,#N/A,FALSE,"CTrecon"}</definedName>
    <definedName name="xDSL_propio__bitstream">#REF!</definedName>
    <definedName name="xDSL_propio__líneas">#REF!</definedName>
    <definedName name="Year">#REF!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48" i="51" l="1"/>
  <c r="D27" i="51"/>
  <c r="D36" i="51"/>
  <c r="U31" i="63"/>
  <c r="T31" i="63"/>
  <c r="S31" i="63"/>
  <c r="R31" i="63"/>
  <c r="Q31" i="63"/>
  <c r="P31" i="63"/>
  <c r="O31" i="63"/>
  <c r="N31" i="63"/>
  <c r="M31" i="63"/>
  <c r="L31" i="63"/>
  <c r="K31" i="63"/>
  <c r="J31" i="63"/>
  <c r="I31" i="63"/>
  <c r="H31" i="63"/>
  <c r="G31" i="63"/>
  <c r="U25" i="63"/>
  <c r="T25" i="63"/>
  <c r="S25" i="63"/>
  <c r="R25" i="63"/>
  <c r="Q25" i="63"/>
  <c r="P25" i="63"/>
  <c r="O25" i="63"/>
  <c r="N25" i="63"/>
  <c r="M25" i="63"/>
  <c r="L25" i="63"/>
  <c r="K25" i="63"/>
  <c r="J25" i="63"/>
  <c r="I25" i="63"/>
  <c r="H25" i="63"/>
  <c r="G25" i="63"/>
  <c r="F31" i="63"/>
  <c r="F25" i="63"/>
  <c r="U18" i="63"/>
  <c r="T18" i="63"/>
  <c r="S18" i="63"/>
  <c r="R18" i="63"/>
  <c r="Q18" i="63"/>
  <c r="P18" i="63"/>
  <c r="O18" i="63"/>
  <c r="N18" i="63"/>
  <c r="M18" i="63"/>
  <c r="L18" i="63"/>
  <c r="K18" i="63"/>
  <c r="J18" i="63"/>
  <c r="I18" i="63"/>
  <c r="H18" i="63"/>
  <c r="U17" i="63"/>
  <c r="T17" i="63"/>
  <c r="S17" i="63"/>
  <c r="R17" i="63"/>
  <c r="Q17" i="63"/>
  <c r="P17" i="63"/>
  <c r="O17" i="63"/>
  <c r="N17" i="63"/>
  <c r="M17" i="63"/>
  <c r="L17" i="63"/>
  <c r="K17" i="63"/>
  <c r="J17" i="63"/>
  <c r="I17" i="63"/>
  <c r="H17" i="63"/>
  <c r="U16" i="63"/>
  <c r="T16" i="63"/>
  <c r="S16" i="63"/>
  <c r="R16" i="63"/>
  <c r="Q16" i="63"/>
  <c r="P16" i="63"/>
  <c r="O16" i="63"/>
  <c r="O19" i="63" s="1"/>
  <c r="N16" i="63"/>
  <c r="N19" i="63" s="1"/>
  <c r="M16" i="63"/>
  <c r="L16" i="63"/>
  <c r="K16" i="63"/>
  <c r="J16" i="63"/>
  <c r="I16" i="63"/>
  <c r="H16" i="63"/>
  <c r="G18" i="63"/>
  <c r="G17" i="63"/>
  <c r="G16" i="63"/>
  <c r="F18" i="63"/>
  <c r="F19" i="63" s="1"/>
  <c r="F17" i="63"/>
  <c r="F16" i="63"/>
  <c r="P13" i="63"/>
  <c r="O13" i="63"/>
  <c r="N13" i="63"/>
  <c r="M13" i="63"/>
  <c r="L13" i="63"/>
  <c r="K13" i="63"/>
  <c r="J13" i="63"/>
  <c r="I13" i="63"/>
  <c r="H13" i="63"/>
  <c r="G13" i="63"/>
  <c r="F13" i="63"/>
  <c r="F6" i="63"/>
  <c r="D6" i="63"/>
  <c r="Q19" i="63" l="1"/>
  <c r="S19" i="63"/>
  <c r="P19" i="63"/>
  <c r="R19" i="63"/>
  <c r="J19" i="63"/>
  <c r="G19" i="63"/>
  <c r="K19" i="63"/>
  <c r="C12" i="63"/>
  <c r="I19" i="63"/>
  <c r="M19" i="63"/>
  <c r="L19" i="63"/>
  <c r="H19" i="63"/>
  <c r="U19" i="63"/>
  <c r="T19" i="63"/>
  <c r="P113" i="47"/>
  <c r="P112" i="47"/>
  <c r="P111" i="47"/>
  <c r="P114" i="47" s="1"/>
  <c r="O113" i="47"/>
  <c r="O114" i="47" s="1"/>
  <c r="O112" i="47"/>
  <c r="O111" i="47"/>
  <c r="N113" i="47"/>
  <c r="N112" i="47"/>
  <c r="N111" i="47"/>
  <c r="N114" i="47" s="1"/>
  <c r="M113" i="47"/>
  <c r="M112" i="47"/>
  <c r="M111" i="47"/>
  <c r="M114" i="47" s="1"/>
  <c r="L113" i="47"/>
  <c r="L112" i="47"/>
  <c r="L111" i="47"/>
  <c r="L114" i="47" s="1"/>
  <c r="F24" i="47"/>
  <c r="AA17" i="50"/>
  <c r="Z17" i="50"/>
  <c r="Y17" i="50"/>
  <c r="X17" i="50"/>
  <c r="W17" i="50"/>
  <c r="V17" i="50"/>
  <c r="U17" i="50"/>
  <c r="P17" i="50"/>
  <c r="O17" i="50"/>
  <c r="M17" i="50"/>
  <c r="L17" i="50"/>
  <c r="K17" i="50"/>
  <c r="D13" i="40"/>
  <c r="X22" i="40"/>
  <c r="X21" i="40"/>
  <c r="X20" i="40"/>
  <c r="X19" i="40"/>
  <c r="X18" i="40"/>
  <c r="X17" i="40"/>
  <c r="X16" i="40"/>
  <c r="X15" i="40"/>
  <c r="X14" i="40"/>
  <c r="X13" i="40"/>
  <c r="W22" i="40"/>
  <c r="W21" i="40"/>
  <c r="W20" i="40"/>
  <c r="W19" i="40"/>
  <c r="W18" i="40"/>
  <c r="W17" i="40"/>
  <c r="W16" i="40"/>
  <c r="W15" i="40"/>
  <c r="W14" i="40"/>
  <c r="W13" i="40"/>
  <c r="V22" i="40"/>
  <c r="V21" i="40"/>
  <c r="V20" i="40"/>
  <c r="V19" i="40"/>
  <c r="V18" i="40"/>
  <c r="V17" i="40"/>
  <c r="V16" i="40"/>
  <c r="V15" i="40"/>
  <c r="V14" i="40"/>
  <c r="V13" i="40"/>
  <c r="U22" i="40"/>
  <c r="U21" i="40"/>
  <c r="U20" i="40"/>
  <c r="U19" i="40"/>
  <c r="U18" i="40"/>
  <c r="U17" i="40"/>
  <c r="U16" i="40"/>
  <c r="U15" i="40"/>
  <c r="U14" i="40"/>
  <c r="U13" i="40"/>
  <c r="T22" i="40"/>
  <c r="T21" i="40"/>
  <c r="T20" i="40"/>
  <c r="T19" i="40"/>
  <c r="T18" i="40"/>
  <c r="T17" i="40"/>
  <c r="T16" i="40"/>
  <c r="T15" i="40"/>
  <c r="T14" i="40"/>
  <c r="T13" i="40"/>
  <c r="S22" i="40"/>
  <c r="S21" i="40"/>
  <c r="S20" i="40"/>
  <c r="S19" i="40"/>
  <c r="S18" i="40"/>
  <c r="S17" i="40"/>
  <c r="S16" i="40"/>
  <c r="S15" i="40"/>
  <c r="S14" i="40"/>
  <c r="S13" i="40"/>
  <c r="R22" i="40"/>
  <c r="R21" i="40"/>
  <c r="R20" i="40"/>
  <c r="R19" i="40"/>
  <c r="R18" i="40"/>
  <c r="R23" i="40" s="1"/>
  <c r="R25" i="40" s="1"/>
  <c r="R17" i="40"/>
  <c r="R16" i="40"/>
  <c r="R15" i="40"/>
  <c r="R14" i="40"/>
  <c r="R13" i="40"/>
  <c r="Q22" i="40"/>
  <c r="Q21" i="40"/>
  <c r="Q20" i="40"/>
  <c r="Q19" i="40"/>
  <c r="Q18" i="40"/>
  <c r="Q17" i="40"/>
  <c r="Q16" i="40"/>
  <c r="Q15" i="40"/>
  <c r="Q14" i="40"/>
  <c r="Q13" i="40"/>
  <c r="P22" i="40"/>
  <c r="P21" i="40"/>
  <c r="P20" i="40"/>
  <c r="P19" i="40"/>
  <c r="P18" i="40"/>
  <c r="P17" i="40"/>
  <c r="P16" i="40"/>
  <c r="P15" i="40"/>
  <c r="P14" i="40"/>
  <c r="P13" i="40"/>
  <c r="O22" i="40"/>
  <c r="O21" i="40"/>
  <c r="O20" i="40"/>
  <c r="O19" i="40"/>
  <c r="O18" i="40"/>
  <c r="O17" i="40"/>
  <c r="O16" i="40"/>
  <c r="O15" i="40"/>
  <c r="O14" i="40"/>
  <c r="O13" i="40"/>
  <c r="N22" i="40"/>
  <c r="N21" i="40"/>
  <c r="N20" i="40"/>
  <c r="N19" i="40"/>
  <c r="N18" i="40"/>
  <c r="N17" i="40"/>
  <c r="N16" i="40"/>
  <c r="N15" i="40"/>
  <c r="N14" i="40"/>
  <c r="N13" i="40"/>
  <c r="M22" i="40"/>
  <c r="M21" i="40"/>
  <c r="M20" i="40"/>
  <c r="M19" i="40"/>
  <c r="M18" i="40"/>
  <c r="M17" i="40"/>
  <c r="M16" i="40"/>
  <c r="M15" i="40"/>
  <c r="M14" i="40"/>
  <c r="M13" i="40"/>
  <c r="L22" i="40"/>
  <c r="L21" i="40"/>
  <c r="L20" i="40"/>
  <c r="L19" i="40"/>
  <c r="L18" i="40"/>
  <c r="L17" i="40"/>
  <c r="L16" i="40"/>
  <c r="L15" i="40"/>
  <c r="L14" i="40"/>
  <c r="L13" i="40"/>
  <c r="L23" i="40" s="1"/>
  <c r="M20" i="50" s="1"/>
  <c r="K22" i="40"/>
  <c r="K21" i="40"/>
  <c r="K20" i="40"/>
  <c r="K19" i="40"/>
  <c r="K18" i="40"/>
  <c r="K17" i="40"/>
  <c r="K16" i="40"/>
  <c r="K15" i="40"/>
  <c r="K14" i="40"/>
  <c r="K13" i="40"/>
  <c r="J22" i="40"/>
  <c r="J21" i="40"/>
  <c r="J20" i="40"/>
  <c r="J19" i="40"/>
  <c r="J18" i="40"/>
  <c r="J17" i="40"/>
  <c r="J16" i="40"/>
  <c r="J15" i="40"/>
  <c r="J14" i="40"/>
  <c r="J13" i="40"/>
  <c r="J23" i="40" s="1"/>
  <c r="K20" i="50" s="1"/>
  <c r="I22" i="40"/>
  <c r="I21" i="40"/>
  <c r="I20" i="40"/>
  <c r="I19" i="40"/>
  <c r="I18" i="40"/>
  <c r="I17" i="40"/>
  <c r="I16" i="40"/>
  <c r="I15" i="40"/>
  <c r="I14" i="40"/>
  <c r="I13" i="40"/>
  <c r="H22" i="40"/>
  <c r="H21" i="40"/>
  <c r="H20" i="40"/>
  <c r="H19" i="40"/>
  <c r="H18" i="40"/>
  <c r="H17" i="40"/>
  <c r="H16" i="40"/>
  <c r="H15" i="40"/>
  <c r="H14" i="40"/>
  <c r="H13" i="40"/>
  <c r="G22" i="40"/>
  <c r="G21" i="40"/>
  <c r="G20" i="40"/>
  <c r="G19" i="40"/>
  <c r="G18" i="40"/>
  <c r="G17" i="40"/>
  <c r="G16" i="40"/>
  <c r="G15" i="40"/>
  <c r="G14" i="40"/>
  <c r="G13" i="40"/>
  <c r="F22" i="40"/>
  <c r="F21" i="40"/>
  <c r="F20" i="40"/>
  <c r="F19" i="40"/>
  <c r="F18" i="40"/>
  <c r="F17" i="40"/>
  <c r="F16" i="40"/>
  <c r="F15" i="40"/>
  <c r="F14" i="40"/>
  <c r="F13" i="40"/>
  <c r="E22" i="40"/>
  <c r="E21" i="40"/>
  <c r="E20" i="40"/>
  <c r="E19" i="40"/>
  <c r="E18" i="40"/>
  <c r="E17" i="40"/>
  <c r="E16" i="40"/>
  <c r="E15" i="40"/>
  <c r="E14" i="40"/>
  <c r="E13" i="40"/>
  <c r="D22" i="40"/>
  <c r="D21" i="40"/>
  <c r="D20" i="40"/>
  <c r="D19" i="40"/>
  <c r="D18" i="40"/>
  <c r="D17" i="40"/>
  <c r="D16" i="40"/>
  <c r="D15" i="40"/>
  <c r="D14" i="40"/>
  <c r="N12" i="40"/>
  <c r="X12" i="40"/>
  <c r="W12" i="40"/>
  <c r="V12" i="40"/>
  <c r="U12" i="40"/>
  <c r="T12" i="40"/>
  <c r="S12" i="40"/>
  <c r="R12" i="40"/>
  <c r="Q12" i="40"/>
  <c r="M12" i="40"/>
  <c r="L12" i="40"/>
  <c r="K12" i="40"/>
  <c r="J12" i="40"/>
  <c r="I12" i="40"/>
  <c r="X24" i="41"/>
  <c r="W24" i="41"/>
  <c r="V24" i="41"/>
  <c r="U24" i="41"/>
  <c r="T24" i="41"/>
  <c r="S24" i="41"/>
  <c r="R24" i="41"/>
  <c r="Q24" i="41"/>
  <c r="P24" i="41"/>
  <c r="O24" i="41"/>
  <c r="N24" i="41"/>
  <c r="M24" i="41"/>
  <c r="L24" i="41"/>
  <c r="K24" i="41"/>
  <c r="J24" i="41"/>
  <c r="I24" i="41"/>
  <c r="H24" i="41"/>
  <c r="G24" i="41"/>
  <c r="F24" i="41"/>
  <c r="E24" i="41"/>
  <c r="D24" i="41"/>
  <c r="O10" i="41"/>
  <c r="N10" i="41"/>
  <c r="M10" i="41"/>
  <c r="L10" i="41"/>
  <c r="K10" i="41"/>
  <c r="J10" i="41"/>
  <c r="X14" i="41"/>
  <c r="P14" i="41"/>
  <c r="O14" i="41"/>
  <c r="X10" i="41"/>
  <c r="W10" i="41"/>
  <c r="V10" i="41"/>
  <c r="U10" i="41"/>
  <c r="T10" i="41"/>
  <c r="S10" i="41"/>
  <c r="R10" i="41"/>
  <c r="Q10" i="41"/>
  <c r="D14" i="41"/>
  <c r="C679" i="57"/>
  <c r="C678" i="57"/>
  <c r="C677" i="57"/>
  <c r="C676" i="57"/>
  <c r="C675" i="57"/>
  <c r="C674" i="57"/>
  <c r="C673" i="57"/>
  <c r="C672" i="57"/>
  <c r="C671" i="57"/>
  <c r="C670" i="57"/>
  <c r="C669" i="57"/>
  <c r="C668" i="57"/>
  <c r="C667" i="57"/>
  <c r="C666" i="57"/>
  <c r="C665" i="57"/>
  <c r="C664" i="57"/>
  <c r="C663" i="57"/>
  <c r="C662" i="57"/>
  <c r="C661" i="57"/>
  <c r="C653" i="57"/>
  <c r="C652" i="57"/>
  <c r="C651" i="57"/>
  <c r="C650" i="57"/>
  <c r="C649" i="57"/>
  <c r="C648" i="57"/>
  <c r="C647" i="57"/>
  <c r="C646" i="57"/>
  <c r="C645" i="57"/>
  <c r="C644" i="57"/>
  <c r="C643" i="57"/>
  <c r="C642" i="57"/>
  <c r="C641" i="57"/>
  <c r="C640" i="57"/>
  <c r="C639" i="57"/>
  <c r="C638" i="57"/>
  <c r="C637" i="57"/>
  <c r="C636" i="57"/>
  <c r="C635" i="57"/>
  <c r="C627" i="57"/>
  <c r="C626" i="57"/>
  <c r="C625" i="57"/>
  <c r="C624" i="57"/>
  <c r="C623" i="57"/>
  <c r="C622" i="57"/>
  <c r="C621" i="57"/>
  <c r="C620" i="57"/>
  <c r="C619" i="57"/>
  <c r="C618" i="57"/>
  <c r="C617" i="57"/>
  <c r="C616" i="57"/>
  <c r="C615" i="57"/>
  <c r="C614" i="57"/>
  <c r="C613" i="57"/>
  <c r="C612" i="57"/>
  <c r="C611" i="57"/>
  <c r="C610" i="57"/>
  <c r="C609" i="57"/>
  <c r="C601" i="57"/>
  <c r="C600" i="57"/>
  <c r="C599" i="57"/>
  <c r="C598" i="57"/>
  <c r="C597" i="57"/>
  <c r="C596" i="57"/>
  <c r="C595" i="57"/>
  <c r="C594" i="57"/>
  <c r="C593" i="57"/>
  <c r="C592" i="57"/>
  <c r="C591" i="57"/>
  <c r="C590" i="57"/>
  <c r="C589" i="57"/>
  <c r="C588" i="57"/>
  <c r="C587" i="57"/>
  <c r="C586" i="57"/>
  <c r="C585" i="57"/>
  <c r="C584" i="57"/>
  <c r="C583" i="57"/>
  <c r="C575" i="57"/>
  <c r="C574" i="57"/>
  <c r="C573" i="57"/>
  <c r="C572" i="57"/>
  <c r="C571" i="57"/>
  <c r="C570" i="57"/>
  <c r="C569" i="57"/>
  <c r="C568" i="57"/>
  <c r="C567" i="57"/>
  <c r="C566" i="57"/>
  <c r="C565" i="57"/>
  <c r="C564" i="57"/>
  <c r="C563" i="57"/>
  <c r="C562" i="57"/>
  <c r="C561" i="57"/>
  <c r="C560" i="57"/>
  <c r="C559" i="57"/>
  <c r="C558" i="57"/>
  <c r="C557" i="57"/>
  <c r="N549" i="57"/>
  <c r="N548" i="57"/>
  <c r="N547" i="57"/>
  <c r="N546" i="57"/>
  <c r="N545" i="57"/>
  <c r="N544" i="57"/>
  <c r="N543" i="57"/>
  <c r="N542" i="57"/>
  <c r="N541" i="57"/>
  <c r="N540" i="57"/>
  <c r="N539" i="57"/>
  <c r="N538" i="57"/>
  <c r="N537" i="57"/>
  <c r="N536" i="57"/>
  <c r="N535" i="57"/>
  <c r="N534" i="57"/>
  <c r="N533" i="57"/>
  <c r="N532" i="57"/>
  <c r="N531" i="57"/>
  <c r="L530" i="57"/>
  <c r="F549" i="57"/>
  <c r="F548" i="57"/>
  <c r="F547" i="57"/>
  <c r="F546" i="57"/>
  <c r="F545" i="57"/>
  <c r="F544" i="57"/>
  <c r="F543" i="57"/>
  <c r="F542" i="57"/>
  <c r="F541" i="57"/>
  <c r="F540" i="57"/>
  <c r="F539" i="57"/>
  <c r="F538" i="57"/>
  <c r="F537" i="57"/>
  <c r="F536" i="57"/>
  <c r="F535" i="57"/>
  <c r="F534" i="57"/>
  <c r="F533" i="57"/>
  <c r="F532" i="57"/>
  <c r="F531" i="57"/>
  <c r="D549" i="57"/>
  <c r="D548" i="57"/>
  <c r="D547" i="57"/>
  <c r="D546" i="57"/>
  <c r="D545" i="57"/>
  <c r="D544" i="57"/>
  <c r="D543" i="57"/>
  <c r="D542" i="57"/>
  <c r="D541" i="57"/>
  <c r="D540" i="57"/>
  <c r="D539" i="57"/>
  <c r="D538" i="57"/>
  <c r="D537" i="57"/>
  <c r="D536" i="57"/>
  <c r="D535" i="57"/>
  <c r="D534" i="57"/>
  <c r="D533" i="57"/>
  <c r="D532" i="57"/>
  <c r="D531" i="57"/>
  <c r="C530" i="57"/>
  <c r="C549" i="57"/>
  <c r="C548" i="57"/>
  <c r="C547" i="57"/>
  <c r="C546" i="57"/>
  <c r="C545" i="57"/>
  <c r="C544" i="57"/>
  <c r="C543" i="57"/>
  <c r="C542" i="57"/>
  <c r="C541" i="57"/>
  <c r="C540" i="57"/>
  <c r="C539" i="57"/>
  <c r="C538" i="57"/>
  <c r="C537" i="57"/>
  <c r="C536" i="57"/>
  <c r="C535" i="57"/>
  <c r="C534" i="57"/>
  <c r="C533" i="57"/>
  <c r="C532" i="57"/>
  <c r="C531" i="57"/>
  <c r="N523" i="57"/>
  <c r="N522" i="57"/>
  <c r="N521" i="57"/>
  <c r="N520" i="57"/>
  <c r="N519" i="57"/>
  <c r="N518" i="57"/>
  <c r="N517" i="57"/>
  <c r="N516" i="57"/>
  <c r="N515" i="57"/>
  <c r="N514" i="57"/>
  <c r="N513" i="57"/>
  <c r="N512" i="57"/>
  <c r="N511" i="57"/>
  <c r="N510" i="57"/>
  <c r="N509" i="57"/>
  <c r="N508" i="57"/>
  <c r="N507" i="57"/>
  <c r="N506" i="57"/>
  <c r="N505" i="57"/>
  <c r="L504" i="57"/>
  <c r="W14" i="41" s="1"/>
  <c r="F523" i="57"/>
  <c r="F522" i="57"/>
  <c r="F521" i="57"/>
  <c r="F520" i="57"/>
  <c r="F519" i="57"/>
  <c r="F518" i="57"/>
  <c r="F517" i="57"/>
  <c r="F516" i="57"/>
  <c r="F515" i="57"/>
  <c r="F514" i="57"/>
  <c r="F513" i="57"/>
  <c r="F512" i="57"/>
  <c r="F511" i="57"/>
  <c r="F510" i="57"/>
  <c r="F509" i="57"/>
  <c r="F508" i="57"/>
  <c r="F507" i="57"/>
  <c r="F506" i="57"/>
  <c r="F505" i="57"/>
  <c r="D523" i="57"/>
  <c r="D522" i="57"/>
  <c r="D521" i="57"/>
  <c r="D520" i="57"/>
  <c r="D519" i="57"/>
  <c r="D518" i="57"/>
  <c r="D517" i="57"/>
  <c r="D516" i="57"/>
  <c r="D515" i="57"/>
  <c r="D514" i="57"/>
  <c r="D513" i="57"/>
  <c r="D512" i="57"/>
  <c r="D511" i="57"/>
  <c r="D510" i="57"/>
  <c r="D509" i="57"/>
  <c r="D508" i="57"/>
  <c r="D507" i="57"/>
  <c r="D506" i="57"/>
  <c r="D505" i="57"/>
  <c r="C504" i="57"/>
  <c r="C523" i="57"/>
  <c r="C522" i="57"/>
  <c r="C521" i="57"/>
  <c r="C520" i="57"/>
  <c r="C519" i="57"/>
  <c r="C518" i="57"/>
  <c r="C517" i="57"/>
  <c r="C516" i="57"/>
  <c r="C515" i="57"/>
  <c r="C514" i="57"/>
  <c r="C513" i="57"/>
  <c r="C512" i="57"/>
  <c r="C511" i="57"/>
  <c r="C510" i="57"/>
  <c r="C509" i="57"/>
  <c r="C508" i="57"/>
  <c r="C507" i="57"/>
  <c r="C506" i="57"/>
  <c r="C505" i="57"/>
  <c r="N497" i="57"/>
  <c r="N496" i="57"/>
  <c r="N495" i="57"/>
  <c r="N494" i="57"/>
  <c r="N493" i="57"/>
  <c r="N492" i="57"/>
  <c r="N491" i="57"/>
  <c r="N490" i="57"/>
  <c r="N489" i="57"/>
  <c r="N488" i="57"/>
  <c r="N487" i="57"/>
  <c r="N486" i="57"/>
  <c r="N485" i="57"/>
  <c r="N484" i="57"/>
  <c r="N483" i="57"/>
  <c r="N482" i="57"/>
  <c r="N481" i="57"/>
  <c r="N480" i="57"/>
  <c r="N479" i="57"/>
  <c r="F497" i="57"/>
  <c r="F496" i="57"/>
  <c r="F495" i="57"/>
  <c r="F494" i="57"/>
  <c r="F493" i="57"/>
  <c r="F492" i="57"/>
  <c r="F491" i="57"/>
  <c r="F490" i="57"/>
  <c r="F489" i="57"/>
  <c r="F488" i="57"/>
  <c r="F487" i="57"/>
  <c r="F486" i="57"/>
  <c r="F485" i="57"/>
  <c r="F484" i="57"/>
  <c r="F483" i="57"/>
  <c r="F482" i="57"/>
  <c r="F481" i="57"/>
  <c r="F480" i="57"/>
  <c r="F479" i="57"/>
  <c r="D497" i="57"/>
  <c r="D496" i="57"/>
  <c r="D495" i="57"/>
  <c r="D494" i="57"/>
  <c r="D493" i="57"/>
  <c r="D492" i="57"/>
  <c r="D491" i="57"/>
  <c r="D490" i="57"/>
  <c r="D489" i="57"/>
  <c r="D488" i="57"/>
  <c r="D487" i="57"/>
  <c r="D486" i="57"/>
  <c r="D485" i="57"/>
  <c r="D484" i="57"/>
  <c r="D483" i="57"/>
  <c r="D482" i="57"/>
  <c r="D481" i="57"/>
  <c r="D480" i="57"/>
  <c r="D479" i="57"/>
  <c r="C478" i="57"/>
  <c r="C497" i="57"/>
  <c r="C496" i="57"/>
  <c r="C495" i="57"/>
  <c r="C494" i="57"/>
  <c r="C493" i="57"/>
  <c r="C492" i="57"/>
  <c r="C491" i="57"/>
  <c r="C490" i="57"/>
  <c r="C489" i="57"/>
  <c r="C488" i="57"/>
  <c r="C487" i="57"/>
  <c r="C486" i="57"/>
  <c r="C485" i="57"/>
  <c r="C484" i="57"/>
  <c r="C483" i="57"/>
  <c r="C482" i="57"/>
  <c r="C481" i="57"/>
  <c r="C480" i="57"/>
  <c r="C479" i="57"/>
  <c r="L478" i="57"/>
  <c r="V14" i="41" s="1"/>
  <c r="N471" i="57"/>
  <c r="N470" i="57"/>
  <c r="N469" i="57"/>
  <c r="N468" i="57"/>
  <c r="N467" i="57"/>
  <c r="N466" i="57"/>
  <c r="N465" i="57"/>
  <c r="N464" i="57"/>
  <c r="N463" i="57"/>
  <c r="N462" i="57"/>
  <c r="N461" i="57"/>
  <c r="N460" i="57"/>
  <c r="N459" i="57"/>
  <c r="N458" i="57"/>
  <c r="N457" i="57"/>
  <c r="N456" i="57"/>
  <c r="N455" i="57"/>
  <c r="N454" i="57"/>
  <c r="N453" i="57"/>
  <c r="F471" i="57"/>
  <c r="F470" i="57"/>
  <c r="F469" i="57"/>
  <c r="F468" i="57"/>
  <c r="F467" i="57"/>
  <c r="F466" i="57"/>
  <c r="F465" i="57"/>
  <c r="F464" i="57"/>
  <c r="F463" i="57"/>
  <c r="F462" i="57"/>
  <c r="F461" i="57"/>
  <c r="F460" i="57"/>
  <c r="F459" i="57"/>
  <c r="F458" i="57"/>
  <c r="F457" i="57"/>
  <c r="F456" i="57"/>
  <c r="F455" i="57"/>
  <c r="F454" i="57"/>
  <c r="F453" i="57"/>
  <c r="D471" i="57"/>
  <c r="D470" i="57"/>
  <c r="D469" i="57"/>
  <c r="D468" i="57"/>
  <c r="D467" i="57"/>
  <c r="D466" i="57"/>
  <c r="D465" i="57"/>
  <c r="D464" i="57"/>
  <c r="D463" i="57"/>
  <c r="D462" i="57"/>
  <c r="D461" i="57"/>
  <c r="D460" i="57"/>
  <c r="D459" i="57"/>
  <c r="D458" i="57"/>
  <c r="D457" i="57"/>
  <c r="D456" i="57"/>
  <c r="D455" i="57"/>
  <c r="D454" i="57"/>
  <c r="D453" i="57"/>
  <c r="C452" i="57"/>
  <c r="C471" i="57"/>
  <c r="C470" i="57"/>
  <c r="C469" i="57"/>
  <c r="C468" i="57"/>
  <c r="C467" i="57"/>
  <c r="C466" i="57"/>
  <c r="C465" i="57"/>
  <c r="C464" i="57"/>
  <c r="C463" i="57"/>
  <c r="C462" i="57"/>
  <c r="C461" i="57"/>
  <c r="C460" i="57"/>
  <c r="C459" i="57"/>
  <c r="C458" i="57"/>
  <c r="C457" i="57"/>
  <c r="C456" i="57"/>
  <c r="C455" i="57"/>
  <c r="C454" i="57"/>
  <c r="C453" i="57"/>
  <c r="L452" i="57"/>
  <c r="U14" i="41" s="1"/>
  <c r="N445" i="57"/>
  <c r="N444" i="57"/>
  <c r="N443" i="57"/>
  <c r="N442" i="57"/>
  <c r="N441" i="57"/>
  <c r="N440" i="57"/>
  <c r="N439" i="57"/>
  <c r="N438" i="57"/>
  <c r="N437" i="57"/>
  <c r="N436" i="57"/>
  <c r="N435" i="57"/>
  <c r="N434" i="57"/>
  <c r="N433" i="57"/>
  <c r="N432" i="57"/>
  <c r="N431" i="57"/>
  <c r="N430" i="57"/>
  <c r="N429" i="57"/>
  <c r="N428" i="57"/>
  <c r="N427" i="57"/>
  <c r="L426" i="57"/>
  <c r="T14" i="41" s="1"/>
  <c r="F445" i="57"/>
  <c r="F444" i="57"/>
  <c r="F443" i="57"/>
  <c r="F442" i="57"/>
  <c r="F441" i="57"/>
  <c r="F440" i="57"/>
  <c r="F439" i="57"/>
  <c r="F438" i="57"/>
  <c r="F437" i="57"/>
  <c r="F436" i="57"/>
  <c r="F435" i="57"/>
  <c r="F434" i="57"/>
  <c r="F433" i="57"/>
  <c r="F432" i="57"/>
  <c r="F431" i="57"/>
  <c r="F430" i="57"/>
  <c r="F429" i="57"/>
  <c r="F428" i="57"/>
  <c r="F427" i="57"/>
  <c r="D445" i="57"/>
  <c r="D444" i="57"/>
  <c r="D443" i="57"/>
  <c r="D442" i="57"/>
  <c r="D441" i="57"/>
  <c r="D440" i="57"/>
  <c r="D439" i="57"/>
  <c r="D438" i="57"/>
  <c r="D437" i="57"/>
  <c r="D436" i="57"/>
  <c r="D435" i="57"/>
  <c r="D434" i="57"/>
  <c r="D433" i="57"/>
  <c r="D432" i="57"/>
  <c r="D431" i="57"/>
  <c r="D430" i="57"/>
  <c r="D429" i="57"/>
  <c r="D428" i="57"/>
  <c r="D427" i="57"/>
  <c r="C426" i="57"/>
  <c r="C445" i="57"/>
  <c r="C444" i="57"/>
  <c r="C443" i="57"/>
  <c r="C442" i="57"/>
  <c r="C441" i="57"/>
  <c r="C440" i="57"/>
  <c r="C439" i="57"/>
  <c r="C438" i="57"/>
  <c r="C437" i="57"/>
  <c r="C436" i="57"/>
  <c r="C435" i="57"/>
  <c r="C434" i="57"/>
  <c r="C433" i="57"/>
  <c r="C432" i="57"/>
  <c r="C431" i="57"/>
  <c r="C430" i="57"/>
  <c r="C429" i="57"/>
  <c r="C428" i="57"/>
  <c r="C427" i="57"/>
  <c r="N419" i="57"/>
  <c r="N418" i="57"/>
  <c r="N417" i="57"/>
  <c r="N416" i="57"/>
  <c r="N415" i="57"/>
  <c r="N414" i="57"/>
  <c r="N413" i="57"/>
  <c r="N412" i="57"/>
  <c r="N411" i="57"/>
  <c r="N410" i="57"/>
  <c r="N409" i="57"/>
  <c r="N408" i="57"/>
  <c r="N407" i="57"/>
  <c r="N406" i="57"/>
  <c r="N405" i="57"/>
  <c r="N404" i="57"/>
  <c r="N403" i="57"/>
  <c r="N402" i="57"/>
  <c r="N401" i="57"/>
  <c r="F419" i="57"/>
  <c r="F418" i="57"/>
  <c r="F417" i="57"/>
  <c r="F416" i="57"/>
  <c r="F415" i="57"/>
  <c r="F414" i="57"/>
  <c r="F413" i="57"/>
  <c r="F412" i="57"/>
  <c r="F411" i="57"/>
  <c r="F410" i="57"/>
  <c r="F409" i="57"/>
  <c r="F408" i="57"/>
  <c r="F407" i="57"/>
  <c r="F406" i="57"/>
  <c r="F405" i="57"/>
  <c r="F404" i="57"/>
  <c r="F403" i="57"/>
  <c r="F402" i="57"/>
  <c r="F401" i="57"/>
  <c r="D419" i="57"/>
  <c r="D418" i="57"/>
  <c r="D417" i="57"/>
  <c r="D416" i="57"/>
  <c r="D415" i="57"/>
  <c r="D414" i="57"/>
  <c r="D413" i="57"/>
  <c r="D412" i="57"/>
  <c r="D411" i="57"/>
  <c r="D410" i="57"/>
  <c r="D409" i="57"/>
  <c r="D408" i="57"/>
  <c r="D407" i="57"/>
  <c r="D406" i="57"/>
  <c r="D405" i="57"/>
  <c r="D404" i="57"/>
  <c r="D403" i="57"/>
  <c r="D402" i="57"/>
  <c r="D401" i="57"/>
  <c r="C400" i="57"/>
  <c r="C419" i="57"/>
  <c r="C418" i="57"/>
  <c r="C417" i="57"/>
  <c r="C416" i="57"/>
  <c r="C415" i="57"/>
  <c r="C414" i="57"/>
  <c r="C413" i="57"/>
  <c r="C412" i="57"/>
  <c r="C411" i="57"/>
  <c r="C410" i="57"/>
  <c r="C409" i="57"/>
  <c r="C408" i="57"/>
  <c r="C407" i="57"/>
  <c r="C406" i="57"/>
  <c r="C405" i="57"/>
  <c r="C404" i="57"/>
  <c r="C403" i="57"/>
  <c r="C402" i="57"/>
  <c r="C401" i="57"/>
  <c r="N393" i="57"/>
  <c r="N392" i="57"/>
  <c r="N391" i="57"/>
  <c r="N390" i="57"/>
  <c r="N389" i="57"/>
  <c r="N388" i="57"/>
  <c r="N387" i="57"/>
  <c r="N386" i="57"/>
  <c r="N385" i="57"/>
  <c r="N384" i="57"/>
  <c r="N383" i="57"/>
  <c r="N382" i="57"/>
  <c r="N381" i="57"/>
  <c r="N380" i="57"/>
  <c r="N379" i="57"/>
  <c r="N378" i="57"/>
  <c r="N377" i="57"/>
  <c r="N376" i="57"/>
  <c r="N375" i="57"/>
  <c r="L374" i="57"/>
  <c r="R14" i="41" s="1"/>
  <c r="F393" i="57"/>
  <c r="F392" i="57"/>
  <c r="F391" i="57"/>
  <c r="F390" i="57"/>
  <c r="F389" i="57"/>
  <c r="F388" i="57"/>
  <c r="F387" i="57"/>
  <c r="F386" i="57"/>
  <c r="F385" i="57"/>
  <c r="F384" i="57"/>
  <c r="F383" i="57"/>
  <c r="F382" i="57"/>
  <c r="F381" i="57"/>
  <c r="F380" i="57"/>
  <c r="F379" i="57"/>
  <c r="F378" i="57"/>
  <c r="F377" i="57"/>
  <c r="F376" i="57"/>
  <c r="F375" i="57"/>
  <c r="D393" i="57"/>
  <c r="D392" i="57"/>
  <c r="D391" i="57"/>
  <c r="D390" i="57"/>
  <c r="D389" i="57"/>
  <c r="D388" i="57"/>
  <c r="D387" i="57"/>
  <c r="D386" i="57"/>
  <c r="D385" i="57"/>
  <c r="D384" i="57"/>
  <c r="D383" i="57"/>
  <c r="D382" i="57"/>
  <c r="D381" i="57"/>
  <c r="D380" i="57"/>
  <c r="D379" i="57"/>
  <c r="D378" i="57"/>
  <c r="D377" i="57"/>
  <c r="D376" i="57"/>
  <c r="D375" i="57"/>
  <c r="C374" i="57"/>
  <c r="C393" i="57"/>
  <c r="C392" i="57"/>
  <c r="C391" i="57"/>
  <c r="C390" i="57"/>
  <c r="C389" i="57"/>
  <c r="C388" i="57"/>
  <c r="C387" i="57"/>
  <c r="C386" i="57"/>
  <c r="C385" i="57"/>
  <c r="C384" i="57"/>
  <c r="C383" i="57"/>
  <c r="C382" i="57"/>
  <c r="C381" i="57"/>
  <c r="C380" i="57"/>
  <c r="C379" i="57"/>
  <c r="C378" i="57"/>
  <c r="C377" i="57"/>
  <c r="C376" i="57"/>
  <c r="C375" i="57"/>
  <c r="C367" i="57"/>
  <c r="C366" i="57"/>
  <c r="C365" i="57"/>
  <c r="C364" i="57"/>
  <c r="C363" i="57"/>
  <c r="C362" i="57"/>
  <c r="C361" i="57"/>
  <c r="C360" i="57"/>
  <c r="C359" i="57"/>
  <c r="C358" i="57"/>
  <c r="C357" i="57"/>
  <c r="C356" i="57"/>
  <c r="C355" i="57"/>
  <c r="C354" i="57"/>
  <c r="C353" i="57"/>
  <c r="N353" i="57" s="1"/>
  <c r="C352" i="57"/>
  <c r="F352" i="57" s="1"/>
  <c r="C351" i="57"/>
  <c r="F351" i="57" s="1"/>
  <c r="C350" i="57"/>
  <c r="F350" i="57" s="1"/>
  <c r="C349" i="57"/>
  <c r="D349" i="57" s="1"/>
  <c r="C341" i="57"/>
  <c r="C340" i="57"/>
  <c r="C339" i="57"/>
  <c r="C338" i="57"/>
  <c r="C337" i="57"/>
  <c r="C336" i="57"/>
  <c r="D336" i="57" s="1"/>
  <c r="C335" i="57"/>
  <c r="C334" i="57"/>
  <c r="C333" i="57"/>
  <c r="C332" i="57"/>
  <c r="C331" i="57"/>
  <c r="C330" i="57"/>
  <c r="C329" i="57"/>
  <c r="C328" i="57"/>
  <c r="C327" i="57"/>
  <c r="C326" i="57"/>
  <c r="C325" i="57"/>
  <c r="C324" i="57"/>
  <c r="N324" i="57" s="1"/>
  <c r="C323" i="57"/>
  <c r="N323" i="57" s="1"/>
  <c r="C315" i="57"/>
  <c r="C314" i="57"/>
  <c r="C313" i="57"/>
  <c r="F313" i="57" s="1"/>
  <c r="C312" i="57"/>
  <c r="F312" i="57" s="1"/>
  <c r="C311" i="57"/>
  <c r="D311" i="57" s="1"/>
  <c r="C310" i="57"/>
  <c r="F310" i="57" s="1"/>
  <c r="C309" i="57"/>
  <c r="C308" i="57"/>
  <c r="F308" i="57" s="1"/>
  <c r="C307" i="57"/>
  <c r="D307" i="57" s="1"/>
  <c r="C306" i="57"/>
  <c r="D306" i="57" s="1"/>
  <c r="C305" i="57"/>
  <c r="F305" i="57" s="1"/>
  <c r="C304" i="57"/>
  <c r="D304" i="57" s="1"/>
  <c r="C303" i="57"/>
  <c r="D303" i="57" s="1"/>
  <c r="C302" i="57"/>
  <c r="D302" i="57" s="1"/>
  <c r="C301" i="57"/>
  <c r="F301" i="57" s="1"/>
  <c r="C300" i="57"/>
  <c r="D300" i="57" s="1"/>
  <c r="C299" i="57"/>
  <c r="F299" i="57" s="1"/>
  <c r="C298" i="57"/>
  <c r="D298" i="57" s="1"/>
  <c r="C297" i="57"/>
  <c r="D297" i="57" s="1"/>
  <c r="C289" i="57"/>
  <c r="D289" i="57" s="1"/>
  <c r="C288" i="57"/>
  <c r="C287" i="57"/>
  <c r="C286" i="57"/>
  <c r="C285" i="57"/>
  <c r="C284" i="57"/>
  <c r="N284" i="57" s="1"/>
  <c r="C283" i="57"/>
  <c r="N283" i="57" s="1"/>
  <c r="C282" i="57"/>
  <c r="N282" i="57" s="1"/>
  <c r="C281" i="57"/>
  <c r="D281" i="57" s="1"/>
  <c r="C280" i="57"/>
  <c r="D280" i="57" s="1"/>
  <c r="C279" i="57"/>
  <c r="D279" i="57" s="1"/>
  <c r="C278" i="57"/>
  <c r="D278" i="57" s="1"/>
  <c r="C277" i="57"/>
  <c r="D277" i="57" s="1"/>
  <c r="C276" i="57"/>
  <c r="D276" i="57" s="1"/>
  <c r="C275" i="57"/>
  <c r="D275" i="57" s="1"/>
  <c r="C274" i="57"/>
  <c r="D274" i="57" s="1"/>
  <c r="C273" i="57"/>
  <c r="D273" i="57" s="1"/>
  <c r="C272" i="57"/>
  <c r="D272" i="57" s="1"/>
  <c r="C271" i="57"/>
  <c r="D271" i="57" s="1"/>
  <c r="N169" i="57"/>
  <c r="N159" i="57"/>
  <c r="N158" i="57"/>
  <c r="N157" i="57"/>
  <c r="N156" i="57"/>
  <c r="N155" i="57"/>
  <c r="N154" i="57"/>
  <c r="N153" i="57"/>
  <c r="N152" i="57"/>
  <c r="N151" i="57"/>
  <c r="N150" i="57"/>
  <c r="N149" i="57"/>
  <c r="N148" i="57"/>
  <c r="N147" i="57"/>
  <c r="N146" i="57"/>
  <c r="N145" i="57"/>
  <c r="N144" i="57"/>
  <c r="N143" i="57"/>
  <c r="N142" i="57"/>
  <c r="N141" i="57"/>
  <c r="F159" i="57"/>
  <c r="F158" i="57"/>
  <c r="F157" i="57"/>
  <c r="F156" i="57"/>
  <c r="F155" i="57"/>
  <c r="F154" i="57"/>
  <c r="F153" i="57"/>
  <c r="F152" i="57"/>
  <c r="F151" i="57"/>
  <c r="F150" i="57"/>
  <c r="F149" i="57"/>
  <c r="F148" i="57"/>
  <c r="F147" i="57"/>
  <c r="F146" i="57"/>
  <c r="F145" i="57"/>
  <c r="F144" i="57"/>
  <c r="F143" i="57"/>
  <c r="F142" i="57"/>
  <c r="F141" i="57"/>
  <c r="D159" i="57"/>
  <c r="D158" i="57"/>
  <c r="D157" i="57"/>
  <c r="D156" i="57"/>
  <c r="D155" i="57"/>
  <c r="D154" i="57"/>
  <c r="D153" i="57"/>
  <c r="D152" i="57"/>
  <c r="D151" i="57"/>
  <c r="D150" i="57"/>
  <c r="D149" i="57"/>
  <c r="D148" i="57"/>
  <c r="D147" i="57"/>
  <c r="D146" i="57"/>
  <c r="D145" i="57"/>
  <c r="D144" i="57"/>
  <c r="D143" i="57"/>
  <c r="D142" i="57"/>
  <c r="D141" i="57"/>
  <c r="N133" i="57"/>
  <c r="N132" i="57"/>
  <c r="N131" i="57"/>
  <c r="N130" i="57"/>
  <c r="N129" i="57"/>
  <c r="N128" i="57"/>
  <c r="N127" i="57"/>
  <c r="N126" i="57"/>
  <c r="N125" i="57"/>
  <c r="N124" i="57"/>
  <c r="N123" i="57"/>
  <c r="N122" i="57"/>
  <c r="N121" i="57"/>
  <c r="N120" i="57"/>
  <c r="N119" i="57"/>
  <c r="N118" i="57"/>
  <c r="N117" i="57"/>
  <c r="N116" i="57"/>
  <c r="N115" i="57"/>
  <c r="L114" i="57"/>
  <c r="H14" i="41" s="1"/>
  <c r="F133" i="57"/>
  <c r="F132" i="57"/>
  <c r="F131" i="57"/>
  <c r="F130" i="57"/>
  <c r="F129" i="57"/>
  <c r="F128" i="57"/>
  <c r="F127" i="57"/>
  <c r="F126" i="57"/>
  <c r="F125" i="57"/>
  <c r="F124" i="57"/>
  <c r="F123" i="57"/>
  <c r="F122" i="57"/>
  <c r="F121" i="57"/>
  <c r="F120" i="57"/>
  <c r="F119" i="57"/>
  <c r="F118" i="57"/>
  <c r="F117" i="57"/>
  <c r="F116" i="57"/>
  <c r="F115" i="57"/>
  <c r="D133" i="57"/>
  <c r="D132" i="57"/>
  <c r="D131" i="57"/>
  <c r="D130" i="57"/>
  <c r="D129" i="57"/>
  <c r="D128" i="57"/>
  <c r="D127" i="57"/>
  <c r="D126" i="57"/>
  <c r="D125" i="57"/>
  <c r="D124" i="57"/>
  <c r="D123" i="57"/>
  <c r="D122" i="57"/>
  <c r="D121" i="57"/>
  <c r="D120" i="57"/>
  <c r="D119" i="57"/>
  <c r="D118" i="57"/>
  <c r="D117" i="57"/>
  <c r="D116" i="57"/>
  <c r="D115" i="57"/>
  <c r="N107" i="57"/>
  <c r="N106" i="57"/>
  <c r="N105" i="57"/>
  <c r="N104" i="57"/>
  <c r="N103" i="57"/>
  <c r="N102" i="57"/>
  <c r="N101" i="57"/>
  <c r="N100" i="57"/>
  <c r="N99" i="57"/>
  <c r="N98" i="57"/>
  <c r="N97" i="57"/>
  <c r="N96" i="57"/>
  <c r="N95" i="57"/>
  <c r="N94" i="57"/>
  <c r="N93" i="57"/>
  <c r="N92" i="57"/>
  <c r="N91" i="57"/>
  <c r="N90" i="57"/>
  <c r="N89" i="57"/>
  <c r="F107" i="57"/>
  <c r="F106" i="57"/>
  <c r="F105" i="57"/>
  <c r="F104" i="57"/>
  <c r="F103" i="57"/>
  <c r="F102" i="57"/>
  <c r="F101" i="57"/>
  <c r="F100" i="57"/>
  <c r="F99" i="57"/>
  <c r="F98" i="57"/>
  <c r="F97" i="57"/>
  <c r="F96" i="57"/>
  <c r="F95" i="57"/>
  <c r="F94" i="57"/>
  <c r="F93" i="57"/>
  <c r="F92" i="57"/>
  <c r="F91" i="57"/>
  <c r="F90" i="57"/>
  <c r="F89" i="57"/>
  <c r="D107" i="57"/>
  <c r="D106" i="57"/>
  <c r="D105" i="57"/>
  <c r="D104" i="57"/>
  <c r="D103" i="57"/>
  <c r="D102" i="57"/>
  <c r="D101" i="57"/>
  <c r="D100" i="57"/>
  <c r="D99" i="57"/>
  <c r="D98" i="57"/>
  <c r="D97" i="57"/>
  <c r="D96" i="57"/>
  <c r="D95" i="57"/>
  <c r="D94" i="57"/>
  <c r="D93" i="57"/>
  <c r="D92" i="57"/>
  <c r="D91" i="57"/>
  <c r="D90" i="57"/>
  <c r="D89" i="57"/>
  <c r="N81" i="57"/>
  <c r="N80" i="57"/>
  <c r="N79" i="57"/>
  <c r="N78" i="57"/>
  <c r="N77" i="57"/>
  <c r="N76" i="57"/>
  <c r="N75" i="57"/>
  <c r="N74" i="57"/>
  <c r="N73" i="57"/>
  <c r="N72" i="57"/>
  <c r="N71" i="57"/>
  <c r="N70" i="57"/>
  <c r="N69" i="57"/>
  <c r="N68" i="57"/>
  <c r="N67" i="57"/>
  <c r="N66" i="57"/>
  <c r="N65" i="57"/>
  <c r="N64" i="57"/>
  <c r="N63" i="57"/>
  <c r="F81" i="57"/>
  <c r="F80" i="57"/>
  <c r="F79" i="57"/>
  <c r="F78" i="57"/>
  <c r="F77" i="57"/>
  <c r="F76" i="57"/>
  <c r="F75" i="57"/>
  <c r="F74" i="57"/>
  <c r="F73" i="57"/>
  <c r="F72" i="57"/>
  <c r="F71" i="57"/>
  <c r="F70" i="57"/>
  <c r="F69" i="57"/>
  <c r="F68" i="57"/>
  <c r="F67" i="57"/>
  <c r="F66" i="57"/>
  <c r="F65" i="57"/>
  <c r="F64" i="57"/>
  <c r="F63" i="57"/>
  <c r="D81" i="57"/>
  <c r="D80" i="57"/>
  <c r="D79" i="57"/>
  <c r="D78" i="57"/>
  <c r="D77" i="57"/>
  <c r="D76" i="57"/>
  <c r="D75" i="57"/>
  <c r="D74" i="57"/>
  <c r="D73" i="57"/>
  <c r="D72" i="57"/>
  <c r="D71" i="57"/>
  <c r="D70" i="57"/>
  <c r="D69" i="57"/>
  <c r="D68" i="57"/>
  <c r="D67" i="57"/>
  <c r="D66" i="57"/>
  <c r="D65" i="57"/>
  <c r="D64" i="57"/>
  <c r="D63" i="57"/>
  <c r="N55" i="57"/>
  <c r="N54" i="57"/>
  <c r="N53" i="57"/>
  <c r="N52" i="57"/>
  <c r="N51" i="57"/>
  <c r="N50" i="57"/>
  <c r="N49" i="57"/>
  <c r="N48" i="57"/>
  <c r="N47" i="57"/>
  <c r="N46" i="57"/>
  <c r="N45" i="57"/>
  <c r="N44" i="57"/>
  <c r="N43" i="57"/>
  <c r="N42" i="57"/>
  <c r="N41" i="57"/>
  <c r="N40" i="57"/>
  <c r="N39" i="57"/>
  <c r="N38" i="57"/>
  <c r="N37" i="57"/>
  <c r="F55" i="57"/>
  <c r="F54" i="57"/>
  <c r="F53" i="57"/>
  <c r="F52" i="57"/>
  <c r="F51" i="57"/>
  <c r="F50" i="57"/>
  <c r="F49" i="57"/>
  <c r="F48" i="57"/>
  <c r="F47" i="57"/>
  <c r="F46" i="57"/>
  <c r="F45" i="57"/>
  <c r="F44" i="57"/>
  <c r="F43" i="57"/>
  <c r="F42" i="57"/>
  <c r="F41" i="57"/>
  <c r="F40" i="57"/>
  <c r="F39" i="57"/>
  <c r="F38" i="57"/>
  <c r="F37" i="57"/>
  <c r="D55" i="57"/>
  <c r="D54" i="57"/>
  <c r="D53" i="57"/>
  <c r="D52" i="57"/>
  <c r="D51" i="57"/>
  <c r="D50" i="57"/>
  <c r="D49" i="57"/>
  <c r="D48" i="57"/>
  <c r="D47" i="57"/>
  <c r="D46" i="57"/>
  <c r="D45" i="57"/>
  <c r="D44" i="57"/>
  <c r="D43" i="57"/>
  <c r="D42" i="57"/>
  <c r="D41" i="57"/>
  <c r="D40" i="57"/>
  <c r="D39" i="57"/>
  <c r="D38" i="57"/>
  <c r="D37" i="57"/>
  <c r="N29" i="57"/>
  <c r="N28" i="57"/>
  <c r="N27" i="57"/>
  <c r="N26" i="57"/>
  <c r="N25" i="57"/>
  <c r="N24" i="57"/>
  <c r="N23" i="57"/>
  <c r="N22" i="57"/>
  <c r="N21" i="57"/>
  <c r="N20" i="57"/>
  <c r="N19" i="57"/>
  <c r="N18" i="57"/>
  <c r="N17" i="57"/>
  <c r="N16" i="57"/>
  <c r="N15" i="57"/>
  <c r="N14" i="57"/>
  <c r="N13" i="57"/>
  <c r="N12" i="57"/>
  <c r="N11" i="57"/>
  <c r="F29" i="57"/>
  <c r="F28" i="57"/>
  <c r="F27" i="57"/>
  <c r="F26" i="57"/>
  <c r="F25" i="57"/>
  <c r="F24" i="57"/>
  <c r="F23" i="57"/>
  <c r="F22" i="57"/>
  <c r="F21" i="57"/>
  <c r="F20" i="57"/>
  <c r="F19" i="57"/>
  <c r="F18" i="57"/>
  <c r="F17" i="57"/>
  <c r="F16" i="57"/>
  <c r="F15" i="57"/>
  <c r="F14" i="57"/>
  <c r="F13" i="57"/>
  <c r="F12" i="57"/>
  <c r="F11" i="57"/>
  <c r="D29" i="57"/>
  <c r="D28" i="57"/>
  <c r="D27" i="57"/>
  <c r="D26" i="57"/>
  <c r="D25" i="57"/>
  <c r="D24" i="57"/>
  <c r="D23" i="57"/>
  <c r="D22" i="57"/>
  <c r="D21" i="57"/>
  <c r="D20" i="57"/>
  <c r="D19" i="57"/>
  <c r="D18" i="57"/>
  <c r="D17" i="57"/>
  <c r="D16" i="57"/>
  <c r="D15" i="57"/>
  <c r="D14" i="57"/>
  <c r="D13" i="57"/>
  <c r="D12" i="57"/>
  <c r="D11" i="57"/>
  <c r="N367" i="57"/>
  <c r="N366" i="57"/>
  <c r="N365" i="57"/>
  <c r="N364" i="57"/>
  <c r="N363" i="57"/>
  <c r="N362" i="57"/>
  <c r="N361" i="57"/>
  <c r="N360" i="57"/>
  <c r="N359" i="57"/>
  <c r="N358" i="57"/>
  <c r="N357" i="57"/>
  <c r="N356" i="57"/>
  <c r="N355" i="57"/>
  <c r="N354" i="57"/>
  <c r="L348" i="57"/>
  <c r="Q14" i="41" s="1"/>
  <c r="F367" i="57"/>
  <c r="F366" i="57"/>
  <c r="F365" i="57"/>
  <c r="F364" i="57"/>
  <c r="F363" i="57"/>
  <c r="F362" i="57"/>
  <c r="F361" i="57"/>
  <c r="F360" i="57"/>
  <c r="F359" i="57"/>
  <c r="F358" i="57"/>
  <c r="F357" i="57"/>
  <c r="F356" i="57"/>
  <c r="F355" i="57"/>
  <c r="F354" i="57"/>
  <c r="F353" i="57"/>
  <c r="D367" i="57"/>
  <c r="D366" i="57"/>
  <c r="D365" i="57"/>
  <c r="D364" i="57"/>
  <c r="D363" i="57"/>
  <c r="D362" i="57"/>
  <c r="D361" i="57"/>
  <c r="D360" i="57"/>
  <c r="D359" i="57"/>
  <c r="D358" i="57"/>
  <c r="D357" i="57"/>
  <c r="D356" i="57"/>
  <c r="D355" i="57"/>
  <c r="D354" i="57"/>
  <c r="D353" i="57"/>
  <c r="D352" i="57"/>
  <c r="D351" i="57"/>
  <c r="D350" i="57"/>
  <c r="F338" i="57"/>
  <c r="N341" i="57"/>
  <c r="N340" i="57"/>
  <c r="N339" i="57"/>
  <c r="N338" i="57"/>
  <c r="N337" i="57"/>
  <c r="N336" i="57"/>
  <c r="N335" i="57"/>
  <c r="N334" i="57"/>
  <c r="N333" i="57"/>
  <c r="N332" i="57"/>
  <c r="N331" i="57"/>
  <c r="N330" i="57"/>
  <c r="N329" i="57"/>
  <c r="N328" i="57"/>
  <c r="N327" i="57"/>
  <c r="N326" i="57"/>
  <c r="N325" i="57"/>
  <c r="L322" i="57"/>
  <c r="L296" i="57"/>
  <c r="F341" i="57"/>
  <c r="F340" i="57"/>
  <c r="F339" i="57"/>
  <c r="F337" i="57"/>
  <c r="F336" i="57"/>
  <c r="F335" i="57"/>
  <c r="F334" i="57"/>
  <c r="F333" i="57"/>
  <c r="F332" i="57"/>
  <c r="F331" i="57"/>
  <c r="F330" i="57"/>
  <c r="F329" i="57"/>
  <c r="F328" i="57"/>
  <c r="F327" i="57"/>
  <c r="F326" i="57"/>
  <c r="F325" i="57"/>
  <c r="F324" i="57"/>
  <c r="F323" i="57"/>
  <c r="D341" i="57"/>
  <c r="D340" i="57"/>
  <c r="D339" i="57"/>
  <c r="D338" i="57"/>
  <c r="D337" i="57"/>
  <c r="D335" i="57"/>
  <c r="D334" i="57"/>
  <c r="D333" i="57"/>
  <c r="D332" i="57"/>
  <c r="D331" i="57"/>
  <c r="D330" i="57"/>
  <c r="D329" i="57"/>
  <c r="D328" i="57"/>
  <c r="D327" i="57"/>
  <c r="D326" i="57"/>
  <c r="D325" i="57"/>
  <c r="D324" i="57"/>
  <c r="D323" i="57"/>
  <c r="N315" i="57"/>
  <c r="N314" i="57"/>
  <c r="N313" i="57"/>
  <c r="N312" i="57"/>
  <c r="N311" i="57"/>
  <c r="N309" i="57"/>
  <c r="N308" i="57"/>
  <c r="N307" i="57"/>
  <c r="N306" i="57"/>
  <c r="N305" i="57"/>
  <c r="N304" i="57"/>
  <c r="N303" i="57"/>
  <c r="N302" i="57"/>
  <c r="N301" i="57"/>
  <c r="N300" i="57"/>
  <c r="N299" i="57"/>
  <c r="N298" i="57"/>
  <c r="N297" i="57"/>
  <c r="F315" i="57"/>
  <c r="F314" i="57"/>
  <c r="F309" i="57"/>
  <c r="D315" i="57"/>
  <c r="D314" i="57"/>
  <c r="D313" i="57"/>
  <c r="D312" i="57"/>
  <c r="D309" i="57"/>
  <c r="D308" i="57"/>
  <c r="N289" i="57"/>
  <c r="N288" i="57"/>
  <c r="N287" i="57"/>
  <c r="N286" i="57"/>
  <c r="N285" i="57"/>
  <c r="N274" i="57"/>
  <c r="N273" i="57"/>
  <c r="C270" i="57"/>
  <c r="F289" i="57"/>
  <c r="F288" i="57"/>
  <c r="F287" i="57"/>
  <c r="F286" i="57"/>
  <c r="F285" i="57"/>
  <c r="F274" i="57"/>
  <c r="F273" i="57"/>
  <c r="D288" i="57"/>
  <c r="D287" i="57"/>
  <c r="D286" i="57"/>
  <c r="D285" i="57"/>
  <c r="D284" i="57"/>
  <c r="D283" i="57"/>
  <c r="D282" i="57"/>
  <c r="N247" i="57"/>
  <c r="N263" i="57"/>
  <c r="N262" i="57"/>
  <c r="N261" i="57"/>
  <c r="N260" i="57"/>
  <c r="N249" i="57"/>
  <c r="N245" i="57"/>
  <c r="F263" i="57"/>
  <c r="F262" i="57"/>
  <c r="F261" i="57"/>
  <c r="F260" i="57"/>
  <c r="F259" i="57"/>
  <c r="F258" i="57"/>
  <c r="F247" i="57"/>
  <c r="F245" i="57"/>
  <c r="D263" i="57"/>
  <c r="D262" i="57"/>
  <c r="D261" i="57"/>
  <c r="D260" i="57"/>
  <c r="D259" i="57"/>
  <c r="D258" i="57"/>
  <c r="D257" i="57"/>
  <c r="D256" i="57"/>
  <c r="D255" i="57"/>
  <c r="C244" i="57"/>
  <c r="C263" i="57"/>
  <c r="C262" i="57"/>
  <c r="C261" i="57"/>
  <c r="C260" i="57"/>
  <c r="C259" i="57"/>
  <c r="N259" i="57" s="1"/>
  <c r="C258" i="57"/>
  <c r="N258" i="57" s="1"/>
  <c r="C257" i="57"/>
  <c r="F257" i="57" s="1"/>
  <c r="C256" i="57"/>
  <c r="F256" i="57" s="1"/>
  <c r="C255" i="57"/>
  <c r="F255" i="57" s="1"/>
  <c r="C254" i="57"/>
  <c r="D254" i="57" s="1"/>
  <c r="C253" i="57"/>
  <c r="D253" i="57" s="1"/>
  <c r="C252" i="57"/>
  <c r="D252" i="57" s="1"/>
  <c r="C251" i="57"/>
  <c r="D251" i="57" s="1"/>
  <c r="C250" i="57"/>
  <c r="C249" i="57"/>
  <c r="C248" i="57"/>
  <c r="C247" i="57"/>
  <c r="C246" i="57"/>
  <c r="C245" i="57"/>
  <c r="N222" i="57"/>
  <c r="N220" i="57"/>
  <c r="N219" i="57"/>
  <c r="F237" i="57"/>
  <c r="F236" i="57"/>
  <c r="F235" i="57"/>
  <c r="F234" i="57"/>
  <c r="F233" i="57"/>
  <c r="C218" i="57"/>
  <c r="C237" i="57"/>
  <c r="D237" i="57" s="1"/>
  <c r="C236" i="57"/>
  <c r="D236" i="57" s="1"/>
  <c r="C235" i="57"/>
  <c r="D235" i="57" s="1"/>
  <c r="C234" i="57"/>
  <c r="D234" i="57" s="1"/>
  <c r="C233" i="57"/>
  <c r="N233" i="57" s="1"/>
  <c r="C232" i="57"/>
  <c r="N232" i="57" s="1"/>
  <c r="C231" i="57"/>
  <c r="F231" i="57" s="1"/>
  <c r="C230" i="57"/>
  <c r="F230" i="57" s="1"/>
  <c r="C229" i="57"/>
  <c r="F229" i="57" s="1"/>
  <c r="C228" i="57"/>
  <c r="D228" i="57" s="1"/>
  <c r="C227" i="57"/>
  <c r="D227" i="57" s="1"/>
  <c r="C226" i="57"/>
  <c r="C225" i="57"/>
  <c r="C224" i="57"/>
  <c r="C223" i="57"/>
  <c r="C222" i="57"/>
  <c r="C221" i="57"/>
  <c r="C220" i="57"/>
  <c r="C219" i="57"/>
  <c r="F219" i="57" s="1"/>
  <c r="C193" i="57"/>
  <c r="C167" i="57"/>
  <c r="C192" i="57"/>
  <c r="F201" i="57" s="1"/>
  <c r="C211" i="57"/>
  <c r="C210" i="57"/>
  <c r="D210" i="57" s="1"/>
  <c r="C209" i="57"/>
  <c r="D209" i="57" s="1"/>
  <c r="C208" i="57"/>
  <c r="D208" i="57" s="1"/>
  <c r="C207" i="57"/>
  <c r="C206" i="57"/>
  <c r="C205" i="57"/>
  <c r="C204" i="57"/>
  <c r="C203" i="57"/>
  <c r="C202" i="57"/>
  <c r="C201" i="57"/>
  <c r="C200" i="57"/>
  <c r="C199" i="57"/>
  <c r="C198" i="57"/>
  <c r="C197" i="57"/>
  <c r="C196" i="57"/>
  <c r="C195" i="57"/>
  <c r="C194" i="57"/>
  <c r="L10" i="57"/>
  <c r="C166" i="57"/>
  <c r="F183" i="57" s="1"/>
  <c r="C185" i="57"/>
  <c r="N185" i="57" s="1"/>
  <c r="C184" i="57"/>
  <c r="C183" i="57"/>
  <c r="C182" i="57"/>
  <c r="C181" i="57"/>
  <c r="C180" i="57"/>
  <c r="C179" i="57"/>
  <c r="C178" i="57"/>
  <c r="C177" i="57"/>
  <c r="C176" i="57"/>
  <c r="C175" i="57"/>
  <c r="C174" i="57"/>
  <c r="C173" i="57"/>
  <c r="C172" i="57"/>
  <c r="C171" i="57"/>
  <c r="C170" i="57"/>
  <c r="C169" i="57"/>
  <c r="C168" i="57"/>
  <c r="C141" i="57"/>
  <c r="I42" i="51"/>
  <c r="H28" i="51"/>
  <c r="C19" i="62"/>
  <c r="C18" i="62"/>
  <c r="C14" i="62"/>
  <c r="D14" i="62" s="1"/>
  <c r="C13" i="62"/>
  <c r="D13" i="62" s="1"/>
  <c r="C12" i="62"/>
  <c r="C11" i="62"/>
  <c r="C36" i="62"/>
  <c r="F6" i="62"/>
  <c r="D6" i="62"/>
  <c r="C656" i="43"/>
  <c r="C655" i="43"/>
  <c r="C654" i="43"/>
  <c r="C653" i="43"/>
  <c r="C651" i="43"/>
  <c r="C650" i="43"/>
  <c r="C649" i="43"/>
  <c r="C648" i="43"/>
  <c r="C647" i="43"/>
  <c r="C646" i="43"/>
  <c r="C645" i="43"/>
  <c r="C644" i="43"/>
  <c r="C643" i="43"/>
  <c r="C642" i="43"/>
  <c r="C641" i="43"/>
  <c r="C640" i="43"/>
  <c r="C639" i="43"/>
  <c r="C638" i="43"/>
  <c r="C637" i="43"/>
  <c r="C636" i="43"/>
  <c r="C631" i="43"/>
  <c r="C630" i="43"/>
  <c r="C629" i="43"/>
  <c r="C628" i="43"/>
  <c r="C626" i="43"/>
  <c r="C625" i="43"/>
  <c r="C624" i="43"/>
  <c r="C623" i="43"/>
  <c r="C622" i="43"/>
  <c r="C621" i="43"/>
  <c r="C620" i="43"/>
  <c r="C619" i="43"/>
  <c r="C618" i="43"/>
  <c r="C617" i="43"/>
  <c r="C616" i="43"/>
  <c r="C615" i="43"/>
  <c r="C614" i="43"/>
  <c r="C613" i="43"/>
  <c r="C612" i="43"/>
  <c r="C611" i="43"/>
  <c r="C606" i="43"/>
  <c r="C605" i="43"/>
  <c r="C604" i="43"/>
  <c r="C603" i="43"/>
  <c r="C601" i="43"/>
  <c r="C600" i="43"/>
  <c r="C599" i="43"/>
  <c r="C598" i="43"/>
  <c r="C597" i="43"/>
  <c r="C596" i="43"/>
  <c r="C595" i="43"/>
  <c r="C594" i="43"/>
  <c r="C593" i="43"/>
  <c r="C592" i="43"/>
  <c r="C591" i="43"/>
  <c r="C590" i="43"/>
  <c r="C589" i="43"/>
  <c r="C588" i="43"/>
  <c r="C587" i="43"/>
  <c r="C586" i="43"/>
  <c r="C581" i="43"/>
  <c r="C580" i="43"/>
  <c r="C579" i="43"/>
  <c r="C578" i="43"/>
  <c r="C576" i="43"/>
  <c r="C575" i="43"/>
  <c r="C574" i="43"/>
  <c r="C573" i="43"/>
  <c r="C572" i="43"/>
  <c r="C571" i="43"/>
  <c r="C570" i="43"/>
  <c r="C569" i="43"/>
  <c r="C568" i="43"/>
  <c r="C567" i="43"/>
  <c r="C566" i="43"/>
  <c r="C565" i="43"/>
  <c r="C564" i="43"/>
  <c r="C563" i="43"/>
  <c r="C562" i="43"/>
  <c r="C561" i="43"/>
  <c r="C556" i="43"/>
  <c r="C555" i="43"/>
  <c r="C554" i="43"/>
  <c r="C553" i="43"/>
  <c r="C551" i="43"/>
  <c r="C550" i="43"/>
  <c r="C549" i="43"/>
  <c r="C548" i="43"/>
  <c r="C547" i="43"/>
  <c r="C546" i="43"/>
  <c r="C545" i="43"/>
  <c r="C544" i="43"/>
  <c r="C543" i="43"/>
  <c r="C542" i="43"/>
  <c r="C541" i="43"/>
  <c r="C540" i="43"/>
  <c r="C539" i="43"/>
  <c r="C538" i="43"/>
  <c r="C537" i="43"/>
  <c r="C536" i="43"/>
  <c r="C510" i="43"/>
  <c r="C531" i="43"/>
  <c r="C530" i="43"/>
  <c r="C529" i="43"/>
  <c r="C528" i="43"/>
  <c r="C526" i="43"/>
  <c r="C525" i="43"/>
  <c r="C524" i="43"/>
  <c r="C523" i="43"/>
  <c r="C522" i="43"/>
  <c r="C521" i="43"/>
  <c r="C520" i="43"/>
  <c r="C519" i="43"/>
  <c r="C518" i="43"/>
  <c r="C517" i="43"/>
  <c r="C516" i="43"/>
  <c r="C515" i="43"/>
  <c r="C514" i="43"/>
  <c r="C513" i="43"/>
  <c r="C512" i="43"/>
  <c r="C511" i="43"/>
  <c r="C485" i="43"/>
  <c r="C506" i="43"/>
  <c r="C505" i="43"/>
  <c r="C504" i="43"/>
  <c r="C503" i="43"/>
  <c r="C501" i="43"/>
  <c r="C500" i="43"/>
  <c r="C499" i="43"/>
  <c r="C498" i="43"/>
  <c r="C497" i="43"/>
  <c r="C496" i="43"/>
  <c r="C495" i="43"/>
  <c r="C494" i="43"/>
  <c r="C493" i="43"/>
  <c r="C492" i="43"/>
  <c r="C491" i="43"/>
  <c r="C490" i="43"/>
  <c r="C489" i="43"/>
  <c r="C488" i="43"/>
  <c r="C487" i="43"/>
  <c r="C486" i="43"/>
  <c r="C460" i="43"/>
  <c r="C481" i="43"/>
  <c r="C480" i="43"/>
  <c r="C479" i="43"/>
  <c r="C478" i="43"/>
  <c r="C476" i="43"/>
  <c r="C475" i="43"/>
  <c r="C474" i="43"/>
  <c r="C473" i="43"/>
  <c r="C472" i="43"/>
  <c r="C471" i="43"/>
  <c r="C470" i="43"/>
  <c r="C469" i="43"/>
  <c r="C468" i="43"/>
  <c r="C467" i="43"/>
  <c r="C466" i="43"/>
  <c r="C465" i="43"/>
  <c r="C464" i="43"/>
  <c r="C463" i="43"/>
  <c r="C462" i="43"/>
  <c r="C461" i="43"/>
  <c r="C435" i="43"/>
  <c r="C456" i="43"/>
  <c r="C455" i="43"/>
  <c r="C454" i="43"/>
  <c r="C453" i="43"/>
  <c r="C451" i="43"/>
  <c r="C450" i="43"/>
  <c r="C449" i="43"/>
  <c r="C448" i="43"/>
  <c r="C447" i="43"/>
  <c r="C446" i="43"/>
  <c r="C445" i="43"/>
  <c r="C444" i="43"/>
  <c r="C443" i="43"/>
  <c r="C442" i="43"/>
  <c r="C441" i="43"/>
  <c r="C440" i="43"/>
  <c r="C439" i="43"/>
  <c r="C438" i="43"/>
  <c r="C437" i="43"/>
  <c r="C436" i="43"/>
  <c r="C410" i="43"/>
  <c r="C431" i="43"/>
  <c r="C430" i="43"/>
  <c r="C429" i="43"/>
  <c r="C428" i="43"/>
  <c r="C426" i="43"/>
  <c r="C425" i="43"/>
  <c r="C424" i="43"/>
  <c r="C423" i="43"/>
  <c r="C422" i="43"/>
  <c r="C421" i="43"/>
  <c r="C420" i="43"/>
  <c r="C419" i="43"/>
  <c r="C418" i="43"/>
  <c r="C417" i="43"/>
  <c r="C416" i="43"/>
  <c r="C415" i="43"/>
  <c r="C414" i="43"/>
  <c r="C413" i="43"/>
  <c r="C412" i="43"/>
  <c r="C411" i="43"/>
  <c r="C385" i="43"/>
  <c r="C406" i="43"/>
  <c r="C405" i="43"/>
  <c r="C404" i="43"/>
  <c r="C403" i="43"/>
  <c r="C401" i="43"/>
  <c r="C400" i="43"/>
  <c r="C399" i="43"/>
  <c r="C398" i="43"/>
  <c r="C397" i="43"/>
  <c r="C396" i="43"/>
  <c r="C395" i="43"/>
  <c r="C394" i="43"/>
  <c r="C393" i="43"/>
  <c r="C392" i="43"/>
  <c r="C391" i="43"/>
  <c r="C390" i="43"/>
  <c r="C389" i="43"/>
  <c r="C388" i="43"/>
  <c r="C387" i="43"/>
  <c r="C386" i="43"/>
  <c r="C360" i="43"/>
  <c r="C335" i="43"/>
  <c r="C381" i="43"/>
  <c r="C380" i="43"/>
  <c r="C379" i="43"/>
  <c r="C378" i="43"/>
  <c r="C376" i="43"/>
  <c r="C375" i="43"/>
  <c r="C374" i="43"/>
  <c r="C373" i="43"/>
  <c r="C372" i="43"/>
  <c r="C371" i="43"/>
  <c r="C370" i="43"/>
  <c r="C369" i="43"/>
  <c r="C368" i="43"/>
  <c r="C367" i="43"/>
  <c r="C366" i="43"/>
  <c r="C365" i="43"/>
  <c r="C364" i="43"/>
  <c r="C363" i="43"/>
  <c r="C362" i="43"/>
  <c r="C361" i="43"/>
  <c r="C260" i="43"/>
  <c r="C281" i="43"/>
  <c r="C280" i="43"/>
  <c r="C279" i="43"/>
  <c r="C278" i="43"/>
  <c r="C276" i="43"/>
  <c r="C275" i="43"/>
  <c r="C274" i="43"/>
  <c r="C273" i="43"/>
  <c r="C272" i="43"/>
  <c r="C271" i="43"/>
  <c r="C270" i="43"/>
  <c r="C269" i="43"/>
  <c r="C268" i="43"/>
  <c r="C267" i="43"/>
  <c r="C266" i="43"/>
  <c r="C265" i="43"/>
  <c r="C264" i="43"/>
  <c r="C263" i="43"/>
  <c r="C262" i="43"/>
  <c r="C261" i="43"/>
  <c r="C235" i="43"/>
  <c r="C256" i="43"/>
  <c r="C255" i="43"/>
  <c r="C254" i="43"/>
  <c r="C253" i="43"/>
  <c r="C251" i="43"/>
  <c r="C250" i="43"/>
  <c r="C249" i="43"/>
  <c r="C248" i="43"/>
  <c r="C247" i="43"/>
  <c r="C246" i="43"/>
  <c r="C245" i="43"/>
  <c r="C244" i="43"/>
  <c r="C243" i="43"/>
  <c r="C242" i="43"/>
  <c r="C241" i="43"/>
  <c r="C240" i="43"/>
  <c r="C239" i="43"/>
  <c r="C238" i="43"/>
  <c r="C237" i="43"/>
  <c r="C236" i="43"/>
  <c r="C231" i="43"/>
  <c r="C230" i="43"/>
  <c r="C229" i="43"/>
  <c r="C228" i="43"/>
  <c r="C226" i="43"/>
  <c r="C225" i="43"/>
  <c r="C224" i="43"/>
  <c r="C223" i="43"/>
  <c r="C222" i="43"/>
  <c r="C221" i="43"/>
  <c r="C220" i="43"/>
  <c r="C219" i="43"/>
  <c r="C218" i="43"/>
  <c r="C217" i="43"/>
  <c r="C216" i="43"/>
  <c r="C215" i="43"/>
  <c r="C214" i="43"/>
  <c r="C213" i="43"/>
  <c r="C212" i="43"/>
  <c r="C211" i="43"/>
  <c r="C161" i="43"/>
  <c r="C206" i="43"/>
  <c r="C205" i="43"/>
  <c r="C204" i="43"/>
  <c r="C203" i="43"/>
  <c r="C201" i="43"/>
  <c r="C200" i="43"/>
  <c r="C199" i="43"/>
  <c r="C198" i="43"/>
  <c r="C197" i="43"/>
  <c r="C196" i="43"/>
  <c r="C195" i="43"/>
  <c r="C194" i="43"/>
  <c r="C193" i="43"/>
  <c r="C192" i="43"/>
  <c r="C191" i="43"/>
  <c r="C190" i="43"/>
  <c r="C189" i="43"/>
  <c r="C188" i="43"/>
  <c r="C187" i="43"/>
  <c r="C186" i="43"/>
  <c r="C181" i="43"/>
  <c r="C180" i="43"/>
  <c r="C179" i="43"/>
  <c r="C178" i="43"/>
  <c r="C176" i="43"/>
  <c r="C175" i="43"/>
  <c r="C174" i="43"/>
  <c r="C173" i="43"/>
  <c r="C172" i="43"/>
  <c r="C171" i="43"/>
  <c r="C170" i="43"/>
  <c r="C169" i="43"/>
  <c r="C168" i="43"/>
  <c r="C167" i="43"/>
  <c r="C166" i="43"/>
  <c r="C165" i="43"/>
  <c r="C164" i="43"/>
  <c r="C163" i="43"/>
  <c r="C162" i="43"/>
  <c r="P158" i="47"/>
  <c r="O158" i="47"/>
  <c r="N158" i="47"/>
  <c r="M158" i="47"/>
  <c r="L158" i="47"/>
  <c r="W23" i="40" l="1"/>
  <c r="U20" i="50"/>
  <c r="U23" i="40"/>
  <c r="T23" i="40"/>
  <c r="N23" i="40"/>
  <c r="U25" i="40"/>
  <c r="X20" i="50"/>
  <c r="W25" i="40"/>
  <c r="Z20" i="50"/>
  <c r="X23" i="40"/>
  <c r="T25" i="40"/>
  <c r="W20" i="50"/>
  <c r="S23" i="40"/>
  <c r="M23" i="40"/>
  <c r="J25" i="40"/>
  <c r="K23" i="40"/>
  <c r="V23" i="40"/>
  <c r="L25" i="40"/>
  <c r="F530" i="57"/>
  <c r="X12" i="41" s="1"/>
  <c r="N530" i="57"/>
  <c r="X15" i="41" s="1"/>
  <c r="N504" i="57"/>
  <c r="W15" i="41" s="1"/>
  <c r="N478" i="57"/>
  <c r="V15" i="41" s="1"/>
  <c r="N452" i="57"/>
  <c r="U15" i="41" s="1"/>
  <c r="N426" i="57"/>
  <c r="T15" i="41" s="1"/>
  <c r="N400" i="57"/>
  <c r="S15" i="41" s="1"/>
  <c r="L400" i="57"/>
  <c r="S14" i="41" s="1"/>
  <c r="F400" i="57"/>
  <c r="S12" i="41" s="1"/>
  <c r="N374" i="57"/>
  <c r="R15" i="41" s="1"/>
  <c r="N349" i="57"/>
  <c r="F349" i="57"/>
  <c r="N350" i="57"/>
  <c r="N351" i="57"/>
  <c r="N352" i="57"/>
  <c r="F297" i="57"/>
  <c r="F298" i="57"/>
  <c r="F300" i="57"/>
  <c r="F303" i="57"/>
  <c r="D305" i="57"/>
  <c r="N310" i="57"/>
  <c r="D299" i="57"/>
  <c r="F302" i="57"/>
  <c r="D301" i="57"/>
  <c r="F304" i="57"/>
  <c r="F306" i="57"/>
  <c r="F311" i="57"/>
  <c r="D310" i="57"/>
  <c r="F307" i="57"/>
  <c r="F271" i="57"/>
  <c r="N271" i="57"/>
  <c r="F272" i="57"/>
  <c r="N272" i="57"/>
  <c r="F275" i="57"/>
  <c r="N275" i="57"/>
  <c r="F276" i="57"/>
  <c r="N276" i="57"/>
  <c r="F277" i="57"/>
  <c r="N277" i="57"/>
  <c r="F278" i="57"/>
  <c r="N278" i="57"/>
  <c r="F279" i="57"/>
  <c r="N279" i="57"/>
  <c r="F280" i="57"/>
  <c r="N280" i="57"/>
  <c r="F281" i="57"/>
  <c r="N281" i="57"/>
  <c r="F282" i="57"/>
  <c r="F283" i="57"/>
  <c r="F284" i="57"/>
  <c r="F167" i="57"/>
  <c r="N168" i="57"/>
  <c r="F169" i="57"/>
  <c r="N246" i="57"/>
  <c r="F194" i="57"/>
  <c r="N234" i="57"/>
  <c r="F246" i="57"/>
  <c r="N248" i="57"/>
  <c r="D185" i="57"/>
  <c r="N211" i="57"/>
  <c r="N167" i="57"/>
  <c r="N182" i="57"/>
  <c r="F211" i="57"/>
  <c r="D229" i="57"/>
  <c r="N235" i="57"/>
  <c r="N194" i="57"/>
  <c r="D230" i="57"/>
  <c r="N236" i="57"/>
  <c r="D245" i="57"/>
  <c r="N250" i="57"/>
  <c r="D176" i="57"/>
  <c r="N237" i="57"/>
  <c r="N251" i="57"/>
  <c r="N177" i="57"/>
  <c r="F220" i="57"/>
  <c r="D232" i="57"/>
  <c r="D247" i="57"/>
  <c r="F250" i="57"/>
  <c r="N252" i="57"/>
  <c r="N221" i="57"/>
  <c r="D233" i="57"/>
  <c r="F251" i="57"/>
  <c r="D249" i="57"/>
  <c r="F252" i="57"/>
  <c r="N254" i="57"/>
  <c r="N180" i="57"/>
  <c r="D250" i="57"/>
  <c r="F253" i="57"/>
  <c r="N255" i="57"/>
  <c r="N181" i="57"/>
  <c r="F249" i="57"/>
  <c r="F178" i="57"/>
  <c r="N253" i="57"/>
  <c r="F181" i="57"/>
  <c r="F254" i="57"/>
  <c r="N256" i="57"/>
  <c r="D181" i="57"/>
  <c r="D231" i="57"/>
  <c r="D248" i="57"/>
  <c r="D182" i="57"/>
  <c r="N257" i="57"/>
  <c r="F182" i="57"/>
  <c r="F195" i="57"/>
  <c r="F248" i="57"/>
  <c r="D246" i="57"/>
  <c r="D179" i="57"/>
  <c r="N183" i="57"/>
  <c r="D226" i="57"/>
  <c r="D184" i="57"/>
  <c r="F232" i="57"/>
  <c r="N205" i="57"/>
  <c r="D196" i="57"/>
  <c r="N200" i="57"/>
  <c r="D197" i="57"/>
  <c r="F197" i="57"/>
  <c r="N223" i="57"/>
  <c r="D199" i="57"/>
  <c r="N208" i="57"/>
  <c r="N224" i="57"/>
  <c r="D200" i="57"/>
  <c r="N225" i="57"/>
  <c r="D201" i="57"/>
  <c r="F205" i="57"/>
  <c r="D223" i="57"/>
  <c r="F226" i="57"/>
  <c r="N227" i="57"/>
  <c r="N203" i="57"/>
  <c r="F206" i="57"/>
  <c r="D224" i="57"/>
  <c r="F227" i="57"/>
  <c r="N228" i="57"/>
  <c r="D194" i="57"/>
  <c r="D195" i="57"/>
  <c r="F196" i="57"/>
  <c r="D198" i="57"/>
  <c r="D219" i="57"/>
  <c r="F198" i="57"/>
  <c r="F224" i="57"/>
  <c r="F225" i="57"/>
  <c r="F207" i="57"/>
  <c r="N229" i="57"/>
  <c r="D205" i="57"/>
  <c r="F208" i="57"/>
  <c r="N230" i="57"/>
  <c r="D193" i="57"/>
  <c r="N199" i="57"/>
  <c r="D221" i="57"/>
  <c r="D225" i="57"/>
  <c r="F228" i="57"/>
  <c r="D167" i="57"/>
  <c r="D206" i="57"/>
  <c r="F209" i="57"/>
  <c r="N231" i="57"/>
  <c r="N195" i="57"/>
  <c r="N196" i="57"/>
  <c r="N197" i="57"/>
  <c r="N198" i="57"/>
  <c r="N206" i="57"/>
  <c r="F221" i="57"/>
  <c r="N207" i="57"/>
  <c r="F222" i="57"/>
  <c r="D220" i="57"/>
  <c r="F223" i="57"/>
  <c r="F199" i="57"/>
  <c r="F200" i="57"/>
  <c r="D222" i="57"/>
  <c r="N226" i="57"/>
  <c r="N202" i="57"/>
  <c r="N204" i="57"/>
  <c r="D180" i="57"/>
  <c r="D207" i="57"/>
  <c r="F210" i="57"/>
  <c r="D211" i="57"/>
  <c r="F193" i="57"/>
  <c r="N193" i="57"/>
  <c r="D202" i="57"/>
  <c r="D203" i="57"/>
  <c r="D204" i="57"/>
  <c r="F168" i="57"/>
  <c r="N201" i="57"/>
  <c r="F202" i="57"/>
  <c r="F203" i="57"/>
  <c r="D175" i="57"/>
  <c r="F204" i="57"/>
  <c r="D183" i="57"/>
  <c r="F185" i="57"/>
  <c r="N184" i="57"/>
  <c r="F184" i="57"/>
  <c r="D168" i="57"/>
  <c r="F170" i="57"/>
  <c r="D169" i="57"/>
  <c r="N170" i="57"/>
  <c r="N171" i="57"/>
  <c r="N172" i="57"/>
  <c r="N209" i="57"/>
  <c r="N173" i="57"/>
  <c r="N175" i="57"/>
  <c r="F177" i="57"/>
  <c r="N176" i="57"/>
  <c r="N210" i="57"/>
  <c r="D174" i="57"/>
  <c r="D177" i="57"/>
  <c r="F179" i="57"/>
  <c r="N178" i="57"/>
  <c r="D170" i="57"/>
  <c r="F175" i="57"/>
  <c r="F176" i="57"/>
  <c r="D178" i="57"/>
  <c r="F180" i="57"/>
  <c r="N179" i="57"/>
  <c r="F171" i="57"/>
  <c r="F172" i="57"/>
  <c r="D171" i="57"/>
  <c r="F173" i="57"/>
  <c r="D172" i="57"/>
  <c r="F174" i="57"/>
  <c r="D173" i="57"/>
  <c r="N174" i="57"/>
  <c r="D11" i="62"/>
  <c r="D12" i="62"/>
  <c r="F15" i="62"/>
  <c r="F18" i="62"/>
  <c r="P20" i="50" l="1"/>
  <c r="N25" i="40"/>
  <c r="V25" i="40"/>
  <c r="Y20" i="50"/>
  <c r="L20" i="50"/>
  <c r="K25" i="40"/>
  <c r="N244" i="57"/>
  <c r="M15" i="41" s="1"/>
  <c r="O20" i="50"/>
  <c r="M25" i="40"/>
  <c r="S25" i="40"/>
  <c r="V20" i="50"/>
  <c r="X25" i="40"/>
  <c r="AA20" i="50"/>
  <c r="D530" i="57"/>
  <c r="X11" i="41" s="1"/>
  <c r="F504" i="57"/>
  <c r="W12" i="41" s="1"/>
  <c r="D504" i="57"/>
  <c r="W11" i="41" s="1"/>
  <c r="F478" i="57"/>
  <c r="V12" i="41" s="1"/>
  <c r="D478" i="57"/>
  <c r="V11" i="41" s="1"/>
  <c r="F452" i="57"/>
  <c r="U12" i="41" s="1"/>
  <c r="D452" i="57"/>
  <c r="U11" i="41" s="1"/>
  <c r="D426" i="57"/>
  <c r="T11" i="41" s="1"/>
  <c r="F426" i="57"/>
  <c r="T12" i="41" s="1"/>
  <c r="D400" i="57"/>
  <c r="S11" i="41" s="1"/>
  <c r="F374" i="57"/>
  <c r="R12" i="41" s="1"/>
  <c r="D374" i="57"/>
  <c r="R11" i="41" s="1"/>
  <c r="N270" i="57"/>
  <c r="N15" i="41" s="1"/>
  <c r="D270" i="57"/>
  <c r="N11" i="41" s="1"/>
  <c r="F270" i="57"/>
  <c r="N12" i="41" s="1"/>
  <c r="F218" i="57"/>
  <c r="L12" i="41" s="1"/>
  <c r="N192" i="57"/>
  <c r="K15" i="41" s="1"/>
  <c r="D244" i="57"/>
  <c r="M11" i="41" s="1"/>
  <c r="D192" i="57"/>
  <c r="K11" i="41" s="1"/>
  <c r="F244" i="57"/>
  <c r="M12" i="41" s="1"/>
  <c r="D218" i="57"/>
  <c r="L11" i="41" s="1"/>
  <c r="N218" i="57"/>
  <c r="L15" i="41" s="1"/>
  <c r="F192" i="57"/>
  <c r="K12" i="41" s="1"/>
  <c r="F19" i="62"/>
  <c r="F16" i="62"/>
  <c r="F160" i="47"/>
  <c r="Z137" i="47"/>
  <c r="Y137" i="47"/>
  <c r="X137" i="47"/>
  <c r="W137" i="47"/>
  <c r="V137" i="47"/>
  <c r="U137" i="47"/>
  <c r="T137" i="47"/>
  <c r="S137" i="47"/>
  <c r="R137" i="47"/>
  <c r="Q137" i="47"/>
  <c r="P137" i="47"/>
  <c r="O137" i="47"/>
  <c r="AB111" i="47"/>
  <c r="Z89" i="47"/>
  <c r="Y89" i="47"/>
  <c r="X89" i="47"/>
  <c r="W89" i="47"/>
  <c r="V89" i="47"/>
  <c r="U89" i="47"/>
  <c r="T89" i="47"/>
  <c r="P89" i="47"/>
  <c r="P11" i="47"/>
  <c r="O89" i="47"/>
  <c r="O11" i="47"/>
  <c r="H84" i="47"/>
  <c r="H83" i="47"/>
  <c r="H82" i="47"/>
  <c r="H81" i="47"/>
  <c r="H80" i="47"/>
  <c r="H79" i="47"/>
  <c r="H78" i="47"/>
  <c r="H77" i="47"/>
  <c r="H76" i="47"/>
  <c r="H75" i="47"/>
  <c r="H74" i="47"/>
  <c r="H73" i="47"/>
  <c r="H72" i="47"/>
  <c r="H71" i="47"/>
  <c r="H70" i="47"/>
  <c r="H69" i="47"/>
  <c r="H68" i="47"/>
  <c r="H67" i="47"/>
  <c r="H66" i="47"/>
  <c r="H65" i="47"/>
  <c r="H64" i="47"/>
  <c r="H63" i="47"/>
  <c r="H62" i="47"/>
  <c r="H61" i="47"/>
  <c r="H60" i="47"/>
  <c r="H59" i="47"/>
  <c r="H58" i="47"/>
  <c r="H57" i="47"/>
  <c r="H56" i="47"/>
  <c r="H55" i="47"/>
  <c r="H54" i="47"/>
  <c r="H53" i="47"/>
  <c r="H52" i="47"/>
  <c r="H51" i="47"/>
  <c r="H50" i="47"/>
  <c r="H49" i="47"/>
  <c r="H48" i="47"/>
  <c r="H47" i="47"/>
  <c r="H46" i="47"/>
  <c r="H45" i="47"/>
  <c r="H44" i="47"/>
  <c r="H43" i="47"/>
  <c r="H42" i="47"/>
  <c r="H41" i="47"/>
  <c r="H40" i="47"/>
  <c r="H39" i="47"/>
  <c r="H38" i="47"/>
  <c r="H37" i="47"/>
  <c r="H36" i="47"/>
  <c r="H35" i="47"/>
  <c r="H34" i="47"/>
  <c r="F17" i="62" l="1"/>
  <c r="H157" i="51"/>
  <c r="C73" i="47"/>
  <c r="C71" i="47"/>
  <c r="C69" i="47"/>
  <c r="C67" i="47"/>
  <c r="C65" i="47"/>
  <c r="C63" i="47"/>
  <c r="C61" i="47"/>
  <c r="C53" i="47"/>
  <c r="C51" i="47"/>
  <c r="C55" i="47"/>
  <c r="P12" i="47"/>
  <c r="O12" i="47"/>
  <c r="N12" i="47"/>
  <c r="M12" i="47"/>
  <c r="L12" i="47"/>
  <c r="AA12" i="47"/>
  <c r="Z11" i="47"/>
  <c r="Y11" i="47"/>
  <c r="X11" i="47"/>
  <c r="W11" i="47"/>
  <c r="V11" i="47"/>
  <c r="U11" i="47"/>
  <c r="T11" i="47"/>
  <c r="S11" i="47"/>
  <c r="R11" i="47"/>
  <c r="Q11" i="47"/>
  <c r="B94" i="46"/>
  <c r="B95" i="46"/>
  <c r="B90" i="46"/>
  <c r="B89" i="46"/>
  <c r="B85" i="46"/>
  <c r="B86" i="46"/>
  <c r="B87" i="46"/>
  <c r="B88" i="46"/>
  <c r="B84" i="46"/>
  <c r="H149" i="51"/>
  <c r="H150" i="51"/>
  <c r="H151" i="51"/>
  <c r="H152" i="51"/>
  <c r="H153" i="51"/>
  <c r="H154" i="51"/>
  <c r="H155" i="51"/>
  <c r="H156" i="51"/>
  <c r="C109" i="51"/>
  <c r="I148" i="51"/>
  <c r="I153" i="51"/>
  <c r="I152" i="51"/>
  <c r="J152" i="51" s="1" a="1"/>
  <c r="J152" i="51" s="1"/>
  <c r="I151" i="51"/>
  <c r="J151" i="51" s="1" a="1"/>
  <c r="J151" i="51" s="1"/>
  <c r="I150" i="51"/>
  <c r="I149" i="51"/>
  <c r="H148" i="51"/>
  <c r="G152" i="51"/>
  <c r="G151" i="51"/>
  <c r="G150" i="51"/>
  <c r="G149" i="51"/>
  <c r="D117" i="51"/>
  <c r="D116" i="51"/>
  <c r="D115" i="51"/>
  <c r="D114" i="51"/>
  <c r="D113" i="51"/>
  <c r="D112" i="51"/>
  <c r="D111" i="51"/>
  <c r="D110" i="51"/>
  <c r="F109" i="51"/>
  <c r="F108" i="51"/>
  <c r="C156" i="51"/>
  <c r="C160" i="51"/>
  <c r="C159" i="51"/>
  <c r="C158" i="51"/>
  <c r="C157" i="51"/>
  <c r="G43" i="51"/>
  <c r="G44" i="51"/>
  <c r="G45" i="51"/>
  <c r="G46" i="51"/>
  <c r="G47" i="51"/>
  <c r="G48" i="51"/>
  <c r="G42" i="51"/>
  <c r="AB95" i="51"/>
  <c r="AB56" i="51"/>
  <c r="C27" i="51"/>
  <c r="AB44" i="51"/>
  <c r="AB43" i="51"/>
  <c r="AB42" i="51"/>
  <c r="N41" i="51"/>
  <c r="M41" i="51"/>
  <c r="L41" i="51"/>
  <c r="K27" i="51"/>
  <c r="B27" i="51"/>
  <c r="E41" i="51"/>
  <c r="D41" i="51"/>
  <c r="C41" i="51"/>
  <c r="N50" i="51"/>
  <c r="M50" i="51"/>
  <c r="L50" i="51"/>
  <c r="E50" i="51"/>
  <c r="D50" i="51"/>
  <c r="C50" i="51"/>
  <c r="AB49" i="51"/>
  <c r="X49" i="51"/>
  <c r="O49" i="51"/>
  <c r="F49" i="51"/>
  <c r="AB48" i="51"/>
  <c r="X48" i="51"/>
  <c r="O48" i="51"/>
  <c r="F48" i="51"/>
  <c r="AB47" i="51"/>
  <c r="X47" i="51"/>
  <c r="O47" i="51"/>
  <c r="F47" i="51"/>
  <c r="AB46" i="51"/>
  <c r="X46" i="51"/>
  <c r="O46" i="51"/>
  <c r="F46" i="51"/>
  <c r="AB45" i="51"/>
  <c r="X45" i="51"/>
  <c r="O45" i="51"/>
  <c r="F45" i="51"/>
  <c r="X44" i="51"/>
  <c r="O44" i="51"/>
  <c r="F44" i="51"/>
  <c r="X43" i="51"/>
  <c r="O43" i="51"/>
  <c r="F43" i="51"/>
  <c r="X42" i="51"/>
  <c r="O42" i="51"/>
  <c r="F42" i="51"/>
  <c r="AB98" i="51"/>
  <c r="AB97" i="51"/>
  <c r="AB96" i="51"/>
  <c r="AB94" i="51"/>
  <c r="AB93" i="51"/>
  <c r="AB92" i="51"/>
  <c r="AB91" i="51"/>
  <c r="AB90" i="51"/>
  <c r="AB89" i="51"/>
  <c r="AB88" i="51"/>
  <c r="AB87" i="51"/>
  <c r="AB86" i="51"/>
  <c r="AB85" i="51"/>
  <c r="AB84" i="51"/>
  <c r="AB83" i="51"/>
  <c r="AB82" i="51"/>
  <c r="AB81" i="51"/>
  <c r="AB80" i="51"/>
  <c r="AB79" i="51"/>
  <c r="AB78" i="51"/>
  <c r="AB77" i="51"/>
  <c r="AB76" i="51"/>
  <c r="AB75" i="51"/>
  <c r="AB74" i="51"/>
  <c r="AB73" i="51"/>
  <c r="AB72" i="51"/>
  <c r="AB71" i="51"/>
  <c r="AB70" i="51"/>
  <c r="AB69" i="51"/>
  <c r="AB68" i="51"/>
  <c r="AB67" i="51"/>
  <c r="AB66" i="51"/>
  <c r="AB65" i="51"/>
  <c r="AB64" i="51"/>
  <c r="AB63" i="51"/>
  <c r="AB62" i="51"/>
  <c r="AB61" i="51"/>
  <c r="AB60" i="51"/>
  <c r="AB59" i="51"/>
  <c r="AB58" i="51"/>
  <c r="AB57" i="51"/>
  <c r="AB35" i="51"/>
  <c r="AB34" i="51"/>
  <c r="AB33" i="51"/>
  <c r="AB32" i="51"/>
  <c r="AB31" i="51"/>
  <c r="AB30" i="51"/>
  <c r="AB29" i="51"/>
  <c r="AB28" i="51"/>
  <c r="AB22" i="51"/>
  <c r="AB21" i="51"/>
  <c r="AB19" i="51"/>
  <c r="AB18" i="51"/>
  <c r="AB17" i="51"/>
  <c r="AB20" i="51"/>
  <c r="X98" i="51"/>
  <c r="F68" i="51"/>
  <c r="F69" i="51"/>
  <c r="F70" i="51"/>
  <c r="F71" i="51"/>
  <c r="F72" i="51"/>
  <c r="F73" i="51"/>
  <c r="F74" i="51"/>
  <c r="F75" i="51"/>
  <c r="F76" i="51"/>
  <c r="F77" i="51"/>
  <c r="F78" i="51"/>
  <c r="F89" i="51"/>
  <c r="F90" i="51"/>
  <c r="F91" i="51"/>
  <c r="F92" i="51"/>
  <c r="F93" i="51"/>
  <c r="F94" i="51"/>
  <c r="F95" i="51"/>
  <c r="F96" i="51"/>
  <c r="F97" i="51"/>
  <c r="F98" i="51"/>
  <c r="F56" i="51"/>
  <c r="O56" i="51"/>
  <c r="O98" i="51"/>
  <c r="X28" i="51"/>
  <c r="L27" i="51"/>
  <c r="O34" i="51"/>
  <c r="O33" i="51"/>
  <c r="O32" i="51"/>
  <c r="N36" i="51"/>
  <c r="M36" i="51"/>
  <c r="N27" i="51"/>
  <c r="M27" i="51"/>
  <c r="N55" i="51"/>
  <c r="M55" i="51"/>
  <c r="L55" i="51"/>
  <c r="C55" i="51"/>
  <c r="F58" i="51"/>
  <c r="F59" i="51"/>
  <c r="F60" i="51"/>
  <c r="F61" i="51"/>
  <c r="F62" i="51"/>
  <c r="F63" i="51"/>
  <c r="F64" i="51"/>
  <c r="F65" i="51"/>
  <c r="F66" i="51"/>
  <c r="F67" i="51"/>
  <c r="F80" i="51"/>
  <c r="F81" i="51"/>
  <c r="F82" i="51"/>
  <c r="F83" i="51"/>
  <c r="F84" i="51"/>
  <c r="F85" i="51"/>
  <c r="F86" i="51"/>
  <c r="F87" i="51"/>
  <c r="F88" i="51"/>
  <c r="J149" i="51" l="1" a="1"/>
  <c r="J149" i="51" s="1"/>
  <c r="J150" i="51" a="1"/>
  <c r="J150" i="51" s="1"/>
  <c r="J148" i="51" a="1"/>
  <c r="J148" i="51" s="1"/>
  <c r="AC60" i="51"/>
  <c r="AC66" i="51"/>
  <c r="AC98" i="51"/>
  <c r="AC88" i="51"/>
  <c r="AC68" i="51"/>
  <c r="AC75" i="51"/>
  <c r="AC78" i="51"/>
  <c r="AC58" i="51"/>
  <c r="AC80" i="51"/>
  <c r="AC91" i="51"/>
  <c r="F41" i="51"/>
  <c r="G41" i="51" s="1"/>
  <c r="AC71" i="51"/>
  <c r="AC93" i="51"/>
  <c r="AC94" i="51"/>
  <c r="AC76" i="51"/>
  <c r="AC57" i="51"/>
  <c r="AC67" i="51"/>
  <c r="AC69" i="51"/>
  <c r="AC95" i="51"/>
  <c r="AC59" i="51"/>
  <c r="AC81" i="51"/>
  <c r="AC82" i="51"/>
  <c r="AC61" i="51"/>
  <c r="AC83" i="51"/>
  <c r="C51" i="51"/>
  <c r="AC84" i="51"/>
  <c r="AC85" i="51"/>
  <c r="AC64" i="51"/>
  <c r="AC86" i="51"/>
  <c r="AC89" i="51"/>
  <c r="AC62" i="51"/>
  <c r="AC63" i="51"/>
  <c r="AC65" i="51"/>
  <c r="AC87" i="51"/>
  <c r="R44" i="51"/>
  <c r="I47" i="51"/>
  <c r="AC56" i="51"/>
  <c r="AC77" i="51"/>
  <c r="AC74" i="51"/>
  <c r="AC73" i="51"/>
  <c r="I48" i="51"/>
  <c r="AC72" i="51"/>
  <c r="I46" i="51"/>
  <c r="AC96" i="51"/>
  <c r="N51" i="51"/>
  <c r="AC79" i="51"/>
  <c r="AC70" i="51"/>
  <c r="AC90" i="51"/>
  <c r="Q47" i="51"/>
  <c r="O41" i="51"/>
  <c r="T43" i="51" s="1"/>
  <c r="AC97" i="51"/>
  <c r="AC92" i="51"/>
  <c r="R43" i="51"/>
  <c r="R47" i="51"/>
  <c r="Q42" i="51"/>
  <c r="Q44" i="51"/>
  <c r="Q43" i="51"/>
  <c r="T45" i="51"/>
  <c r="T44" i="51"/>
  <c r="Q49" i="51"/>
  <c r="R49" i="51"/>
  <c r="Q45" i="51"/>
  <c r="Q46" i="51"/>
  <c r="Q48" i="51"/>
  <c r="D51" i="51"/>
  <c r="E51" i="51"/>
  <c r="L51" i="51"/>
  <c r="M51" i="51"/>
  <c r="F50" i="51"/>
  <c r="O50" i="51"/>
  <c r="F57" i="51"/>
  <c r="F79" i="51"/>
  <c r="O27" i="51"/>
  <c r="G108" i="51" l="1" a="1"/>
  <c r="B100" i="46" s="1"/>
  <c r="R48" i="51"/>
  <c r="T48" i="51"/>
  <c r="O51" i="51"/>
  <c r="T46" i="51"/>
  <c r="I44" i="51"/>
  <c r="I45" i="51"/>
  <c r="I49" i="51"/>
  <c r="T49" i="51"/>
  <c r="I43" i="51"/>
  <c r="F51" i="51"/>
  <c r="R42" i="51"/>
  <c r="P41" i="51"/>
  <c r="R46" i="51"/>
  <c r="R45" i="51"/>
  <c r="T47" i="51"/>
  <c r="T42" i="51"/>
  <c r="F99" i="51"/>
  <c r="R32" i="51"/>
  <c r="R33" i="51"/>
  <c r="R34" i="51"/>
  <c r="C83" i="47" l="1"/>
  <c r="U13" i="63"/>
  <c r="AC12" i="40"/>
  <c r="AC10" i="41"/>
  <c r="C660" i="57"/>
  <c r="C635" i="43"/>
  <c r="AG17" i="50"/>
  <c r="AC24" i="41"/>
  <c r="AE137" i="47"/>
  <c r="AE11" i="47"/>
  <c r="AE89" i="47"/>
  <c r="B98" i="46"/>
  <c r="B99" i="46"/>
  <c r="B97" i="46"/>
  <c r="G108" i="51"/>
  <c r="R51" i="51"/>
  <c r="C77" i="47" l="1"/>
  <c r="R13" i="63"/>
  <c r="Z24" i="41"/>
  <c r="Z12" i="40"/>
  <c r="AD17" i="50"/>
  <c r="Z10" i="41"/>
  <c r="C560" i="43"/>
  <c r="C582" i="57"/>
  <c r="AB137" i="47"/>
  <c r="AB89" i="47"/>
  <c r="AB11" i="47"/>
  <c r="C81" i="47"/>
  <c r="T13" i="63"/>
  <c r="AB10" i="41"/>
  <c r="AB12" i="40"/>
  <c r="AF17" i="50"/>
  <c r="C634" i="57"/>
  <c r="C610" i="43"/>
  <c r="AB24" i="41"/>
  <c r="AD137" i="47"/>
  <c r="AD89" i="47"/>
  <c r="AD11" i="47"/>
  <c r="C79" i="47"/>
  <c r="S13" i="63"/>
  <c r="C585" i="43"/>
  <c r="AA12" i="40"/>
  <c r="C608" i="57"/>
  <c r="AA10" i="41"/>
  <c r="AE17" i="50"/>
  <c r="AA24" i="41"/>
  <c r="AC11" i="47"/>
  <c r="AC89" i="47"/>
  <c r="AC137" i="47"/>
  <c r="B96" i="46"/>
  <c r="C99" i="51"/>
  <c r="C100" i="51" s="1"/>
  <c r="N617" i="57" l="1"/>
  <c r="F612" i="57"/>
  <c r="F610" i="57"/>
  <c r="N610" i="57"/>
  <c r="F625" i="57"/>
  <c r="F609" i="57"/>
  <c r="D625" i="57"/>
  <c r="N627" i="57"/>
  <c r="N626" i="57"/>
  <c r="F623" i="57"/>
  <c r="F616" i="57"/>
  <c r="F615" i="57"/>
  <c r="D617" i="57"/>
  <c r="F620" i="57"/>
  <c r="D612" i="57"/>
  <c r="N623" i="57"/>
  <c r="N622" i="57"/>
  <c r="N621" i="57"/>
  <c r="N620" i="57"/>
  <c r="C75" i="47"/>
  <c r="Q13" i="63"/>
  <c r="C535" i="43"/>
  <c r="Y24" i="41"/>
  <c r="Y12" i="40"/>
  <c r="C556" i="57"/>
  <c r="AC17" i="50"/>
  <c r="Y10" i="41"/>
  <c r="AA89" i="47"/>
  <c r="N614" i="57" s="1"/>
  <c r="AA137" i="47"/>
  <c r="AA11" i="47"/>
  <c r="Z18" i="40" s="1"/>
  <c r="AA14" i="40"/>
  <c r="AA20" i="40"/>
  <c r="AA19" i="40"/>
  <c r="AA18" i="40"/>
  <c r="AA17" i="40"/>
  <c r="AA16" i="40"/>
  <c r="F647" i="57"/>
  <c r="N652" i="57"/>
  <c r="F649" i="57"/>
  <c r="N639" i="57"/>
  <c r="F636" i="57"/>
  <c r="N649" i="57"/>
  <c r="F646" i="57"/>
  <c r="D643" i="57"/>
  <c r="N646" i="57"/>
  <c r="F643" i="57"/>
  <c r="N648" i="57"/>
  <c r="F645" i="57"/>
  <c r="D642" i="57"/>
  <c r="F638" i="57"/>
  <c r="D635" i="57"/>
  <c r="N640" i="57"/>
  <c r="F637" i="57"/>
  <c r="N647" i="57"/>
  <c r="F644" i="57"/>
  <c r="D641" i="57"/>
  <c r="D651" i="57"/>
  <c r="F652" i="57"/>
  <c r="F651" i="57"/>
  <c r="D649" i="57"/>
  <c r="D648" i="57"/>
  <c r="AB19" i="40"/>
  <c r="AB21" i="40"/>
  <c r="AB18" i="40"/>
  <c r="AB17" i="40"/>
  <c r="AB16" i="40"/>
  <c r="D597" i="57"/>
  <c r="D596" i="57"/>
  <c r="F598" i="57"/>
  <c r="F586" i="57"/>
  <c r="N599" i="57"/>
  <c r="F597" i="57"/>
  <c r="D594" i="57"/>
  <c r="N596" i="57"/>
  <c r="F594" i="57"/>
  <c r="F593" i="57"/>
  <c r="D588" i="57"/>
  <c r="F592" i="57"/>
  <c r="F589" i="57"/>
  <c r="D585" i="57"/>
  <c r="F595" i="57"/>
  <c r="D592" i="57"/>
  <c r="N594" i="57"/>
  <c r="D589" i="57"/>
  <c r="N593" i="57"/>
  <c r="F591" i="57"/>
  <c r="N592" i="57"/>
  <c r="F590" i="57"/>
  <c r="F583" i="57"/>
  <c r="D601" i="57"/>
  <c r="D600" i="57"/>
  <c r="E36" i="51"/>
  <c r="F31" i="51"/>
  <c r="F30" i="51"/>
  <c r="F29" i="51"/>
  <c r="F28" i="51"/>
  <c r="F35" i="51"/>
  <c r="C36" i="51"/>
  <c r="C23" i="51"/>
  <c r="X34" i="51"/>
  <c r="F34" i="51"/>
  <c r="F33" i="51"/>
  <c r="X33" i="51"/>
  <c r="F32" i="51"/>
  <c r="X32" i="51"/>
  <c r="AA14" i="41" l="1"/>
  <c r="AA15" i="40"/>
  <c r="N618" i="57"/>
  <c r="F627" i="57"/>
  <c r="N597" i="57"/>
  <c r="F587" i="57"/>
  <c r="D650" i="57"/>
  <c r="N641" i="57"/>
  <c r="D644" i="57"/>
  <c r="AA21" i="40"/>
  <c r="N619" i="57"/>
  <c r="N609" i="57"/>
  <c r="D599" i="57"/>
  <c r="D584" i="57"/>
  <c r="N589" i="57"/>
  <c r="D653" i="57"/>
  <c r="F642" i="57"/>
  <c r="D646" i="57"/>
  <c r="AA22" i="40"/>
  <c r="D616" i="57"/>
  <c r="D626" i="57"/>
  <c r="D590" i="57"/>
  <c r="D652" i="57"/>
  <c r="F635" i="57"/>
  <c r="F634" i="57" s="1"/>
  <c r="AB12" i="41" s="1"/>
  <c r="F617" i="57"/>
  <c r="N595" i="57"/>
  <c r="F588" i="57"/>
  <c r="N585" i="57"/>
  <c r="N613" i="57"/>
  <c r="F584" i="57"/>
  <c r="F600" i="57"/>
  <c r="N650" i="57"/>
  <c r="D619" i="57"/>
  <c r="N584" i="57"/>
  <c r="F653" i="57"/>
  <c r="N638" i="57"/>
  <c r="D645" i="57"/>
  <c r="F618" i="57"/>
  <c r="D621" i="57"/>
  <c r="D591" i="57"/>
  <c r="N590" i="57"/>
  <c r="N637" i="57"/>
  <c r="L634" i="57"/>
  <c r="AB14" i="41" s="1"/>
  <c r="F648" i="57"/>
  <c r="D618" i="57"/>
  <c r="D622" i="57"/>
  <c r="F585" i="57"/>
  <c r="D593" i="57"/>
  <c r="D595" i="57"/>
  <c r="N636" i="57"/>
  <c r="D636" i="57"/>
  <c r="N651" i="57"/>
  <c r="D623" i="57"/>
  <c r="D609" i="57"/>
  <c r="N583" i="57"/>
  <c r="N582" i="57" s="1"/>
  <c r="Z15" i="41" s="1"/>
  <c r="F596" i="57"/>
  <c r="N600" i="57"/>
  <c r="N635" i="57"/>
  <c r="N634" i="57" s="1"/>
  <c r="AB15" i="41" s="1"/>
  <c r="F639" i="57"/>
  <c r="D647" i="57"/>
  <c r="F626" i="57"/>
  <c r="L608" i="57"/>
  <c r="N586" i="57"/>
  <c r="N598" i="57"/>
  <c r="F599" i="57"/>
  <c r="D637" i="57"/>
  <c r="D634" i="57" s="1"/>
  <c r="AB11" i="41" s="1"/>
  <c r="N642" i="57"/>
  <c r="F650" i="57"/>
  <c r="D624" i="57"/>
  <c r="D610" i="57"/>
  <c r="N587" i="57"/>
  <c r="D586" i="57"/>
  <c r="N601" i="57"/>
  <c r="F640" i="57"/>
  <c r="D638" i="57"/>
  <c r="N653" i="57"/>
  <c r="D627" i="57"/>
  <c r="F613" i="57"/>
  <c r="D583" i="57"/>
  <c r="N591" i="57"/>
  <c r="D598" i="57"/>
  <c r="N643" i="57"/>
  <c r="D639" i="57"/>
  <c r="Z22" i="40"/>
  <c r="N611" i="57"/>
  <c r="N616" i="57"/>
  <c r="N588" i="57"/>
  <c r="D587" i="57"/>
  <c r="F601" i="57"/>
  <c r="F641" i="57"/>
  <c r="N645" i="57"/>
  <c r="Z13" i="40"/>
  <c r="F622" i="57"/>
  <c r="F611" i="57"/>
  <c r="N644" i="57"/>
  <c r="D640" i="57"/>
  <c r="AA13" i="40"/>
  <c r="D614" i="57"/>
  <c r="N625" i="57"/>
  <c r="AB22" i="40"/>
  <c r="N678" i="57"/>
  <c r="D665" i="57"/>
  <c r="N667" i="57"/>
  <c r="F675" i="57"/>
  <c r="D664" i="57"/>
  <c r="F661" i="57"/>
  <c r="F668" i="57"/>
  <c r="F667" i="57"/>
  <c r="F663" i="57"/>
  <c r="D671" i="57"/>
  <c r="D670" i="57"/>
  <c r="N675" i="57"/>
  <c r="D669" i="57"/>
  <c r="N679" i="57"/>
  <c r="F665" i="57"/>
  <c r="D666" i="57"/>
  <c r="F664" i="57"/>
  <c r="D672" i="57"/>
  <c r="D662" i="57"/>
  <c r="F662" i="57"/>
  <c r="N672" i="57"/>
  <c r="N664" i="57"/>
  <c r="N661" i="57"/>
  <c r="D677" i="57"/>
  <c r="F666" i="57"/>
  <c r="F671" i="57"/>
  <c r="F676" i="57"/>
  <c r="D673" i="57"/>
  <c r="D667" i="57"/>
  <c r="D661" i="57"/>
  <c r="D668" i="57"/>
  <c r="D678" i="57"/>
  <c r="N671" i="57"/>
  <c r="N677" i="57"/>
  <c r="N670" i="57"/>
  <c r="N669" i="57"/>
  <c r="N668" i="57"/>
  <c r="F669" i="57"/>
  <c r="N674" i="57"/>
  <c r="F679" i="57"/>
  <c r="N665" i="57"/>
  <c r="N662" i="57"/>
  <c r="N673" i="57"/>
  <c r="F678" i="57"/>
  <c r="D675" i="57"/>
  <c r="N666" i="57"/>
  <c r="F674" i="57"/>
  <c r="N676" i="57"/>
  <c r="F673" i="57"/>
  <c r="F670" i="57"/>
  <c r="F672" i="57"/>
  <c r="D674" i="57"/>
  <c r="N663" i="57"/>
  <c r="D679" i="57"/>
  <c r="D663" i="57"/>
  <c r="D676" i="57"/>
  <c r="F677" i="57"/>
  <c r="F619" i="57"/>
  <c r="F624" i="57"/>
  <c r="D620" i="57"/>
  <c r="AC15" i="40"/>
  <c r="AC19" i="40"/>
  <c r="AC17" i="40"/>
  <c r="AC20" i="40"/>
  <c r="L660" i="57"/>
  <c r="AC16" i="40"/>
  <c r="AC14" i="40"/>
  <c r="AC22" i="40"/>
  <c r="AC21" i="40"/>
  <c r="AC18" i="40"/>
  <c r="AC13" i="40"/>
  <c r="AB14" i="40"/>
  <c r="Z19" i="40"/>
  <c r="Y14" i="41"/>
  <c r="Z16" i="40"/>
  <c r="Z17" i="40"/>
  <c r="N567" i="57"/>
  <c r="F564" i="57"/>
  <c r="D561" i="57"/>
  <c r="D559" i="57"/>
  <c r="N564" i="57"/>
  <c r="F561" i="57"/>
  <c r="D558" i="57"/>
  <c r="N566" i="57"/>
  <c r="F563" i="57"/>
  <c r="D560" i="57"/>
  <c r="N565" i="57"/>
  <c r="F562" i="57"/>
  <c r="D572" i="57"/>
  <c r="D571" i="57"/>
  <c r="D570" i="57"/>
  <c r="N563" i="57"/>
  <c r="F560" i="57"/>
  <c r="D557" i="57"/>
  <c r="N560" i="57"/>
  <c r="F557" i="57"/>
  <c r="F575" i="57"/>
  <c r="F574" i="57"/>
  <c r="D568" i="57"/>
  <c r="N562" i="57"/>
  <c r="F559" i="57"/>
  <c r="N559" i="57"/>
  <c r="D575" i="57"/>
  <c r="F573" i="57"/>
  <c r="N575" i="57"/>
  <c r="F572" i="57"/>
  <c r="N561" i="57"/>
  <c r="F558" i="57"/>
  <c r="N558" i="57"/>
  <c r="D574" i="57"/>
  <c r="N557" i="57"/>
  <c r="D573" i="57"/>
  <c r="D569" i="57"/>
  <c r="N574" i="57"/>
  <c r="F571" i="57"/>
  <c r="N568" i="57"/>
  <c r="F566" i="57"/>
  <c r="F565" i="57"/>
  <c r="F570" i="57"/>
  <c r="F569" i="57"/>
  <c r="F568" i="57"/>
  <c r="F567" i="57"/>
  <c r="D566" i="57"/>
  <c r="D565" i="57"/>
  <c r="D563" i="57"/>
  <c r="D562" i="57"/>
  <c r="N572" i="57"/>
  <c r="N570" i="57"/>
  <c r="D564" i="57"/>
  <c r="N573" i="57"/>
  <c r="N571" i="57"/>
  <c r="N569" i="57"/>
  <c r="D567" i="57"/>
  <c r="L556" i="57"/>
  <c r="AC14" i="41"/>
  <c r="Z14" i="40"/>
  <c r="Y21" i="40"/>
  <c r="Y20" i="40"/>
  <c r="Y22" i="40"/>
  <c r="Y19" i="40"/>
  <c r="Y15" i="40"/>
  <c r="Y13" i="40"/>
  <c r="Y18" i="40"/>
  <c r="Y16" i="40"/>
  <c r="Y17" i="40"/>
  <c r="Y14" i="40"/>
  <c r="D613" i="57"/>
  <c r="N612" i="57"/>
  <c r="N615" i="57"/>
  <c r="AB15" i="40"/>
  <c r="Z15" i="40"/>
  <c r="D615" i="57"/>
  <c r="F621" i="57"/>
  <c r="D611" i="57"/>
  <c r="AB13" i="40"/>
  <c r="L582" i="57"/>
  <c r="Z14" i="41" s="1"/>
  <c r="Z20" i="40"/>
  <c r="N624" i="57"/>
  <c r="N608" i="57" s="1"/>
  <c r="AA15" i="41" s="1"/>
  <c r="F614" i="57"/>
  <c r="F608" i="57" s="1"/>
  <c r="AA12" i="41" s="1"/>
  <c r="D582" i="57"/>
  <c r="Z11" i="41" s="1"/>
  <c r="AB20" i="40"/>
  <c r="F582" i="57"/>
  <c r="Z12" i="41" s="1"/>
  <c r="Z21" i="40"/>
  <c r="G34" i="51"/>
  <c r="G33" i="51"/>
  <c r="G30" i="51"/>
  <c r="G31" i="51"/>
  <c r="G32" i="51"/>
  <c r="G28" i="51"/>
  <c r="G29" i="51"/>
  <c r="Z23" i="40" l="1"/>
  <c r="D608" i="57"/>
  <c r="AA11" i="41" s="1"/>
  <c r="AA23" i="40"/>
  <c r="AB23" i="40"/>
  <c r="Y23" i="40"/>
  <c r="Y25" i="40" s="1"/>
  <c r="Z25" i="40"/>
  <c r="AD20" i="50"/>
  <c r="F556" i="57"/>
  <c r="Y12" i="41" s="1"/>
  <c r="AC20" i="50"/>
  <c r="F660" i="57"/>
  <c r="AC12" i="41" s="1"/>
  <c r="AB25" i="40"/>
  <c r="AF20" i="50"/>
  <c r="D660" i="57"/>
  <c r="AC11" i="41" s="1"/>
  <c r="N660" i="57"/>
  <c r="AC15" i="41" s="1"/>
  <c r="D556" i="57"/>
  <c r="Y11" i="41" s="1"/>
  <c r="AC23" i="40"/>
  <c r="N556" i="57"/>
  <c r="Y15" i="41" s="1"/>
  <c r="C151" i="51"/>
  <c r="C149" i="51"/>
  <c r="C148" i="51"/>
  <c r="C150" i="51"/>
  <c r="C152" i="51"/>
  <c r="E27" i="51"/>
  <c r="D37" i="51"/>
  <c r="L36" i="51"/>
  <c r="X35" i="51"/>
  <c r="O35" i="51"/>
  <c r="X31" i="51"/>
  <c r="O31" i="51"/>
  <c r="X30" i="51"/>
  <c r="O30" i="51"/>
  <c r="X29" i="51"/>
  <c r="O29" i="51"/>
  <c r="O28" i="51"/>
  <c r="AE158" i="47"/>
  <c r="AE113" i="47"/>
  <c r="AE112" i="47"/>
  <c r="AE111" i="47"/>
  <c r="AE12" i="47"/>
  <c r="AD158" i="47"/>
  <c r="AD113" i="47"/>
  <c r="AD112" i="47"/>
  <c r="AD111" i="47"/>
  <c r="AD12" i="47"/>
  <c r="AC158" i="47"/>
  <c r="AC113" i="47"/>
  <c r="AC112" i="47"/>
  <c r="AC111" i="47"/>
  <c r="AC12" i="47"/>
  <c r="AB158" i="47"/>
  <c r="AB113" i="47"/>
  <c r="AB112" i="47"/>
  <c r="AB12" i="47"/>
  <c r="AA158" i="47"/>
  <c r="AA113" i="47"/>
  <c r="AA112" i="47"/>
  <c r="AA111" i="47"/>
  <c r="Z158" i="47"/>
  <c r="Z113" i="47"/>
  <c r="Z112" i="47"/>
  <c r="Z111" i="47"/>
  <c r="Z12" i="47"/>
  <c r="Y158" i="47"/>
  <c r="Y113" i="47"/>
  <c r="Y112" i="47"/>
  <c r="Y111" i="47"/>
  <c r="Y12" i="47"/>
  <c r="X158" i="47"/>
  <c r="X113" i="47"/>
  <c r="X112" i="47"/>
  <c r="X111" i="47"/>
  <c r="X12" i="47"/>
  <c r="W158" i="47"/>
  <c r="W113" i="47"/>
  <c r="W112" i="47"/>
  <c r="W111" i="47"/>
  <c r="W12" i="47"/>
  <c r="V158" i="47"/>
  <c r="V113" i="47"/>
  <c r="V112" i="47"/>
  <c r="V111" i="47"/>
  <c r="V114" i="47" s="1"/>
  <c r="V12" i="47"/>
  <c r="U158" i="47"/>
  <c r="U113" i="47"/>
  <c r="U112" i="47"/>
  <c r="U111" i="47"/>
  <c r="U12" i="47"/>
  <c r="T158" i="47"/>
  <c r="T113" i="47"/>
  <c r="T112" i="47"/>
  <c r="T111" i="47"/>
  <c r="T12" i="47"/>
  <c r="H12" i="47"/>
  <c r="G12" i="47"/>
  <c r="AA25" i="40" l="1"/>
  <c r="AE20" i="50"/>
  <c r="AC25" i="40"/>
  <c r="AG20" i="50"/>
  <c r="AB114" i="47"/>
  <c r="AD114" i="47"/>
  <c r="U114" i="47"/>
  <c r="AC114" i="47"/>
  <c r="AA114" i="47"/>
  <c r="X114" i="47"/>
  <c r="Y114" i="47"/>
  <c r="Z114" i="47"/>
  <c r="W114" i="47"/>
  <c r="T114" i="47"/>
  <c r="AE114" i="47"/>
  <c r="Q35" i="51"/>
  <c r="Q34" i="51"/>
  <c r="Q33" i="51"/>
  <c r="Q32" i="51"/>
  <c r="Q31" i="51"/>
  <c r="Q30" i="51"/>
  <c r="Q29" i="51"/>
  <c r="Q28" i="51"/>
  <c r="F27" i="51"/>
  <c r="R31" i="51"/>
  <c r="R30" i="51"/>
  <c r="R35" i="51"/>
  <c r="R29" i="51"/>
  <c r="P27" i="51"/>
  <c r="R28" i="51"/>
  <c r="L37" i="51"/>
  <c r="M37" i="51"/>
  <c r="N37" i="51"/>
  <c r="O36" i="51"/>
  <c r="C37" i="51"/>
  <c r="E37" i="51"/>
  <c r="F36" i="51"/>
  <c r="F129" i="47"/>
  <c r="F128" i="47"/>
  <c r="F127" i="47"/>
  <c r="I18" i="62" l="1"/>
  <c r="I19" i="62"/>
  <c r="D152" i="51"/>
  <c r="D148" i="51"/>
  <c r="D151" i="51"/>
  <c r="D150" i="51"/>
  <c r="D149" i="51"/>
  <c r="R37" i="51"/>
  <c r="H34" i="51"/>
  <c r="V34" i="51" s="1"/>
  <c r="H47" i="51"/>
  <c r="H45" i="51"/>
  <c r="H43" i="51"/>
  <c r="H46" i="51"/>
  <c r="H44" i="51"/>
  <c r="H48" i="51"/>
  <c r="H42" i="51"/>
  <c r="H49" i="51"/>
  <c r="H33" i="51"/>
  <c r="V33" i="51" s="1"/>
  <c r="H32" i="51"/>
  <c r="V32" i="51" s="1"/>
  <c r="G27" i="51"/>
  <c r="F37" i="51"/>
  <c r="H31" i="51"/>
  <c r="V31" i="51" s="1"/>
  <c r="H30" i="51"/>
  <c r="V30" i="51" s="1"/>
  <c r="V28" i="51"/>
  <c r="H35" i="51"/>
  <c r="H29" i="51"/>
  <c r="V29" i="51"/>
  <c r="V35" i="51"/>
  <c r="O37" i="51"/>
  <c r="W29" i="51" l="1"/>
  <c r="W30" i="51"/>
  <c r="W31" i="51"/>
  <c r="W32" i="51"/>
  <c r="W33" i="51"/>
  <c r="W34" i="51"/>
  <c r="W35" i="51"/>
  <c r="W28" i="51"/>
  <c r="H51" i="51"/>
  <c r="H37" i="51"/>
  <c r="O70" i="51"/>
  <c r="O71" i="51"/>
  <c r="O72" i="51"/>
  <c r="O73" i="51"/>
  <c r="X70" i="51"/>
  <c r="X71" i="51"/>
  <c r="X72" i="51"/>
  <c r="X73" i="51"/>
  <c r="D99" i="51"/>
  <c r="E99" i="51"/>
  <c r="E151" i="51" l="1"/>
  <c r="E149" i="51"/>
  <c r="E109" i="51" s="1"/>
  <c r="B92" i="46" s="1"/>
  <c r="E152" i="51"/>
  <c r="E150" i="51"/>
  <c r="E110" i="51" s="1"/>
  <c r="B93" i="46" s="1"/>
  <c r="E148" i="51"/>
  <c r="E108" i="51" s="1"/>
  <c r="B91" i="46" s="1"/>
  <c r="H39" i="51"/>
  <c r="H53" i="51"/>
  <c r="X68" i="51"/>
  <c r="X69" i="51"/>
  <c r="X74" i="51"/>
  <c r="X75" i="51"/>
  <c r="X76" i="51"/>
  <c r="X77" i="51"/>
  <c r="X78" i="51"/>
  <c r="X79" i="51"/>
  <c r="X80" i="51"/>
  <c r="X81" i="51"/>
  <c r="X82" i="51"/>
  <c r="X83" i="51"/>
  <c r="X84" i="51"/>
  <c r="X85" i="51"/>
  <c r="X86" i="51"/>
  <c r="X87" i="51"/>
  <c r="X88" i="51"/>
  <c r="X89" i="51"/>
  <c r="X90" i="51"/>
  <c r="X91" i="51"/>
  <c r="X92" i="51"/>
  <c r="X93" i="51"/>
  <c r="X94" i="51"/>
  <c r="X95" i="51"/>
  <c r="X96" i="51"/>
  <c r="X97" i="51"/>
  <c r="O68" i="51"/>
  <c r="O69" i="51"/>
  <c r="O74" i="51"/>
  <c r="O75" i="51"/>
  <c r="O76" i="51"/>
  <c r="O77" i="51"/>
  <c r="O78" i="51"/>
  <c r="O79" i="51"/>
  <c r="O80" i="51"/>
  <c r="O81" i="51"/>
  <c r="O82" i="51"/>
  <c r="O83" i="51"/>
  <c r="O84" i="51"/>
  <c r="O85" i="51"/>
  <c r="O86" i="51"/>
  <c r="O87" i="51"/>
  <c r="O88" i="51"/>
  <c r="O89" i="51"/>
  <c r="O90" i="51"/>
  <c r="O91" i="51"/>
  <c r="O92" i="51"/>
  <c r="O93" i="51"/>
  <c r="O94" i="51"/>
  <c r="O95" i="51"/>
  <c r="O96" i="51"/>
  <c r="O97" i="51"/>
  <c r="C15" i="62" l="1"/>
  <c r="C160" i="43"/>
  <c r="L11" i="47"/>
  <c r="L137" i="47"/>
  <c r="L89" i="47"/>
  <c r="C45" i="47"/>
  <c r="C17" i="62"/>
  <c r="I17" i="62" s="1"/>
  <c r="C210" i="43"/>
  <c r="N137" i="47"/>
  <c r="N89" i="47"/>
  <c r="N11" i="47"/>
  <c r="C49" i="47"/>
  <c r="C16" i="62"/>
  <c r="I16" i="62" s="1"/>
  <c r="C185" i="43"/>
  <c r="M89" i="47"/>
  <c r="M137" i="47"/>
  <c r="M11" i="47"/>
  <c r="C47" i="47"/>
  <c r="AY20" i="55"/>
  <c r="J23" i="53"/>
  <c r="AV20" i="55" s="1"/>
  <c r="I15" i="62" l="1"/>
  <c r="D15" i="62"/>
  <c r="D200" i="43"/>
  <c r="D206" i="43"/>
  <c r="D203" i="43"/>
  <c r="D193" i="43"/>
  <c r="D198" i="43"/>
  <c r="D186" i="43"/>
  <c r="D187" i="43"/>
  <c r="D188" i="43"/>
  <c r="D194" i="43"/>
  <c r="D199" i="43"/>
  <c r="D197" i="43"/>
  <c r="D189" i="43"/>
  <c r="D201" i="43"/>
  <c r="D190" i="43"/>
  <c r="D204" i="43"/>
  <c r="D196" i="43"/>
  <c r="D192" i="43"/>
  <c r="D191" i="43"/>
  <c r="D205" i="43"/>
  <c r="D195" i="43"/>
  <c r="D16" i="62"/>
  <c r="D229" i="43"/>
  <c r="D220" i="43"/>
  <c r="D231" i="43"/>
  <c r="D218" i="43"/>
  <c r="D221" i="43"/>
  <c r="D228" i="43"/>
  <c r="D223" i="43"/>
  <c r="D225" i="43"/>
  <c r="D211" i="43"/>
  <c r="D230" i="43"/>
  <c r="D226" i="43"/>
  <c r="D224" i="43"/>
  <c r="D216" i="43"/>
  <c r="D222" i="43"/>
  <c r="D214" i="43"/>
  <c r="D217" i="43"/>
  <c r="D213" i="43"/>
  <c r="D219" i="43"/>
  <c r="D212" i="43"/>
  <c r="D215" i="43"/>
  <c r="D17" i="62"/>
  <c r="D18" i="62"/>
  <c r="D19" i="62"/>
  <c r="D611" i="43"/>
  <c r="D647" i="43"/>
  <c r="D656" i="43"/>
  <c r="D648" i="43"/>
  <c r="D655" i="43"/>
  <c r="D654" i="43"/>
  <c r="D653" i="43"/>
  <c r="D651" i="43"/>
  <c r="D650" i="43"/>
  <c r="D649" i="43"/>
  <c r="D642" i="43"/>
  <c r="D641" i="43"/>
  <c r="D640" i="43"/>
  <c r="D639" i="43"/>
  <c r="D638" i="43"/>
  <c r="D637" i="43"/>
  <c r="D636" i="43"/>
  <c r="D646" i="43"/>
  <c r="D645" i="43"/>
  <c r="D644" i="43"/>
  <c r="D643" i="43"/>
  <c r="D586" i="43"/>
  <c r="D600" i="43"/>
  <c r="D626" i="43"/>
  <c r="D411" i="43"/>
  <c r="D520" i="43"/>
  <c r="D545" i="43"/>
  <c r="D515" i="43"/>
  <c r="D495" i="43"/>
  <c r="D473" i="43"/>
  <c r="D428" i="43"/>
  <c r="D417" i="43"/>
  <c r="D362" i="43"/>
  <c r="D389" i="43"/>
  <c r="D378" i="43"/>
  <c r="D403" i="43"/>
  <c r="D513" i="43"/>
  <c r="D475" i="43"/>
  <c r="D236" i="43"/>
  <c r="D446" i="43"/>
  <c r="D625" i="43"/>
  <c r="D575" i="43"/>
  <c r="D595" i="43"/>
  <c r="D525" i="43"/>
  <c r="D461" i="43"/>
  <c r="D238" i="43"/>
  <c r="D631" i="43"/>
  <c r="D518" i="43"/>
  <c r="D498" i="43"/>
  <c r="D612" i="43"/>
  <c r="D570" i="43"/>
  <c r="D248" i="43"/>
  <c r="D443" i="43"/>
  <c r="D372" i="43"/>
  <c r="D524" i="43"/>
  <c r="D387" i="43"/>
  <c r="D628" i="43"/>
  <c r="D281" i="43"/>
  <c r="D601" i="43"/>
  <c r="D528" i="43"/>
  <c r="D591" i="43"/>
  <c r="D546" i="43"/>
  <c r="D522" i="43"/>
  <c r="D500" i="43"/>
  <c r="D422" i="43"/>
  <c r="D429" i="43"/>
  <c r="D440" i="43"/>
  <c r="D262" i="43"/>
  <c r="D263" i="43"/>
  <c r="D541" i="43"/>
  <c r="D441" i="43"/>
  <c r="D594" i="43"/>
  <c r="D467" i="43"/>
  <c r="D620" i="43"/>
  <c r="D394" i="43"/>
  <c r="D621" i="43"/>
  <c r="D368" i="43"/>
  <c r="D239" i="43"/>
  <c r="D404" i="43"/>
  <c r="D573" i="43"/>
  <c r="D480" i="43"/>
  <c r="D592" i="43"/>
  <c r="D578" i="43"/>
  <c r="D580" i="43"/>
  <c r="D536" i="43"/>
  <c r="D548" i="43"/>
  <c r="D519" i="43"/>
  <c r="D504" i="43"/>
  <c r="D474" i="43"/>
  <c r="D451" i="43"/>
  <c r="D466" i="43"/>
  <c r="D364" i="43"/>
  <c r="D392" i="43"/>
  <c r="D506" i="43"/>
  <c r="D418" i="43"/>
  <c r="D619" i="43"/>
  <c r="D266" i="43"/>
  <c r="D622" i="43"/>
  <c r="D247" i="43"/>
  <c r="D412" i="43"/>
  <c r="D605" i="43"/>
  <c r="D551" i="43"/>
  <c r="D250" i="43"/>
  <c r="D395" i="43"/>
  <c r="D588" i="43"/>
  <c r="D547" i="43"/>
  <c r="D379" i="43"/>
  <c r="D249" i="43"/>
  <c r="D278" i="43"/>
  <c r="D269" i="43"/>
  <c r="D579" i="43"/>
  <c r="D618" i="43"/>
  <c r="D604" i="43"/>
  <c r="D529" i="43"/>
  <c r="D563" i="43"/>
  <c r="D487" i="43"/>
  <c r="D505" i="43"/>
  <c r="D397" i="43"/>
  <c r="D478" i="43"/>
  <c r="D463" i="43"/>
  <c r="D365" i="43"/>
  <c r="D265" i="43"/>
  <c r="D565" i="43"/>
  <c r="D423" i="43"/>
  <c r="D393" i="43"/>
  <c r="D616" i="43"/>
  <c r="D455" i="43"/>
  <c r="D514" i="43"/>
  <c r="D499" i="43"/>
  <c r="D237" i="43"/>
  <c r="D374" i="43"/>
  <c r="D267" i="43"/>
  <c r="D425" i="43"/>
  <c r="D413" i="43"/>
  <c r="D523" i="43"/>
  <c r="D438" i="43"/>
  <c r="D574" i="43"/>
  <c r="D449" i="43"/>
  <c r="D593" i="43"/>
  <c r="D613" i="43"/>
  <c r="D555" i="43"/>
  <c r="D564" i="43"/>
  <c r="D496" i="43"/>
  <c r="D271" i="43"/>
  <c r="D581" i="43"/>
  <c r="D549" i="43"/>
  <c r="D367" i="43"/>
  <c r="D542" i="43"/>
  <c r="D398" i="43"/>
  <c r="D517" i="43"/>
  <c r="D476" i="43"/>
  <c r="D401" i="43"/>
  <c r="D245" i="43"/>
  <c r="D400" i="43"/>
  <c r="D270" i="43"/>
  <c r="D251" i="43"/>
  <c r="D396" i="43"/>
  <c r="D630" i="43"/>
  <c r="D469" i="43"/>
  <c r="D243" i="43"/>
  <c r="D614" i="43"/>
  <c r="D531" i="43"/>
  <c r="D530" i="43"/>
  <c r="D571" i="43"/>
  <c r="D512" i="43"/>
  <c r="D442" i="43"/>
  <c r="D426" i="43"/>
  <c r="D503" i="43"/>
  <c r="D448" i="43"/>
  <c r="D268" i="43"/>
  <c r="D274" i="43"/>
  <c r="D363" i="43"/>
  <c r="D241" i="43"/>
  <c r="D615" i="43"/>
  <c r="D576" i="43"/>
  <c r="D521" i="43"/>
  <c r="D488" i="43"/>
  <c r="D468" i="43"/>
  <c r="D479" i="43"/>
  <c r="D415" i="43"/>
  <c r="D450" i="43"/>
  <c r="D369" i="43"/>
  <c r="D375" i="43"/>
  <c r="D373" i="43"/>
  <c r="D572" i="43"/>
  <c r="D617" i="43"/>
  <c r="D454" i="43"/>
  <c r="D598" i="43"/>
  <c r="D430" i="43"/>
  <c r="D275" i="43"/>
  <c r="D629" i="43"/>
  <c r="D606" i="43"/>
  <c r="D590" i="43"/>
  <c r="D537" i="43"/>
  <c r="D566" i="43"/>
  <c r="D553" i="43"/>
  <c r="D380" i="43"/>
  <c r="D491" i="43"/>
  <c r="D471" i="43"/>
  <c r="D420" i="43"/>
  <c r="D416" i="43"/>
  <c r="D406" i="43"/>
  <c r="D371" i="43"/>
  <c r="D391" i="43"/>
  <c r="D587" i="43"/>
  <c r="D538" i="43"/>
  <c r="D567" i="43"/>
  <c r="D405" i="43"/>
  <c r="D492" i="43"/>
  <c r="D501" i="43"/>
  <c r="D472" i="43"/>
  <c r="D439" i="43"/>
  <c r="D399" i="43"/>
  <c r="D246" i="43"/>
  <c r="D264" i="43"/>
  <c r="D596" i="43"/>
  <c r="D255" i="43"/>
  <c r="D254" i="43"/>
  <c r="D539" i="43"/>
  <c r="D516" i="43"/>
  <c r="D431" i="43"/>
  <c r="D543" i="43"/>
  <c r="D603" i="43"/>
  <c r="D490" i="43"/>
  <c r="D256" i="43"/>
  <c r="D554" i="43"/>
  <c r="D569" i="43"/>
  <c r="D376" i="43"/>
  <c r="D390" i="43"/>
  <c r="D419" i="43"/>
  <c r="D540" i="43"/>
  <c r="D276" i="43"/>
  <c r="D589" i="43"/>
  <c r="D240" i="43"/>
  <c r="D242" i="43"/>
  <c r="D494" i="43"/>
  <c r="D597" i="43"/>
  <c r="D568" i="43"/>
  <c r="D445" i="43"/>
  <c r="D486" i="43"/>
  <c r="D361" i="43"/>
  <c r="D388" i="43"/>
  <c r="D421" i="43"/>
  <c r="D366" i="43"/>
  <c r="D456" i="43"/>
  <c r="D279" i="43"/>
  <c r="D556" i="43"/>
  <c r="D599" i="43"/>
  <c r="D511" i="43"/>
  <c r="D386" i="43"/>
  <c r="D370" i="43"/>
  <c r="D381" i="43"/>
  <c r="D414" i="43"/>
  <c r="D562" i="43"/>
  <c r="D462" i="43"/>
  <c r="D489" i="43"/>
  <c r="D453" i="43"/>
  <c r="D437" i="43"/>
  <c r="D623" i="43"/>
  <c r="D244" i="43"/>
  <c r="D526" i="43"/>
  <c r="D447" i="43"/>
  <c r="D464" i="43"/>
  <c r="D624" i="43"/>
  <c r="D544" i="43"/>
  <c r="D444" i="43"/>
  <c r="D272" i="43"/>
  <c r="D550" i="43"/>
  <c r="D470" i="43"/>
  <c r="D273" i="43"/>
  <c r="D424" i="43"/>
  <c r="D481" i="43"/>
  <c r="D280" i="43"/>
  <c r="D261" i="43"/>
  <c r="D465" i="43"/>
  <c r="D497" i="43"/>
  <c r="D436" i="43"/>
  <c r="D561" i="43"/>
  <c r="D493" i="43"/>
  <c r="D253" i="43"/>
  <c r="D181" i="43"/>
  <c r="D175" i="43"/>
  <c r="D167" i="43"/>
  <c r="D174" i="43"/>
  <c r="D172" i="43"/>
  <c r="D179" i="43"/>
  <c r="D163" i="43"/>
  <c r="D171" i="43"/>
  <c r="D173" i="43"/>
  <c r="D176" i="43"/>
  <c r="D178" i="43"/>
  <c r="D180" i="43"/>
  <c r="D165" i="43"/>
  <c r="D161" i="43"/>
  <c r="D164" i="43"/>
  <c r="D170" i="43"/>
  <c r="D166" i="43"/>
  <c r="D168" i="43"/>
  <c r="D169" i="43"/>
  <c r="D162" i="43"/>
  <c r="D16" i="51"/>
  <c r="C16" i="51"/>
  <c r="F22" i="51"/>
  <c r="F21" i="51"/>
  <c r="F20" i="51"/>
  <c r="G553" i="43" l="1"/>
  <c r="F553" i="43"/>
  <c r="G281" i="43"/>
  <c r="F281" i="43"/>
  <c r="G530" i="43"/>
  <c r="F530" i="43"/>
  <c r="F230" i="43"/>
  <c r="I230" i="43" s="1"/>
  <c r="G230" i="43"/>
  <c r="G506" i="43"/>
  <c r="F506" i="43"/>
  <c r="G253" i="43"/>
  <c r="F253" i="43"/>
  <c r="F403" i="43"/>
  <c r="G403" i="43"/>
  <c r="F404" i="43"/>
  <c r="G404" i="43"/>
  <c r="F478" i="43"/>
  <c r="G478" i="43"/>
  <c r="F256" i="43"/>
  <c r="I256" i="43" s="1"/>
  <c r="G256" i="43"/>
  <c r="G655" i="43"/>
  <c r="G652" i="43" s="1"/>
  <c r="F655" i="43"/>
  <c r="I655" i="43" s="1"/>
  <c r="G279" i="43"/>
  <c r="F279" i="43"/>
  <c r="I279" i="43" s="1"/>
  <c r="F406" i="43"/>
  <c r="I406" i="43" s="1"/>
  <c r="G406" i="43"/>
  <c r="G630" i="43"/>
  <c r="F630" i="43"/>
  <c r="G529" i="43"/>
  <c r="F529" i="43"/>
  <c r="G378" i="43"/>
  <c r="F378" i="43"/>
  <c r="G454" i="43"/>
  <c r="F454" i="43"/>
  <c r="F481" i="43"/>
  <c r="I481" i="43" s="1"/>
  <c r="G481" i="43"/>
  <c r="G556" i="43"/>
  <c r="F556" i="43"/>
  <c r="I556" i="43" s="1"/>
  <c r="G228" i="43"/>
  <c r="F228" i="43"/>
  <c r="G456" i="43"/>
  <c r="F456" i="43"/>
  <c r="I456" i="43" s="1"/>
  <c r="G603" i="43"/>
  <c r="F603" i="43"/>
  <c r="F479" i="43"/>
  <c r="G479" i="43"/>
  <c r="G604" i="43"/>
  <c r="F604" i="43"/>
  <c r="G631" i="43"/>
  <c r="F631" i="43"/>
  <c r="I631" i="43" s="1"/>
  <c r="G656" i="43"/>
  <c r="F656" i="43"/>
  <c r="G578" i="43"/>
  <c r="F578" i="43"/>
  <c r="G528" i="43"/>
  <c r="F528" i="43"/>
  <c r="G453" i="43"/>
  <c r="F453" i="43"/>
  <c r="F581" i="43"/>
  <c r="G581" i="43"/>
  <c r="F405" i="43"/>
  <c r="I405" i="43" s="1"/>
  <c r="G405" i="43"/>
  <c r="F280" i="43"/>
  <c r="I280" i="43" s="1"/>
  <c r="G280" i="43"/>
  <c r="G428" i="43"/>
  <c r="F428" i="43"/>
  <c r="G653" i="43"/>
  <c r="F653" i="43"/>
  <c r="G554" i="43"/>
  <c r="F554" i="43"/>
  <c r="G654" i="43"/>
  <c r="F654" i="43"/>
  <c r="I654" i="43" s="1"/>
  <c r="G231" i="43"/>
  <c r="F231" i="43"/>
  <c r="G431" i="43"/>
  <c r="F431" i="43"/>
  <c r="I431" i="43" s="1"/>
  <c r="G579" i="43"/>
  <c r="F579" i="43"/>
  <c r="F255" i="43"/>
  <c r="I255" i="43" s="1"/>
  <c r="G255" i="43"/>
  <c r="G580" i="43"/>
  <c r="F580" i="43"/>
  <c r="I580" i="43" s="1"/>
  <c r="G629" i="43"/>
  <c r="F629" i="43"/>
  <c r="I629" i="43" s="1"/>
  <c r="G503" i="43"/>
  <c r="G502" i="43" s="1"/>
  <c r="F503" i="43"/>
  <c r="G430" i="43"/>
  <c r="F430" i="43"/>
  <c r="I430" i="43" s="1"/>
  <c r="G628" i="43"/>
  <c r="F628" i="43"/>
  <c r="G531" i="43"/>
  <c r="F531" i="43"/>
  <c r="I531" i="43" s="1"/>
  <c r="G504" i="43"/>
  <c r="F504" i="43"/>
  <c r="G429" i="43"/>
  <c r="F429" i="43"/>
  <c r="G229" i="43"/>
  <c r="F229" i="43"/>
  <c r="G254" i="43"/>
  <c r="F254" i="43"/>
  <c r="I254" i="43" s="1"/>
  <c r="G379" i="43"/>
  <c r="F379" i="43"/>
  <c r="I379" i="43" s="1"/>
  <c r="G455" i="43"/>
  <c r="F455" i="43"/>
  <c r="I455" i="43" s="1"/>
  <c r="F606" i="43"/>
  <c r="I606" i="43" s="1"/>
  <c r="G606" i="43"/>
  <c r="F480" i="43"/>
  <c r="I480" i="43" s="1"/>
  <c r="G480" i="43"/>
  <c r="F605" i="43"/>
  <c r="I605" i="43" s="1"/>
  <c r="G605" i="43"/>
  <c r="G381" i="43"/>
  <c r="F381" i="43"/>
  <c r="F555" i="43"/>
  <c r="G555" i="43"/>
  <c r="G505" i="43"/>
  <c r="F505" i="43"/>
  <c r="G380" i="43"/>
  <c r="F380" i="43"/>
  <c r="F278" i="43"/>
  <c r="G278" i="43"/>
  <c r="G374" i="43"/>
  <c r="F374" i="43"/>
  <c r="I374" i="43" s="1"/>
  <c r="G447" i="43"/>
  <c r="F447" i="43"/>
  <c r="I447" i="43" s="1"/>
  <c r="F237" i="43"/>
  <c r="I237" i="43" s="1"/>
  <c r="G237" i="43"/>
  <c r="F445" i="43"/>
  <c r="I445" i="43" s="1"/>
  <c r="G445" i="43"/>
  <c r="G241" i="43"/>
  <c r="F241" i="43"/>
  <c r="I241" i="43" s="1"/>
  <c r="G522" i="43"/>
  <c r="F522" i="43"/>
  <c r="I522" i="43" s="1"/>
  <c r="F195" i="43"/>
  <c r="I195" i="43" s="1"/>
  <c r="G195" i="43"/>
  <c r="F568" i="43"/>
  <c r="I568" i="43" s="1"/>
  <c r="G568" i="43"/>
  <c r="G547" i="43"/>
  <c r="F547" i="43"/>
  <c r="I547" i="43" s="1"/>
  <c r="F212" i="43"/>
  <c r="I212" i="43" s="1"/>
  <c r="G212" i="43"/>
  <c r="G164" i="43"/>
  <c r="F164" i="43"/>
  <c r="F590" i="43"/>
  <c r="I590" i="43" s="1"/>
  <c r="G590" i="43"/>
  <c r="F398" i="43"/>
  <c r="I398" i="43" s="1"/>
  <c r="G398" i="43"/>
  <c r="G588" i="43"/>
  <c r="F588" i="43"/>
  <c r="I588" i="43" s="1"/>
  <c r="F236" i="43"/>
  <c r="I236" i="43" s="1"/>
  <c r="G236" i="43"/>
  <c r="F161" i="43"/>
  <c r="G161" i="43"/>
  <c r="D252" i="43"/>
  <c r="D235" i="43" s="1"/>
  <c r="D258" i="43" s="1"/>
  <c r="F246" i="43"/>
  <c r="I246" i="43" s="1"/>
  <c r="G246" i="43"/>
  <c r="G268" i="43"/>
  <c r="F268" i="43"/>
  <c r="I268" i="43" s="1"/>
  <c r="F616" i="43"/>
  <c r="I616" i="43" s="1"/>
  <c r="G616" i="43"/>
  <c r="G592" i="43"/>
  <c r="F592" i="43"/>
  <c r="I592" i="43" s="1"/>
  <c r="F637" i="43"/>
  <c r="I637" i="43" s="1"/>
  <c r="G637" i="43"/>
  <c r="G192" i="43"/>
  <c r="F192" i="43"/>
  <c r="I192" i="43" s="1"/>
  <c r="D452" i="43"/>
  <c r="D435" i="43" s="1"/>
  <c r="D458" i="43" s="1"/>
  <c r="G242" i="43"/>
  <c r="F242" i="43"/>
  <c r="I242" i="43" s="1"/>
  <c r="G393" i="43"/>
  <c r="F393" i="43"/>
  <c r="I393" i="43" s="1"/>
  <c r="G217" i="43"/>
  <c r="F217" i="43"/>
  <c r="I217" i="43" s="1"/>
  <c r="F180" i="43"/>
  <c r="G180" i="43"/>
  <c r="G561" i="43"/>
  <c r="F561" i="43"/>
  <c r="I561" i="43" s="1"/>
  <c r="G240" i="43"/>
  <c r="F240" i="43"/>
  <c r="I240" i="43" s="1"/>
  <c r="G275" i="43"/>
  <c r="F275" i="43"/>
  <c r="I275" i="43" s="1"/>
  <c r="G549" i="43"/>
  <c r="F549" i="43"/>
  <c r="I549" i="43" s="1"/>
  <c r="G551" i="43"/>
  <c r="F551" i="43"/>
  <c r="I551" i="43" s="1"/>
  <c r="F573" i="43"/>
  <c r="I573" i="43" s="1"/>
  <c r="G573" i="43"/>
  <c r="D402" i="43"/>
  <c r="D385" i="43" s="1"/>
  <c r="D408" i="43" s="1"/>
  <c r="G639" i="43"/>
  <c r="F639" i="43"/>
  <c r="I639" i="43" s="1"/>
  <c r="G214" i="43"/>
  <c r="F214" i="43"/>
  <c r="I214" i="43" s="1"/>
  <c r="G436" i="43"/>
  <c r="F436" i="43"/>
  <c r="I436" i="43" s="1"/>
  <c r="G472" i="43"/>
  <c r="F472" i="43"/>
  <c r="I472" i="43" s="1"/>
  <c r="I581" i="43"/>
  <c r="I404" i="43"/>
  <c r="D377" i="43"/>
  <c r="D360" i="43" s="1"/>
  <c r="D383" i="43" s="1"/>
  <c r="G497" i="43"/>
  <c r="F497" i="43"/>
  <c r="I497" i="43" s="1"/>
  <c r="G598" i="43"/>
  <c r="F598" i="43"/>
  <c r="I598" i="43" s="1"/>
  <c r="F412" i="43"/>
  <c r="I412" i="43" s="1"/>
  <c r="G412" i="43"/>
  <c r="F216" i="43"/>
  <c r="I216" i="43" s="1"/>
  <c r="G216" i="43"/>
  <c r="G173" i="43"/>
  <c r="F173" i="43"/>
  <c r="F492" i="43"/>
  <c r="I492" i="43" s="1"/>
  <c r="G492" i="43"/>
  <c r="F512" i="43"/>
  <c r="I512" i="43" s="1"/>
  <c r="G512" i="43"/>
  <c r="G368" i="43"/>
  <c r="F368" i="43"/>
  <c r="I368" i="43" s="1"/>
  <c r="G642" i="43"/>
  <c r="F642" i="43"/>
  <c r="I642" i="43" s="1"/>
  <c r="I381" i="43"/>
  <c r="G571" i="43"/>
  <c r="F571" i="43"/>
  <c r="I571" i="43" s="1"/>
  <c r="G621" i="43"/>
  <c r="F621" i="43"/>
  <c r="I621" i="43" s="1"/>
  <c r="G649" i="43"/>
  <c r="F649" i="43"/>
  <c r="I649" i="43" s="1"/>
  <c r="G370" i="43"/>
  <c r="F370" i="43"/>
  <c r="I370" i="43" s="1"/>
  <c r="G572" i="43"/>
  <c r="F572" i="43"/>
  <c r="I572" i="43" s="1"/>
  <c r="F266" i="43"/>
  <c r="I266" i="43" s="1"/>
  <c r="G266" i="43"/>
  <c r="F179" i="43"/>
  <c r="G179" i="43"/>
  <c r="G386" i="43"/>
  <c r="F386" i="43"/>
  <c r="I386" i="43" s="1"/>
  <c r="G538" i="43"/>
  <c r="F538" i="43"/>
  <c r="I538" i="43" s="1"/>
  <c r="F613" i="43"/>
  <c r="I613" i="43" s="1"/>
  <c r="G613" i="43"/>
  <c r="G473" i="43"/>
  <c r="F473" i="43"/>
  <c r="I473" i="43" s="1"/>
  <c r="G194" i="43"/>
  <c r="F194" i="43"/>
  <c r="I194" i="43" s="1"/>
  <c r="G569" i="43"/>
  <c r="F569" i="43"/>
  <c r="I569" i="43" s="1"/>
  <c r="F614" i="43"/>
  <c r="I614" i="43" s="1"/>
  <c r="G614" i="43"/>
  <c r="G495" i="43"/>
  <c r="F495" i="43"/>
  <c r="I495" i="43" s="1"/>
  <c r="G391" i="43"/>
  <c r="F391" i="43"/>
  <c r="I391" i="43" s="1"/>
  <c r="F576" i="43"/>
  <c r="I576" i="43" s="1"/>
  <c r="G576" i="43"/>
  <c r="G401" i="43"/>
  <c r="F401" i="43"/>
  <c r="I401" i="43" s="1"/>
  <c r="F575" i="43"/>
  <c r="I575" i="43" s="1"/>
  <c r="G575" i="43"/>
  <c r="G170" i="43"/>
  <c r="F170" i="43"/>
  <c r="G363" i="43"/>
  <c r="F363" i="43"/>
  <c r="I363" i="43" s="1"/>
  <c r="G446" i="43"/>
  <c r="F446" i="43"/>
  <c r="I446" i="43" s="1"/>
  <c r="G205" i="43"/>
  <c r="F205" i="43"/>
  <c r="I205" i="43" s="1"/>
  <c r="G264" i="43"/>
  <c r="F264" i="43"/>
  <c r="I264" i="43" s="1"/>
  <c r="G274" i="43"/>
  <c r="F274" i="43"/>
  <c r="I274" i="43" s="1"/>
  <c r="D577" i="43"/>
  <c r="D560" i="43" s="1"/>
  <c r="D583" i="43" s="1"/>
  <c r="F641" i="43"/>
  <c r="I641" i="43" s="1"/>
  <c r="G641" i="43"/>
  <c r="F414" i="43"/>
  <c r="I414" i="43" s="1"/>
  <c r="G414" i="43"/>
  <c r="G224" i="43"/>
  <c r="F224" i="43"/>
  <c r="I224" i="43" s="1"/>
  <c r="F564" i="43"/>
  <c r="I564" i="43" s="1"/>
  <c r="G564" i="43"/>
  <c r="D527" i="43"/>
  <c r="D510" i="43" s="1"/>
  <c r="D533" i="43" s="1"/>
  <c r="I530" i="43"/>
  <c r="G443" i="43"/>
  <c r="F443" i="43"/>
  <c r="I443" i="43" s="1"/>
  <c r="F169" i="43"/>
  <c r="G169" i="43"/>
  <c r="F539" i="43"/>
  <c r="I539" i="43" s="1"/>
  <c r="G539" i="43"/>
  <c r="D277" i="43"/>
  <c r="D260" i="43" s="1"/>
  <c r="D283" i="43" s="1"/>
  <c r="G643" i="43"/>
  <c r="F643" i="43"/>
  <c r="I643" i="43" s="1"/>
  <c r="F168" i="43"/>
  <c r="G168" i="43"/>
  <c r="D552" i="43"/>
  <c r="D535" i="43" s="1"/>
  <c r="D558" i="43" s="1"/>
  <c r="G548" i="43"/>
  <c r="F548" i="43"/>
  <c r="I548" i="43" s="1"/>
  <c r="G166" i="43"/>
  <c r="F166" i="43"/>
  <c r="F476" i="43"/>
  <c r="I476" i="43" s="1"/>
  <c r="G476" i="43"/>
  <c r="F645" i="43"/>
  <c r="I645" i="43" s="1"/>
  <c r="G645" i="43"/>
  <c r="G517" i="43"/>
  <c r="F517" i="43"/>
  <c r="I517" i="43" s="1"/>
  <c r="F165" i="43"/>
  <c r="G165" i="43"/>
  <c r="G367" i="43"/>
  <c r="F367" i="43"/>
  <c r="I367" i="43" s="1"/>
  <c r="G250" i="43"/>
  <c r="F250" i="43"/>
  <c r="I250" i="43" s="1"/>
  <c r="G513" i="43"/>
  <c r="F513" i="43"/>
  <c r="I513" i="43" s="1"/>
  <c r="G439" i="43"/>
  <c r="F439" i="43"/>
  <c r="I439" i="43" s="1"/>
  <c r="G589" i="43"/>
  <c r="F589" i="43"/>
  <c r="I589" i="43" s="1"/>
  <c r="G176" i="43"/>
  <c r="F176" i="43"/>
  <c r="G562" i="43"/>
  <c r="F562" i="43"/>
  <c r="I562" i="43" s="1"/>
  <c r="F442" i="43"/>
  <c r="I442" i="43" s="1"/>
  <c r="G442" i="43"/>
  <c r="F265" i="43"/>
  <c r="I265" i="43" s="1"/>
  <c r="G265" i="43"/>
  <c r="G239" i="43"/>
  <c r="F239" i="43"/>
  <c r="I239" i="43" s="1"/>
  <c r="G389" i="43"/>
  <c r="F389" i="43"/>
  <c r="I389" i="43" s="1"/>
  <c r="G201" i="43"/>
  <c r="F201" i="43"/>
  <c r="I201" i="43" s="1"/>
  <c r="I454" i="43"/>
  <c r="G365" i="43"/>
  <c r="F365" i="43"/>
  <c r="I365" i="43" s="1"/>
  <c r="F362" i="43"/>
  <c r="I362" i="43" s="1"/>
  <c r="G362" i="43"/>
  <c r="F189" i="43"/>
  <c r="I189" i="43" s="1"/>
  <c r="G189" i="43"/>
  <c r="G261" i="43"/>
  <c r="F261" i="43"/>
  <c r="F617" i="43"/>
  <c r="I617" i="43" s="1"/>
  <c r="G617" i="43"/>
  <c r="F622" i="43"/>
  <c r="I622" i="43" s="1"/>
  <c r="G622" i="43"/>
  <c r="G372" i="43"/>
  <c r="F372" i="43"/>
  <c r="I372" i="43" s="1"/>
  <c r="F226" i="43"/>
  <c r="I226" i="43" s="1"/>
  <c r="G226" i="43"/>
  <c r="G390" i="43"/>
  <c r="F390" i="43"/>
  <c r="I390" i="43" s="1"/>
  <c r="I555" i="43"/>
  <c r="G394" i="43"/>
  <c r="F394" i="43"/>
  <c r="I394" i="43" s="1"/>
  <c r="F650" i="43"/>
  <c r="I650" i="43" s="1"/>
  <c r="G650" i="43"/>
  <c r="F199" i="43"/>
  <c r="I199" i="43" s="1"/>
  <c r="G199" i="43"/>
  <c r="G376" i="43"/>
  <c r="F376" i="43"/>
  <c r="I376" i="43" s="1"/>
  <c r="F620" i="43"/>
  <c r="I620" i="43" s="1"/>
  <c r="G620" i="43"/>
  <c r="G651" i="43"/>
  <c r="F651" i="43"/>
  <c r="I651" i="43" s="1"/>
  <c r="G172" i="43"/>
  <c r="F172" i="43"/>
  <c r="G375" i="43"/>
  <c r="F375" i="43"/>
  <c r="I375" i="43" s="1"/>
  <c r="G418" i="43"/>
  <c r="F418" i="43"/>
  <c r="I418" i="43" s="1"/>
  <c r="D652" i="43"/>
  <c r="D635" i="43" s="1"/>
  <c r="D658" i="43" s="1"/>
  <c r="G225" i="43"/>
  <c r="F225" i="43"/>
  <c r="I225" i="43" s="1"/>
  <c r="G273" i="43"/>
  <c r="F273" i="43"/>
  <c r="I273" i="43" s="1"/>
  <c r="F369" i="43"/>
  <c r="I369" i="43" s="1"/>
  <c r="G369" i="43"/>
  <c r="G487" i="43"/>
  <c r="F487" i="43"/>
  <c r="I487" i="43" s="1"/>
  <c r="G594" i="43"/>
  <c r="F594" i="43"/>
  <c r="I594" i="43" s="1"/>
  <c r="G187" i="43"/>
  <c r="F187" i="43"/>
  <c r="I187" i="43" s="1"/>
  <c r="G469" i="43"/>
  <c r="F469" i="43"/>
  <c r="I469" i="43" s="1"/>
  <c r="G574" i="43"/>
  <c r="F574" i="43"/>
  <c r="I574" i="43" s="1"/>
  <c r="F563" i="43"/>
  <c r="I563" i="43" s="1"/>
  <c r="G563" i="43"/>
  <c r="G392" i="43"/>
  <c r="F392" i="43"/>
  <c r="I392" i="43" s="1"/>
  <c r="F441" i="43"/>
  <c r="I441" i="43" s="1"/>
  <c r="G441" i="43"/>
  <c r="G498" i="43"/>
  <c r="F498" i="43"/>
  <c r="I498" i="43" s="1"/>
  <c r="F545" i="43"/>
  <c r="I545" i="43" s="1"/>
  <c r="G545" i="43"/>
  <c r="D227" i="43"/>
  <c r="D210" i="43" s="1"/>
  <c r="D233" i="43" s="1"/>
  <c r="F186" i="43"/>
  <c r="I186" i="43" s="1"/>
  <c r="G186" i="43"/>
  <c r="G175" i="43"/>
  <c r="F175" i="43"/>
  <c r="G550" i="43"/>
  <c r="F550" i="43"/>
  <c r="I550" i="43" s="1"/>
  <c r="F490" i="43"/>
  <c r="I490" i="43" s="1"/>
  <c r="G490" i="43"/>
  <c r="F415" i="43"/>
  <c r="I415" i="43" s="1"/>
  <c r="G415" i="43"/>
  <c r="D627" i="43"/>
  <c r="D610" i="43" s="1"/>
  <c r="D633" i="43" s="1"/>
  <c r="I630" i="43"/>
  <c r="G438" i="43"/>
  <c r="F438" i="43"/>
  <c r="I438" i="43" s="1"/>
  <c r="I529" i="43"/>
  <c r="G364" i="43"/>
  <c r="F364" i="43"/>
  <c r="I364" i="43" s="1"/>
  <c r="G541" i="43"/>
  <c r="F541" i="43"/>
  <c r="I541" i="43" s="1"/>
  <c r="G518" i="43"/>
  <c r="F518" i="43"/>
  <c r="I518" i="43" s="1"/>
  <c r="G520" i="43"/>
  <c r="F520" i="43"/>
  <c r="I520" i="43" s="1"/>
  <c r="G648" i="43"/>
  <c r="F648" i="43"/>
  <c r="I648" i="43" s="1"/>
  <c r="G221" i="43"/>
  <c r="F221" i="43"/>
  <c r="I221" i="43" s="1"/>
  <c r="F198" i="43"/>
  <c r="I198" i="43" s="1"/>
  <c r="G198" i="43"/>
  <c r="G464" i="43"/>
  <c r="F464" i="43"/>
  <c r="I464" i="43" s="1"/>
  <c r="G422" i="43"/>
  <c r="F422" i="43"/>
  <c r="I422" i="43" s="1"/>
  <c r="G500" i="43"/>
  <c r="F500" i="43"/>
  <c r="I500" i="43" s="1"/>
  <c r="F499" i="43"/>
  <c r="I499" i="43" s="1"/>
  <c r="G499" i="43"/>
  <c r="G596" i="43"/>
  <c r="F596" i="43"/>
  <c r="I596" i="43" s="1"/>
  <c r="F546" i="43"/>
  <c r="I546" i="43" s="1"/>
  <c r="G546" i="43"/>
  <c r="G597" i="43"/>
  <c r="F597" i="43"/>
  <c r="I597" i="43" s="1"/>
  <c r="G601" i="43"/>
  <c r="F601" i="43"/>
  <c r="I601" i="43" s="1"/>
  <c r="G178" i="43"/>
  <c r="F178" i="43"/>
  <c r="F190" i="43"/>
  <c r="I190" i="43" s="1"/>
  <c r="G190" i="43"/>
  <c r="G276" i="43"/>
  <c r="F276" i="43"/>
  <c r="I276" i="43" s="1"/>
  <c r="G387" i="43"/>
  <c r="F387" i="43"/>
  <c r="I387" i="43" s="1"/>
  <c r="G247" i="43"/>
  <c r="F247" i="43"/>
  <c r="I247" i="43" s="1"/>
  <c r="G197" i="43"/>
  <c r="F197" i="43"/>
  <c r="I197" i="43" s="1"/>
  <c r="G223" i="43"/>
  <c r="F223" i="43"/>
  <c r="I223" i="43" s="1"/>
  <c r="F181" i="43"/>
  <c r="G181" i="43"/>
  <c r="D602" i="43"/>
  <c r="D585" i="43" s="1"/>
  <c r="D608" i="43" s="1"/>
  <c r="G396" i="43"/>
  <c r="F396" i="43"/>
  <c r="I396" i="43" s="1"/>
  <c r="F466" i="43"/>
  <c r="I466" i="43" s="1"/>
  <c r="G466" i="43"/>
  <c r="I656" i="43"/>
  <c r="F218" i="43"/>
  <c r="I218" i="43" s="1"/>
  <c r="G218" i="43"/>
  <c r="F420" i="43"/>
  <c r="I420" i="43" s="1"/>
  <c r="G420" i="43"/>
  <c r="G262" i="43"/>
  <c r="F262" i="43"/>
  <c r="I262" i="43" s="1"/>
  <c r="G203" i="43"/>
  <c r="F203" i="43"/>
  <c r="D202" i="43"/>
  <c r="D185" i="43" s="1"/>
  <c r="D208" i="43" s="1"/>
  <c r="I380" i="43"/>
  <c r="G519" i="43"/>
  <c r="F519" i="43"/>
  <c r="I519" i="43" s="1"/>
  <c r="F486" i="43"/>
  <c r="I486" i="43" s="1"/>
  <c r="G486" i="43"/>
  <c r="F249" i="43"/>
  <c r="I249" i="43" s="1"/>
  <c r="G249" i="43"/>
  <c r="F644" i="43"/>
  <c r="I644" i="43" s="1"/>
  <c r="G644" i="43"/>
  <c r="G536" i="43"/>
  <c r="F536" i="43"/>
  <c r="F215" i="43"/>
  <c r="I215" i="43" s="1"/>
  <c r="G215" i="43"/>
  <c r="G244" i="43"/>
  <c r="F244" i="43"/>
  <c r="I244" i="43" s="1"/>
  <c r="F219" i="43"/>
  <c r="I219" i="43" s="1"/>
  <c r="G219" i="43"/>
  <c r="G437" i="43"/>
  <c r="F437" i="43"/>
  <c r="I437" i="43" s="1"/>
  <c r="G395" i="43"/>
  <c r="F395" i="43"/>
  <c r="I395" i="43" s="1"/>
  <c r="G213" i="43"/>
  <c r="F213" i="43"/>
  <c r="I213" i="43" s="1"/>
  <c r="G493" i="43"/>
  <c r="F493" i="43"/>
  <c r="I493" i="43" s="1"/>
  <c r="F399" i="43"/>
  <c r="I399" i="43" s="1"/>
  <c r="G399" i="43"/>
  <c r="G448" i="43"/>
  <c r="F448" i="43"/>
  <c r="I448" i="43" s="1"/>
  <c r="F638" i="43"/>
  <c r="I638" i="43" s="1"/>
  <c r="G638" i="43"/>
  <c r="F196" i="43"/>
  <c r="I196" i="43" s="1"/>
  <c r="G196" i="43"/>
  <c r="F489" i="43"/>
  <c r="I489" i="43" s="1"/>
  <c r="G489" i="43"/>
  <c r="D502" i="43"/>
  <c r="D485" i="43" s="1"/>
  <c r="D508" i="43" s="1"/>
  <c r="F423" i="43"/>
  <c r="I423" i="43" s="1"/>
  <c r="G423" i="43"/>
  <c r="I281" i="43"/>
  <c r="G204" i="43"/>
  <c r="F204" i="43"/>
  <c r="I204" i="43" s="1"/>
  <c r="F462" i="43"/>
  <c r="I462" i="43" s="1"/>
  <c r="G462" i="43"/>
  <c r="G426" i="43"/>
  <c r="F426" i="43"/>
  <c r="I426" i="43" s="1"/>
  <c r="F565" i="43"/>
  <c r="I565" i="43" s="1"/>
  <c r="G565" i="43"/>
  <c r="G222" i="43"/>
  <c r="F222" i="43"/>
  <c r="I222" i="43" s="1"/>
  <c r="F501" i="43"/>
  <c r="I501" i="43" s="1"/>
  <c r="G501" i="43"/>
  <c r="F271" i="43"/>
  <c r="I271" i="43" s="1"/>
  <c r="G271" i="43"/>
  <c r="F465" i="43"/>
  <c r="I465" i="43" s="1"/>
  <c r="G465" i="43"/>
  <c r="F540" i="43"/>
  <c r="I540" i="43" s="1"/>
  <c r="G540" i="43"/>
  <c r="G496" i="43"/>
  <c r="F496" i="43"/>
  <c r="I496" i="43" s="1"/>
  <c r="F524" i="43"/>
  <c r="I524" i="43" s="1"/>
  <c r="G524" i="43"/>
  <c r="G171" i="43"/>
  <c r="F171" i="43"/>
  <c r="G419" i="43"/>
  <c r="F419" i="43"/>
  <c r="I419" i="43" s="1"/>
  <c r="G463" i="43"/>
  <c r="F463" i="43"/>
  <c r="I463" i="43" s="1"/>
  <c r="F417" i="43"/>
  <c r="I417" i="43" s="1"/>
  <c r="G417" i="43"/>
  <c r="F163" i="43"/>
  <c r="G163" i="43"/>
  <c r="F567" i="43"/>
  <c r="I567" i="43" s="1"/>
  <c r="G567" i="43"/>
  <c r="D477" i="43"/>
  <c r="D460" i="43" s="1"/>
  <c r="D483" i="43" s="1"/>
  <c r="D427" i="43"/>
  <c r="D410" i="43" s="1"/>
  <c r="D433" i="43" s="1"/>
  <c r="G373" i="43"/>
  <c r="F373" i="43"/>
  <c r="I373" i="43" s="1"/>
  <c r="G397" i="43"/>
  <c r="F397" i="43"/>
  <c r="I397" i="43" s="1"/>
  <c r="F248" i="43"/>
  <c r="I248" i="43" s="1"/>
  <c r="G248" i="43"/>
  <c r="G211" i="43"/>
  <c r="F211" i="43"/>
  <c r="I211" i="43" s="1"/>
  <c r="F511" i="43"/>
  <c r="G511" i="43"/>
  <c r="I505" i="43"/>
  <c r="G570" i="43"/>
  <c r="F570" i="43"/>
  <c r="I570" i="43" s="1"/>
  <c r="G174" i="43"/>
  <c r="F174" i="43"/>
  <c r="G599" i="43"/>
  <c r="F599" i="43"/>
  <c r="I599" i="43" s="1"/>
  <c r="G243" i="43"/>
  <c r="F243" i="43"/>
  <c r="I243" i="43" s="1"/>
  <c r="I506" i="43"/>
  <c r="G612" i="43"/>
  <c r="F612" i="43"/>
  <c r="I612" i="43" s="1"/>
  <c r="F515" i="43"/>
  <c r="I515" i="43" s="1"/>
  <c r="G515" i="43"/>
  <c r="F470" i="43"/>
  <c r="I470" i="43" s="1"/>
  <c r="G470" i="43"/>
  <c r="G371" i="43"/>
  <c r="F371" i="43"/>
  <c r="I371" i="43" s="1"/>
  <c r="F416" i="43"/>
  <c r="I416" i="43" s="1"/>
  <c r="G416" i="43"/>
  <c r="I604" i="43"/>
  <c r="G263" i="43"/>
  <c r="F263" i="43"/>
  <c r="I263" i="43" s="1"/>
  <c r="F411" i="43"/>
  <c r="I411" i="43" s="1"/>
  <c r="G411" i="43"/>
  <c r="G444" i="43"/>
  <c r="F444" i="43"/>
  <c r="I444" i="43" s="1"/>
  <c r="F468" i="43"/>
  <c r="I468" i="43" s="1"/>
  <c r="G468" i="43"/>
  <c r="G413" i="43"/>
  <c r="F413" i="43"/>
  <c r="I413" i="43" s="1"/>
  <c r="G618" i="43"/>
  <c r="F618" i="43"/>
  <c r="I618" i="43" s="1"/>
  <c r="G238" i="43"/>
  <c r="F238" i="43"/>
  <c r="I238" i="43" s="1"/>
  <c r="G544" i="43"/>
  <c r="F544" i="43"/>
  <c r="I544" i="43" s="1"/>
  <c r="G421" i="43"/>
  <c r="F421" i="43"/>
  <c r="I421" i="43" s="1"/>
  <c r="F471" i="43"/>
  <c r="I471" i="43" s="1"/>
  <c r="G471" i="43"/>
  <c r="F488" i="43"/>
  <c r="I488" i="43" s="1"/>
  <c r="G488" i="43"/>
  <c r="F270" i="43"/>
  <c r="I270" i="43" s="1"/>
  <c r="G270" i="43"/>
  <c r="F425" i="43"/>
  <c r="I425" i="43" s="1"/>
  <c r="G425" i="43"/>
  <c r="I579" i="43"/>
  <c r="G474" i="43"/>
  <c r="F474" i="43"/>
  <c r="I474" i="43" s="1"/>
  <c r="F440" i="43"/>
  <c r="I440" i="43" s="1"/>
  <c r="G440" i="43"/>
  <c r="G461" i="43"/>
  <c r="F461" i="43"/>
  <c r="I461" i="43" s="1"/>
  <c r="F600" i="43"/>
  <c r="I600" i="43" s="1"/>
  <c r="G600" i="43"/>
  <c r="G611" i="43"/>
  <c r="F611" i="43"/>
  <c r="I611" i="43" s="1"/>
  <c r="F220" i="43"/>
  <c r="I220" i="43" s="1"/>
  <c r="G220" i="43"/>
  <c r="G206" i="43"/>
  <c r="F206" i="43"/>
  <c r="I206" i="43" s="1"/>
  <c r="G361" i="43"/>
  <c r="F361" i="43"/>
  <c r="I361" i="43" s="1"/>
  <c r="F245" i="43"/>
  <c r="I245" i="43" s="1"/>
  <c r="G245" i="43"/>
  <c r="G595" i="43"/>
  <c r="F595" i="43"/>
  <c r="I595" i="43" s="1"/>
  <c r="G615" i="43"/>
  <c r="F615" i="43"/>
  <c r="I615" i="43" s="1"/>
  <c r="G526" i="43"/>
  <c r="F526" i="43"/>
  <c r="I526" i="43" s="1"/>
  <c r="F566" i="43"/>
  <c r="I566" i="43" s="1"/>
  <c r="G566" i="43"/>
  <c r="G625" i="43"/>
  <c r="F625" i="43"/>
  <c r="I625" i="43" s="1"/>
  <c r="G537" i="43"/>
  <c r="F537" i="43"/>
  <c r="I537" i="43" s="1"/>
  <c r="G514" i="43"/>
  <c r="F514" i="43"/>
  <c r="I514" i="43" s="1"/>
  <c r="G646" i="43"/>
  <c r="F646" i="43"/>
  <c r="I646" i="43" s="1"/>
  <c r="G623" i="43"/>
  <c r="F623" i="43"/>
  <c r="I623" i="43" s="1"/>
  <c r="F591" i="43"/>
  <c r="I591" i="43" s="1"/>
  <c r="G591" i="43"/>
  <c r="G636" i="43"/>
  <c r="F636" i="43"/>
  <c r="I636" i="43" s="1"/>
  <c r="G191" i="43"/>
  <c r="F191" i="43"/>
  <c r="I191" i="43" s="1"/>
  <c r="F494" i="43"/>
  <c r="I494" i="43" s="1"/>
  <c r="G494" i="43"/>
  <c r="G542" i="43"/>
  <c r="F542" i="43"/>
  <c r="I542" i="43" s="1"/>
  <c r="G475" i="43"/>
  <c r="F475" i="43"/>
  <c r="I475" i="43" s="1"/>
  <c r="G640" i="43"/>
  <c r="F640" i="43"/>
  <c r="I640" i="43" s="1"/>
  <c r="F619" i="43"/>
  <c r="I619" i="43" s="1"/>
  <c r="G619" i="43"/>
  <c r="G424" i="43"/>
  <c r="F424" i="43"/>
  <c r="I424" i="43" s="1"/>
  <c r="F587" i="43"/>
  <c r="I587" i="43" s="1"/>
  <c r="G587" i="43"/>
  <c r="F593" i="43"/>
  <c r="I593" i="43" s="1"/>
  <c r="G593" i="43"/>
  <c r="G467" i="43"/>
  <c r="F467" i="43"/>
  <c r="I467" i="43" s="1"/>
  <c r="G188" i="43"/>
  <c r="F188" i="43"/>
  <c r="I188" i="43" s="1"/>
  <c r="I554" i="43"/>
  <c r="G449" i="43"/>
  <c r="F449" i="43"/>
  <c r="I449" i="43" s="1"/>
  <c r="F167" i="43"/>
  <c r="G167" i="43"/>
  <c r="F450" i="43"/>
  <c r="I450" i="43" s="1"/>
  <c r="G450" i="43"/>
  <c r="G272" i="43"/>
  <c r="F272" i="43"/>
  <c r="I272" i="43" s="1"/>
  <c r="I479" i="43"/>
  <c r="F523" i="43"/>
  <c r="I523" i="43" s="1"/>
  <c r="G523" i="43"/>
  <c r="F193" i="43"/>
  <c r="I193" i="43" s="1"/>
  <c r="G193" i="43"/>
  <c r="F366" i="43"/>
  <c r="I366" i="43" s="1"/>
  <c r="G366" i="43"/>
  <c r="F543" i="43"/>
  <c r="I543" i="43" s="1"/>
  <c r="G543" i="43"/>
  <c r="G251" i="43"/>
  <c r="F251" i="43"/>
  <c r="I251" i="43" s="1"/>
  <c r="G451" i="43"/>
  <c r="F451" i="43"/>
  <c r="I451" i="43" s="1"/>
  <c r="G626" i="43"/>
  <c r="F626" i="43"/>
  <c r="I626" i="43" s="1"/>
  <c r="G647" i="43"/>
  <c r="F647" i="43"/>
  <c r="I647" i="43" s="1"/>
  <c r="I231" i="43"/>
  <c r="G162" i="43"/>
  <c r="F162" i="43"/>
  <c r="F624" i="43"/>
  <c r="I624" i="43" s="1"/>
  <c r="G624" i="43"/>
  <c r="F388" i="43"/>
  <c r="I388" i="43" s="1"/>
  <c r="G388" i="43"/>
  <c r="G516" i="43"/>
  <c r="F516" i="43"/>
  <c r="I516" i="43" s="1"/>
  <c r="G491" i="43"/>
  <c r="F491" i="43"/>
  <c r="I491" i="43" s="1"/>
  <c r="G521" i="43"/>
  <c r="F521" i="43"/>
  <c r="I521" i="43" s="1"/>
  <c r="G400" i="43"/>
  <c r="F400" i="43"/>
  <c r="I400" i="43" s="1"/>
  <c r="G267" i="43"/>
  <c r="F267" i="43"/>
  <c r="I267" i="43" s="1"/>
  <c r="F269" i="43"/>
  <c r="I269" i="43" s="1"/>
  <c r="G269" i="43"/>
  <c r="I504" i="43"/>
  <c r="I429" i="43"/>
  <c r="G525" i="43"/>
  <c r="F525" i="43"/>
  <c r="I525" i="43" s="1"/>
  <c r="G586" i="43"/>
  <c r="F586" i="43"/>
  <c r="I586" i="43" s="1"/>
  <c r="I229" i="43"/>
  <c r="G200" i="43"/>
  <c r="F200" i="43"/>
  <c r="I200" i="43" s="1"/>
  <c r="G20" i="51"/>
  <c r="H20" i="51"/>
  <c r="I20" i="51"/>
  <c r="H22" i="51"/>
  <c r="G22" i="51"/>
  <c r="I22" i="51"/>
  <c r="G21" i="51"/>
  <c r="I21" i="51"/>
  <c r="H21" i="51"/>
  <c r="F17" i="51"/>
  <c r="C24" i="51"/>
  <c r="F18" i="51"/>
  <c r="F19" i="51"/>
  <c r="G477" i="43" l="1"/>
  <c r="G460" i="43" s="1"/>
  <c r="G552" i="43"/>
  <c r="G535" i="43" s="1"/>
  <c r="G485" i="43"/>
  <c r="F202" i="43"/>
  <c r="F185" i="43" s="1"/>
  <c r="I203" i="43"/>
  <c r="I202" i="43" s="1"/>
  <c r="I185" i="43" s="1"/>
  <c r="I208" i="43" s="1"/>
  <c r="G277" i="43"/>
  <c r="G260" i="43" s="1"/>
  <c r="G202" i="43"/>
  <c r="G185" i="43" s="1"/>
  <c r="F277" i="43"/>
  <c r="F260" i="43" s="1"/>
  <c r="I278" i="43"/>
  <c r="I277" i="43" s="1"/>
  <c r="I578" i="43"/>
  <c r="I577" i="43" s="1"/>
  <c r="I560" i="43" s="1"/>
  <c r="F577" i="43"/>
  <c r="F560" i="43" s="1"/>
  <c r="G252" i="43"/>
  <c r="G235" i="43" s="1"/>
  <c r="I253" i="43"/>
  <c r="I252" i="43" s="1"/>
  <c r="I235" i="43" s="1"/>
  <c r="F252" i="43"/>
  <c r="F235" i="43" s="1"/>
  <c r="G602" i="43"/>
  <c r="G585" i="43" s="1"/>
  <c r="G402" i="43"/>
  <c r="G385" i="43" s="1"/>
  <c r="I536" i="43"/>
  <c r="I261" i="43"/>
  <c r="G452" i="43"/>
  <c r="G435" i="43" s="1"/>
  <c r="F652" i="43"/>
  <c r="F635" i="43" s="1"/>
  <c r="I653" i="43"/>
  <c r="I652" i="43" s="1"/>
  <c r="I635" i="43" s="1"/>
  <c r="I658" i="43" s="1"/>
  <c r="G577" i="43"/>
  <c r="G560" i="43" s="1"/>
  <c r="G227" i="43"/>
  <c r="G210" i="43" s="1"/>
  <c r="I503" i="43"/>
  <c r="I502" i="43" s="1"/>
  <c r="I485" i="43" s="1"/>
  <c r="F502" i="43"/>
  <c r="F485" i="43" s="1"/>
  <c r="F602" i="43"/>
  <c r="F585" i="43" s="1"/>
  <c r="I603" i="43"/>
  <c r="I602" i="43" s="1"/>
  <c r="I585" i="43" s="1"/>
  <c r="I553" i="43"/>
  <c r="I552" i="43" s="1"/>
  <c r="F552" i="43"/>
  <c r="F535" i="43" s="1"/>
  <c r="G635" i="43"/>
  <c r="F477" i="43"/>
  <c r="F460" i="43" s="1"/>
  <c r="I478" i="43"/>
  <c r="I477" i="43" s="1"/>
  <c r="I460" i="43" s="1"/>
  <c r="I511" i="43"/>
  <c r="I528" i="43"/>
  <c r="I527" i="43" s="1"/>
  <c r="I510" i="43" s="1"/>
  <c r="F527" i="43"/>
  <c r="F510" i="43" s="1"/>
  <c r="G527" i="43"/>
  <c r="G510" i="43" s="1"/>
  <c r="G627" i="43"/>
  <c r="G610" i="43" s="1"/>
  <c r="I428" i="43"/>
  <c r="I427" i="43" s="1"/>
  <c r="I410" i="43" s="1"/>
  <c r="F427" i="43"/>
  <c r="F410" i="43" s="1"/>
  <c r="I403" i="43"/>
  <c r="I402" i="43" s="1"/>
  <c r="I385" i="43" s="1"/>
  <c r="F402" i="43"/>
  <c r="F385" i="43" s="1"/>
  <c r="I228" i="43"/>
  <c r="I227" i="43" s="1"/>
  <c r="I210" i="43" s="1"/>
  <c r="F227" i="43"/>
  <c r="F210" i="43" s="1"/>
  <c r="I453" i="43"/>
  <c r="I452" i="43" s="1"/>
  <c r="I435" i="43" s="1"/>
  <c r="F452" i="43"/>
  <c r="F435" i="43" s="1"/>
  <c r="I378" i="43"/>
  <c r="I377" i="43" s="1"/>
  <c r="I360" i="43" s="1"/>
  <c r="F377" i="43"/>
  <c r="F360" i="43" s="1"/>
  <c r="F627" i="43"/>
  <c r="F610" i="43" s="1"/>
  <c r="I628" i="43"/>
  <c r="I627" i="43" s="1"/>
  <c r="I610" i="43" s="1"/>
  <c r="I633" i="43" s="1"/>
  <c r="G427" i="43"/>
  <c r="G410" i="43" s="1"/>
  <c r="G377" i="43"/>
  <c r="G360" i="43" s="1"/>
  <c r="G19" i="51"/>
  <c r="G18" i="51"/>
  <c r="N68" i="61"/>
  <c r="O68" i="61"/>
  <c r="P68" i="61"/>
  <c r="Q68" i="61"/>
  <c r="R68" i="61"/>
  <c r="S68" i="61"/>
  <c r="N69" i="61"/>
  <c r="O69" i="61"/>
  <c r="P69" i="61"/>
  <c r="Q69" i="61"/>
  <c r="R69" i="61"/>
  <c r="S69" i="61"/>
  <c r="O67" i="61"/>
  <c r="P67" i="61"/>
  <c r="Q67" i="61"/>
  <c r="R67" i="61"/>
  <c r="S67" i="61"/>
  <c r="N67" i="61"/>
  <c r="N98" i="61"/>
  <c r="O98" i="61"/>
  <c r="P98" i="61"/>
  <c r="Q98" i="61"/>
  <c r="R98" i="61"/>
  <c r="S98" i="61"/>
  <c r="N99" i="61"/>
  <c r="O99" i="61"/>
  <c r="P99" i="61"/>
  <c r="Q99" i="61"/>
  <c r="R99" i="61"/>
  <c r="S99" i="61"/>
  <c r="O97" i="61"/>
  <c r="P97" i="61"/>
  <c r="Q97" i="61"/>
  <c r="R97" i="61"/>
  <c r="S97" i="61"/>
  <c r="N97" i="61"/>
  <c r="O11" i="61"/>
  <c r="P11" i="61"/>
  <c r="Q11" i="61"/>
  <c r="R11" i="61"/>
  <c r="S11" i="61"/>
  <c r="O12" i="61"/>
  <c r="P12" i="61"/>
  <c r="Q12" i="61"/>
  <c r="R12" i="61"/>
  <c r="S12" i="61"/>
  <c r="O13" i="61"/>
  <c r="P13" i="61"/>
  <c r="Q13" i="61"/>
  <c r="R13" i="61"/>
  <c r="S13" i="61"/>
  <c r="N12" i="61"/>
  <c r="N13" i="61"/>
  <c r="N11" i="61"/>
  <c r="S28" i="61"/>
  <c r="S27" i="61"/>
  <c r="R28" i="61"/>
  <c r="R27" i="61"/>
  <c r="Q28" i="61"/>
  <c r="Q27" i="61"/>
  <c r="P28" i="61"/>
  <c r="P27" i="61"/>
  <c r="O28" i="61"/>
  <c r="O27" i="61"/>
  <c r="N28" i="61"/>
  <c r="N27" i="61"/>
  <c r="J21" i="53"/>
  <c r="I21" i="53"/>
  <c r="H21" i="53"/>
  <c r="G21" i="53"/>
  <c r="F21" i="53"/>
  <c r="E21" i="53"/>
  <c r="I23" i="53"/>
  <c r="H23" i="53"/>
  <c r="G23" i="53"/>
  <c r="F23" i="53"/>
  <c r="E23" i="53"/>
  <c r="J22" i="53"/>
  <c r="AV19" i="55" s="1"/>
  <c r="I22" i="53"/>
  <c r="H22" i="53"/>
  <c r="G22" i="53"/>
  <c r="F22" i="53"/>
  <c r="E22" i="53"/>
  <c r="I608" i="43" l="1"/>
  <c r="I583" i="43"/>
  <c r="I483" i="43"/>
  <c r="I408" i="43"/>
  <c r="I533" i="43"/>
  <c r="I535" i="43"/>
  <c r="I558" i="43" s="1"/>
  <c r="I433" i="43"/>
  <c r="I258" i="43"/>
  <c r="I383" i="43"/>
  <c r="I458" i="43"/>
  <c r="I260" i="43"/>
  <c r="I283" i="43" s="1"/>
  <c r="I508" i="43"/>
  <c r="I233" i="43"/>
  <c r="AX20" i="55"/>
  <c r="O80" i="61"/>
  <c r="O77" i="61" s="1"/>
  <c r="N80" i="61"/>
  <c r="N79" i="61" s="1"/>
  <c r="P80" i="61"/>
  <c r="P78" i="61" s="1"/>
  <c r="S80" i="61"/>
  <c r="S78" i="61" s="1"/>
  <c r="R80" i="61"/>
  <c r="R78" i="61" s="1"/>
  <c r="Q80" i="61"/>
  <c r="Q79" i="61" s="1"/>
  <c r="O78" i="61" l="1"/>
  <c r="O79" i="61"/>
  <c r="N77" i="61"/>
  <c r="N78" i="61"/>
  <c r="P77" i="61"/>
  <c r="P79" i="61"/>
  <c r="R79" i="61"/>
  <c r="R77" i="61"/>
  <c r="Q77" i="61"/>
  <c r="Q78" i="61"/>
  <c r="S79" i="61"/>
  <c r="S77" i="61"/>
  <c r="E16" i="51"/>
  <c r="F16" i="51" s="1"/>
  <c r="D55" i="51"/>
  <c r="E55" i="51"/>
  <c r="E100" i="51" s="1"/>
  <c r="G83" i="53"/>
  <c r="G84" i="53"/>
  <c r="C83" i="53"/>
  <c r="C84" i="53"/>
  <c r="H19" i="51" l="1"/>
  <c r="I19" i="51"/>
  <c r="I18" i="51"/>
  <c r="H18" i="51"/>
  <c r="D100" i="51"/>
  <c r="F55" i="51"/>
  <c r="G16" i="51"/>
  <c r="I17" i="51"/>
  <c r="F83" i="53"/>
  <c r="H17" i="51"/>
  <c r="F84" i="53"/>
  <c r="C148" i="57"/>
  <c r="C149" i="57"/>
  <c r="C122" i="57"/>
  <c r="C123" i="57"/>
  <c r="C96" i="57"/>
  <c r="C97" i="57"/>
  <c r="C70" i="57"/>
  <c r="C71" i="57"/>
  <c r="C44" i="57"/>
  <c r="C45" i="57"/>
  <c r="C18" i="57"/>
  <c r="C19" i="57"/>
  <c r="C47" i="55"/>
  <c r="C48" i="55"/>
  <c r="H56" i="51" l="1"/>
  <c r="H98" i="51"/>
  <c r="I98" i="51"/>
  <c r="H24" i="51"/>
  <c r="I97" i="51"/>
  <c r="H57" i="51"/>
  <c r="I56" i="51"/>
  <c r="H80" i="51"/>
  <c r="F100" i="51"/>
  <c r="H59" i="51"/>
  <c r="H58" i="51"/>
  <c r="H75" i="51"/>
  <c r="H76" i="51"/>
  <c r="H77" i="51"/>
  <c r="H78" i="51"/>
  <c r="H79" i="51"/>
  <c r="H97" i="51"/>
  <c r="H72" i="51"/>
  <c r="H61" i="51"/>
  <c r="H93" i="51"/>
  <c r="H82" i="51"/>
  <c r="H71" i="51"/>
  <c r="H60" i="51"/>
  <c r="H92" i="51"/>
  <c r="H81" i="51"/>
  <c r="H70" i="51"/>
  <c r="H91" i="51"/>
  <c r="H69" i="51"/>
  <c r="H90" i="51"/>
  <c r="H68" i="51"/>
  <c r="H89" i="51"/>
  <c r="H67" i="51"/>
  <c r="H88" i="51"/>
  <c r="H66" i="51"/>
  <c r="H87" i="51"/>
  <c r="H65" i="51"/>
  <c r="H86" i="51"/>
  <c r="H64" i="51"/>
  <c r="H96" i="51"/>
  <c r="H85" i="51"/>
  <c r="H74" i="51"/>
  <c r="H63" i="51"/>
  <c r="H95" i="51"/>
  <c r="H84" i="51"/>
  <c r="H73" i="51"/>
  <c r="H62" i="51"/>
  <c r="H94" i="51"/>
  <c r="H83" i="51"/>
  <c r="C176" i="47"/>
  <c r="C177" i="47"/>
  <c r="C98" i="47"/>
  <c r="C97" i="47"/>
  <c r="H100" i="51" l="1"/>
  <c r="T10" i="57"/>
  <c r="V10" i="57"/>
  <c r="W10" i="57"/>
  <c r="C31" i="47"/>
  <c r="N26" i="61" l="1"/>
  <c r="AJ18" i="55"/>
  <c r="E18" i="55"/>
  <c r="AV15" i="55"/>
  <c r="AM15" i="55"/>
  <c r="AD15" i="55"/>
  <c r="U15" i="55"/>
  <c r="L15" i="55"/>
  <c r="C15" i="55"/>
  <c r="I18" i="55"/>
  <c r="G77" i="53"/>
  <c r="F26" i="53"/>
  <c r="AG97" i="61" s="1"/>
  <c r="G26" i="53"/>
  <c r="AH97" i="61" s="1"/>
  <c r="H26" i="53"/>
  <c r="AI97" i="61" s="1"/>
  <c r="I26" i="53"/>
  <c r="AJ97" i="61" s="1"/>
  <c r="J26" i="53"/>
  <c r="AK97" i="61" s="1"/>
  <c r="E26" i="53"/>
  <c r="Q38" i="53"/>
  <c r="Q42" i="53"/>
  <c r="N56" i="61" l="1"/>
  <c r="X53" i="61" s="1"/>
  <c r="X56" i="61"/>
  <c r="AF67" i="61"/>
  <c r="AF97" i="61"/>
  <c r="AF26" i="61"/>
  <c r="AI67" i="61"/>
  <c r="AJ67" i="61"/>
  <c r="AH67" i="61"/>
  <c r="AG67" i="61"/>
  <c r="AK67" i="61"/>
  <c r="N54" i="61" l="1"/>
  <c r="X55" i="61"/>
  <c r="X54" i="61"/>
  <c r="N55" i="61"/>
  <c r="F12" i="51"/>
  <c r="F13" i="51"/>
  <c r="F14" i="51"/>
  <c r="T112" i="61"/>
  <c r="T110" i="61"/>
  <c r="T109" i="61"/>
  <c r="K129" i="47"/>
  <c r="S26" i="61" s="1"/>
  <c r="J129" i="47"/>
  <c r="R26" i="61" s="1"/>
  <c r="I129" i="47"/>
  <c r="Q26" i="61" s="1"/>
  <c r="H129" i="47"/>
  <c r="P26" i="61" s="1"/>
  <c r="G129" i="47"/>
  <c r="O26" i="61" s="1"/>
  <c r="AC56" i="61" l="1"/>
  <c r="AC53" i="61" s="1"/>
  <c r="S56" i="61"/>
  <c r="Q56" i="61"/>
  <c r="Q53" i="61" s="1"/>
  <c r="AA56" i="61"/>
  <c r="AA53" i="61" s="1"/>
  <c r="O56" i="61"/>
  <c r="Y56" i="61"/>
  <c r="Y53" i="61" s="1"/>
  <c r="R56" i="61"/>
  <c r="R53" i="61" s="1"/>
  <c r="AB56" i="61"/>
  <c r="AB53" i="61" s="1"/>
  <c r="Z56" i="61"/>
  <c r="P56" i="61"/>
  <c r="U110" i="61"/>
  <c r="B92" i="61"/>
  <c r="B62" i="61"/>
  <c r="B20" i="61"/>
  <c r="B5" i="61"/>
  <c r="Z53" i="61" l="1"/>
  <c r="Z54" i="61"/>
  <c r="Z55" i="61"/>
  <c r="Q55" i="61"/>
  <c r="Q54" i="61"/>
  <c r="O54" i="61"/>
  <c r="O55" i="61"/>
  <c r="R54" i="61"/>
  <c r="R55" i="61"/>
  <c r="O53" i="61"/>
  <c r="S53" i="61"/>
  <c r="S54" i="61"/>
  <c r="S55" i="61"/>
  <c r="AB55" i="61"/>
  <c r="AB54" i="61"/>
  <c r="AA54" i="61"/>
  <c r="AA55" i="61"/>
  <c r="P53" i="61"/>
  <c r="P55" i="61"/>
  <c r="P54" i="61"/>
  <c r="Y54" i="61"/>
  <c r="Y55" i="61"/>
  <c r="AC55" i="61"/>
  <c r="AC54" i="61"/>
  <c r="G128" i="47"/>
  <c r="H128" i="47"/>
  <c r="I128" i="47"/>
  <c r="J128" i="47"/>
  <c r="K128" i="47"/>
  <c r="AV25" i="55"/>
  <c r="AM25" i="55"/>
  <c r="AD25" i="55"/>
  <c r="U25" i="55"/>
  <c r="L25" i="55"/>
  <c r="BB28" i="55"/>
  <c r="BA28" i="55"/>
  <c r="AZ28" i="55"/>
  <c r="AS28" i="55"/>
  <c r="AR28" i="55"/>
  <c r="AQ28" i="55"/>
  <c r="AJ28" i="55"/>
  <c r="AI28" i="55"/>
  <c r="AH28" i="55"/>
  <c r="AA28" i="55"/>
  <c r="Z28" i="55"/>
  <c r="Y28" i="55"/>
  <c r="R28" i="55"/>
  <c r="Q28" i="55"/>
  <c r="P28" i="55"/>
  <c r="BB20" i="55"/>
  <c r="BB18" i="55"/>
  <c r="BA18" i="55"/>
  <c r="AZ18" i="55"/>
  <c r="AY18" i="55"/>
  <c r="AX18" i="55"/>
  <c r="AS20" i="55"/>
  <c r="AS18" i="55"/>
  <c r="AR18" i="55"/>
  <c r="AQ18" i="55"/>
  <c r="AP18" i="55"/>
  <c r="AO18" i="55"/>
  <c r="AJ20" i="55"/>
  <c r="AI18" i="55"/>
  <c r="AH18" i="55"/>
  <c r="AG18" i="55"/>
  <c r="AF18" i="55"/>
  <c r="AA20" i="55"/>
  <c r="AA18" i="55"/>
  <c r="Z18" i="55"/>
  <c r="Y18" i="55"/>
  <c r="X18" i="55"/>
  <c r="W18" i="55"/>
  <c r="R20" i="55"/>
  <c r="R18" i="55"/>
  <c r="Q18" i="55"/>
  <c r="P18" i="55"/>
  <c r="O18" i="55"/>
  <c r="N18" i="55"/>
  <c r="I28" i="55"/>
  <c r="H28" i="55"/>
  <c r="G28" i="55"/>
  <c r="I20" i="55"/>
  <c r="H18" i="55"/>
  <c r="G18" i="55"/>
  <c r="F18" i="55"/>
  <c r="Q20" i="55"/>
  <c r="W20" i="55"/>
  <c r="AD20" i="55"/>
  <c r="AO20" i="55"/>
  <c r="BA20" i="55"/>
  <c r="H20" i="55"/>
  <c r="L18" i="55"/>
  <c r="U18" i="55"/>
  <c r="AE18" i="55"/>
  <c r="AM18" i="55"/>
  <c r="AW18" i="55"/>
  <c r="D18" i="55"/>
  <c r="G127" i="47"/>
  <c r="H127" i="47"/>
  <c r="I127" i="47"/>
  <c r="J127" i="47"/>
  <c r="K127" i="47"/>
  <c r="C21" i="53"/>
  <c r="D21" i="53"/>
  <c r="C22" i="53"/>
  <c r="C26" i="53"/>
  <c r="D26" i="53"/>
  <c r="S14" i="61"/>
  <c r="R14" i="61"/>
  <c r="Q14" i="61"/>
  <c r="P14" i="61"/>
  <c r="O14" i="61"/>
  <c r="N14" i="61"/>
  <c r="X20" i="51"/>
  <c r="X21" i="51"/>
  <c r="X22" i="51"/>
  <c r="F28" i="55" l="1"/>
  <c r="O28" i="55"/>
  <c r="AG26" i="61"/>
  <c r="U28" i="55"/>
  <c r="AH26" i="61"/>
  <c r="AY28" i="55"/>
  <c r="AK26" i="61"/>
  <c r="AO28" i="55"/>
  <c r="AJ26" i="61"/>
  <c r="AE28" i="55"/>
  <c r="AI26" i="61"/>
  <c r="BA19" i="55"/>
  <c r="AO19" i="55"/>
  <c r="AD19" i="55"/>
  <c r="V19" i="55"/>
  <c r="R19" i="55"/>
  <c r="L28" i="55"/>
  <c r="AV28" i="55"/>
  <c r="AF28" i="55"/>
  <c r="AW28" i="55"/>
  <c r="V28" i="55"/>
  <c r="AP28" i="55"/>
  <c r="M28" i="55"/>
  <c r="W28" i="55"/>
  <c r="AG28" i="55"/>
  <c r="N28" i="55"/>
  <c r="X28" i="55"/>
  <c r="AD28" i="55"/>
  <c r="AN28" i="55"/>
  <c r="AX28" i="55"/>
  <c r="AM28" i="55"/>
  <c r="AR20" i="55"/>
  <c r="AJ19" i="55"/>
  <c r="AM20" i="55"/>
  <c r="AP20" i="55"/>
  <c r="AD18" i="55"/>
  <c r="AN18" i="55"/>
  <c r="AQ20" i="55"/>
  <c r="W19" i="55"/>
  <c r="AE20" i="55"/>
  <c r="AI19" i="55"/>
  <c r="N20" i="55"/>
  <c r="AH19" i="55"/>
  <c r="AG20" i="55"/>
  <c r="AR19" i="55"/>
  <c r="AW20" i="55"/>
  <c r="L20" i="55"/>
  <c r="AF20" i="55"/>
  <c r="AQ19" i="55"/>
  <c r="AG19" i="55"/>
  <c r="AH20" i="55"/>
  <c r="AS19" i="55"/>
  <c r="AV18" i="55"/>
  <c r="AW19" i="55"/>
  <c r="AP19" i="55"/>
  <c r="BB19" i="55"/>
  <c r="AF19" i="55"/>
  <c r="AX19" i="55"/>
  <c r="AE19" i="55"/>
  <c r="AM19" i="55"/>
  <c r="AN20" i="55"/>
  <c r="AY19" i="55"/>
  <c r="AZ20" i="55"/>
  <c r="AI20" i="55"/>
  <c r="AN19" i="55"/>
  <c r="AZ19" i="55"/>
  <c r="Y19" i="55"/>
  <c r="V18" i="55"/>
  <c r="X20" i="55"/>
  <c r="Z20" i="55"/>
  <c r="M19" i="55"/>
  <c r="L19" i="55"/>
  <c r="M20" i="55"/>
  <c r="X19" i="55"/>
  <c r="Y20" i="55"/>
  <c r="M18" i="55"/>
  <c r="N19" i="55"/>
  <c r="O20" i="55"/>
  <c r="Z19" i="55"/>
  <c r="O19" i="55"/>
  <c r="P20" i="55"/>
  <c r="AA19" i="55"/>
  <c r="P19" i="55"/>
  <c r="U20" i="55"/>
  <c r="Q19" i="55"/>
  <c r="U19" i="55"/>
  <c r="V20" i="55"/>
  <c r="D28" i="55"/>
  <c r="C28" i="55"/>
  <c r="E28" i="55"/>
  <c r="C20" i="55"/>
  <c r="D20" i="55"/>
  <c r="C18" i="55"/>
  <c r="E20" i="55"/>
  <c r="F20" i="55"/>
  <c r="G20" i="55"/>
  <c r="O20" i="51"/>
  <c r="T20" i="51" s="1"/>
  <c r="V20" i="51"/>
  <c r="W20" i="51" s="1"/>
  <c r="O21" i="51"/>
  <c r="V21" i="51"/>
  <c r="W21" i="51" s="1"/>
  <c r="O22" i="51"/>
  <c r="V22" i="51"/>
  <c r="W22" i="51" s="1"/>
  <c r="C24" i="55" l="1"/>
  <c r="E25" i="53" s="1"/>
  <c r="AM24" i="55"/>
  <c r="I25" i="53" s="1"/>
  <c r="AV14" i="55"/>
  <c r="J24" i="53" s="1"/>
  <c r="AD14" i="55"/>
  <c r="H24" i="53" s="1"/>
  <c r="L14" i="55"/>
  <c r="F24" i="53" s="1"/>
  <c r="AD24" i="55"/>
  <c r="H25" i="53" s="1"/>
  <c r="U24" i="55"/>
  <c r="G25" i="53" s="1"/>
  <c r="U14" i="55"/>
  <c r="G24" i="53" s="1"/>
  <c r="AM14" i="55"/>
  <c r="I24" i="53" s="1"/>
  <c r="AV24" i="55"/>
  <c r="J25" i="53" s="1"/>
  <c r="L24" i="55"/>
  <c r="F25" i="53" s="1"/>
  <c r="C14" i="55"/>
  <c r="R20" i="51"/>
  <c r="Q20" i="51"/>
  <c r="T21" i="51"/>
  <c r="Q21" i="51"/>
  <c r="R22" i="51"/>
  <c r="Q22" i="51"/>
  <c r="R21" i="51"/>
  <c r="T22" i="51"/>
  <c r="G27" i="53" l="1"/>
  <c r="AH106" i="61" s="1"/>
  <c r="AH111" i="61" s="1"/>
  <c r="AP111" i="61" s="1"/>
  <c r="H99" i="61"/>
  <c r="H98" i="61"/>
  <c r="H100" i="61"/>
  <c r="I27" i="53"/>
  <c r="AJ106" i="61" s="1"/>
  <c r="AJ111" i="61" s="1"/>
  <c r="AR111" i="61" s="1"/>
  <c r="J99" i="61"/>
  <c r="J100" i="61"/>
  <c r="J98" i="61"/>
  <c r="H27" i="53"/>
  <c r="AI106" i="61" s="1"/>
  <c r="AI111" i="61" s="1"/>
  <c r="AQ111" i="61" s="1"/>
  <c r="I100" i="61"/>
  <c r="I99" i="61"/>
  <c r="I98" i="61"/>
  <c r="J27" i="53"/>
  <c r="AK106" i="61" s="1"/>
  <c r="AK111" i="61" s="1"/>
  <c r="AS111" i="61" s="1"/>
  <c r="K99" i="61"/>
  <c r="K100" i="61"/>
  <c r="K98" i="61"/>
  <c r="F27" i="53"/>
  <c r="AG106" i="61" s="1"/>
  <c r="AG111" i="61" s="1"/>
  <c r="AO111" i="61" s="1"/>
  <c r="G99" i="61"/>
  <c r="G98" i="61"/>
  <c r="G100" i="61"/>
  <c r="AS106" i="61"/>
  <c r="AR106" i="61"/>
  <c r="AQ106" i="61"/>
  <c r="AO106" i="61"/>
  <c r="P39" i="61"/>
  <c r="P38" i="61" s="1"/>
  <c r="P48" i="61" s="1"/>
  <c r="Z48" i="61" s="1"/>
  <c r="AP106" i="61"/>
  <c r="G11" i="61"/>
  <c r="O39" i="61"/>
  <c r="S110" i="61"/>
  <c r="S109" i="61"/>
  <c r="S114" i="61"/>
  <c r="S111" i="61"/>
  <c r="S113" i="61"/>
  <c r="AC77" i="61"/>
  <c r="AC79" i="61"/>
  <c r="AC78" i="61"/>
  <c r="AC98" i="61"/>
  <c r="S112" i="61"/>
  <c r="AC97" i="61"/>
  <c r="R112" i="61"/>
  <c r="R113" i="61"/>
  <c r="R110" i="61"/>
  <c r="R111" i="61"/>
  <c r="R114" i="61"/>
  <c r="AB79" i="61"/>
  <c r="AB77" i="61"/>
  <c r="AB98" i="61"/>
  <c r="AB97" i="61"/>
  <c r="R109" i="61"/>
  <c r="AB78" i="61"/>
  <c r="P112" i="61"/>
  <c r="P113" i="61"/>
  <c r="P109" i="61"/>
  <c r="P111" i="61"/>
  <c r="P114" i="61"/>
  <c r="Z78" i="61"/>
  <c r="Z79" i="61"/>
  <c r="Z77" i="61"/>
  <c r="Z98" i="61"/>
  <c r="Z97" i="61"/>
  <c r="P110" i="61"/>
  <c r="O111" i="61"/>
  <c r="O110" i="61"/>
  <c r="O113" i="61"/>
  <c r="O109" i="61"/>
  <c r="O114" i="61"/>
  <c r="Y77" i="61"/>
  <c r="Y97" i="61"/>
  <c r="Y79" i="61"/>
  <c r="Y78" i="61"/>
  <c r="Y98" i="61"/>
  <c r="O112" i="61"/>
  <c r="Q109" i="61"/>
  <c r="Q111" i="61"/>
  <c r="Q113" i="61"/>
  <c r="Q112" i="61"/>
  <c r="Q114" i="61"/>
  <c r="AA79" i="61"/>
  <c r="AA77" i="61"/>
  <c r="AA78" i="61"/>
  <c r="AA97" i="61"/>
  <c r="AA98" i="61"/>
  <c r="Q110" i="61"/>
  <c r="G12" i="61"/>
  <c r="G13" i="61"/>
  <c r="I12" i="61"/>
  <c r="I13" i="61"/>
  <c r="I11" i="61"/>
  <c r="J13" i="61"/>
  <c r="J11" i="61"/>
  <c r="J12" i="61"/>
  <c r="K13" i="61"/>
  <c r="K12" i="61"/>
  <c r="K11" i="61"/>
  <c r="H12" i="61"/>
  <c r="H11" i="61"/>
  <c r="H13" i="61"/>
  <c r="S39" i="61"/>
  <c r="S36" i="61" s="1"/>
  <c r="S46" i="61" s="1"/>
  <c r="AC46" i="61" s="1"/>
  <c r="R39" i="61"/>
  <c r="R38" i="61" s="1"/>
  <c r="R48" i="61" s="1"/>
  <c r="AB48" i="61" s="1"/>
  <c r="Q39" i="61"/>
  <c r="Q36" i="61" s="1"/>
  <c r="Q46" i="61" s="1"/>
  <c r="AA46" i="61" s="1"/>
  <c r="O81" i="61"/>
  <c r="R81" i="61"/>
  <c r="P57" i="61"/>
  <c r="S57" i="61"/>
  <c r="Q57" i="61"/>
  <c r="P81" i="61"/>
  <c r="S81" i="61"/>
  <c r="R57" i="61"/>
  <c r="Q81" i="61"/>
  <c r="Z39" i="61"/>
  <c r="AP36" i="61"/>
  <c r="AA39" i="61"/>
  <c r="AQ36" i="61"/>
  <c r="AC39" i="61"/>
  <c r="AS36" i="61"/>
  <c r="AB39" i="61"/>
  <c r="AR36" i="61"/>
  <c r="Y39" i="61"/>
  <c r="AO36" i="61"/>
  <c r="C14" i="41"/>
  <c r="C15" i="41"/>
  <c r="C13" i="41"/>
  <c r="C12" i="41"/>
  <c r="C11" i="41"/>
  <c r="AP97" i="61" l="1"/>
  <c r="H105" i="61" s="1"/>
  <c r="AR97" i="61"/>
  <c r="J105" i="61" s="1"/>
  <c r="AQ97" i="61"/>
  <c r="I105" i="61" s="1"/>
  <c r="AO97" i="61"/>
  <c r="G105" i="61" s="1"/>
  <c r="AS97" i="61"/>
  <c r="K105" i="61" s="1"/>
  <c r="S37" i="61"/>
  <c r="S47" i="61" s="1"/>
  <c r="AC47" i="61" s="1"/>
  <c r="S38" i="61"/>
  <c r="S48" i="61" s="1"/>
  <c r="AC48" i="61" s="1"/>
  <c r="P37" i="61"/>
  <c r="P47" i="61" s="1"/>
  <c r="Z47" i="61" s="1"/>
  <c r="P36" i="61"/>
  <c r="P46" i="61" s="1"/>
  <c r="Z46" i="61" s="1"/>
  <c r="Q37" i="61"/>
  <c r="Q47" i="61" s="1"/>
  <c r="AA47" i="61" s="1"/>
  <c r="Q38" i="61"/>
  <c r="Q48" i="61" s="1"/>
  <c r="AA48" i="61" s="1"/>
  <c r="R36" i="61"/>
  <c r="R46" i="61" s="1"/>
  <c r="AB46" i="61" s="1"/>
  <c r="P115" i="61"/>
  <c r="R37" i="61"/>
  <c r="R47" i="61" s="1"/>
  <c r="AB47" i="61" s="1"/>
  <c r="R115" i="61"/>
  <c r="Q115" i="61"/>
  <c r="S115" i="61"/>
  <c r="O115" i="61"/>
  <c r="AI36" i="61"/>
  <c r="AI46" i="61" s="1"/>
  <c r="AQ46" i="61" s="1"/>
  <c r="AI77" i="61"/>
  <c r="AJ36" i="61"/>
  <c r="AJ46" i="61" s="1"/>
  <c r="AR46" i="61" s="1"/>
  <c r="AJ77" i="61"/>
  <c r="AH36" i="61"/>
  <c r="AH46" i="61" s="1"/>
  <c r="AP46" i="61" s="1"/>
  <c r="AH77" i="61"/>
  <c r="AK36" i="61"/>
  <c r="AK46" i="61" s="1"/>
  <c r="AS46" i="61" s="1"/>
  <c r="AK77" i="61"/>
  <c r="AG36" i="61"/>
  <c r="AG46" i="61" s="1"/>
  <c r="AO46" i="61" s="1"/>
  <c r="AG77" i="61"/>
  <c r="Y99" i="61" l="1"/>
  <c r="AC99" i="61"/>
  <c r="Z99" i="61"/>
  <c r="AB99" i="61"/>
  <c r="AB100" i="61" s="1"/>
  <c r="AA99" i="61"/>
  <c r="AI86" i="61"/>
  <c r="AQ86" i="61" s="1"/>
  <c r="AQ67" i="61" s="1"/>
  <c r="I75" i="61" s="1"/>
  <c r="AK86" i="61"/>
  <c r="AS86" i="61" s="1"/>
  <c r="AS67" i="61" s="1"/>
  <c r="K75" i="61" s="1"/>
  <c r="AH86" i="61"/>
  <c r="AP86" i="61" s="1"/>
  <c r="AP67" i="61" s="1"/>
  <c r="H75" i="61" s="1"/>
  <c r="AJ86" i="61"/>
  <c r="AR86" i="61" s="1"/>
  <c r="AR67" i="61" s="1"/>
  <c r="J75" i="61" s="1"/>
  <c r="AG86" i="61"/>
  <c r="AO86" i="61" s="1"/>
  <c r="AO67" i="61" s="1"/>
  <c r="G75" i="61" s="1"/>
  <c r="AB80" i="61"/>
  <c r="AA80" i="61"/>
  <c r="Z80" i="61"/>
  <c r="Y80" i="61"/>
  <c r="AC80" i="61"/>
  <c r="G76" i="53"/>
  <c r="G78" i="53"/>
  <c r="G79" i="53"/>
  <c r="G80" i="53"/>
  <c r="G81" i="53"/>
  <c r="G82" i="53"/>
  <c r="G85" i="53"/>
  <c r="G86" i="53"/>
  <c r="G87" i="53"/>
  <c r="G88" i="53"/>
  <c r="G89" i="53"/>
  <c r="G90" i="53"/>
  <c r="G91" i="53"/>
  <c r="G92" i="53"/>
  <c r="G93" i="53"/>
  <c r="G94" i="53"/>
  <c r="C94" i="53"/>
  <c r="C93" i="53"/>
  <c r="C92" i="53"/>
  <c r="C91" i="53"/>
  <c r="C90" i="53"/>
  <c r="C58" i="55"/>
  <c r="C57" i="55"/>
  <c r="C56" i="55"/>
  <c r="C55" i="55"/>
  <c r="C54" i="55"/>
  <c r="C77" i="53"/>
  <c r="C78" i="53"/>
  <c r="C79" i="53"/>
  <c r="C80" i="53"/>
  <c r="C81" i="53"/>
  <c r="C82" i="53"/>
  <c r="C85" i="53"/>
  <c r="C86" i="53"/>
  <c r="C87" i="53"/>
  <c r="C88" i="53"/>
  <c r="C89" i="53"/>
  <c r="C76" i="53"/>
  <c r="C41" i="55"/>
  <c r="C42" i="55"/>
  <c r="C43" i="55"/>
  <c r="C44" i="55"/>
  <c r="C45" i="55"/>
  <c r="C46" i="55"/>
  <c r="C49" i="55"/>
  <c r="C50" i="55"/>
  <c r="C51" i="55"/>
  <c r="C52" i="55"/>
  <c r="C53" i="55"/>
  <c r="C40" i="55"/>
  <c r="F76" i="53" l="1"/>
  <c r="Z100" i="61"/>
  <c r="AC100" i="61"/>
  <c r="Y100" i="61"/>
  <c r="AA100" i="61"/>
  <c r="F88" i="53"/>
  <c r="F78" i="53"/>
  <c r="F86" i="53"/>
  <c r="F93" i="53"/>
  <c r="F91" i="53"/>
  <c r="F94" i="53"/>
  <c r="F87" i="53"/>
  <c r="F77" i="53"/>
  <c r="F92" i="53"/>
  <c r="F82" i="53"/>
  <c r="F81" i="53"/>
  <c r="F90" i="53"/>
  <c r="F80" i="53"/>
  <c r="F85" i="53"/>
  <c r="F89" i="53"/>
  <c r="F79" i="53"/>
  <c r="C15" i="46"/>
  <c r="X89" i="61" l="1"/>
  <c r="AA89" i="61"/>
  <c r="AC89" i="61"/>
  <c r="Z89" i="61"/>
  <c r="AB89" i="61"/>
  <c r="Y89" i="61"/>
  <c r="AB88" i="61" l="1"/>
  <c r="AB69" i="61" s="1"/>
  <c r="J70" i="61" s="1"/>
  <c r="AB87" i="61"/>
  <c r="AB68" i="61" s="1"/>
  <c r="J69" i="61" s="1"/>
  <c r="AB86" i="61"/>
  <c r="AB67" i="61" s="1"/>
  <c r="Z87" i="61"/>
  <c r="Z68" i="61" s="1"/>
  <c r="H69" i="61" s="1"/>
  <c r="Z88" i="61"/>
  <c r="Z69" i="61" s="1"/>
  <c r="H70" i="61" s="1"/>
  <c r="Z86" i="61"/>
  <c r="Z67" i="61" s="1"/>
  <c r="Y88" i="61"/>
  <c r="Y87" i="61"/>
  <c r="Y86" i="61"/>
  <c r="Y67" i="61"/>
  <c r="Y68" i="61"/>
  <c r="G69" i="61" s="1"/>
  <c r="Y69" i="61"/>
  <c r="G70" i="61" s="1"/>
  <c r="AC88" i="61"/>
  <c r="AC69" i="61" s="1"/>
  <c r="K70" i="61" s="1"/>
  <c r="AC87" i="61"/>
  <c r="AC68" i="61" s="1"/>
  <c r="K69" i="61" s="1"/>
  <c r="AC86" i="61"/>
  <c r="AC67" i="61" s="1"/>
  <c r="AA88" i="61"/>
  <c r="AA69" i="61" s="1"/>
  <c r="I70" i="61" s="1"/>
  <c r="AA87" i="61"/>
  <c r="AA68" i="61" s="1"/>
  <c r="I69" i="61" s="1"/>
  <c r="AA86" i="61"/>
  <c r="AA67" i="61" s="1"/>
  <c r="J68" i="61" l="1"/>
  <c r="AB70" i="61"/>
  <c r="Y70" i="61"/>
  <c r="G68" i="61"/>
  <c r="K68" i="61"/>
  <c r="AC70" i="61"/>
  <c r="I68" i="61"/>
  <c r="AA70" i="61"/>
  <c r="H68" i="61"/>
  <c r="Z70" i="61"/>
  <c r="E19" i="55"/>
  <c r="H19" i="55"/>
  <c r="C19" i="55"/>
  <c r="G19" i="55"/>
  <c r="I19" i="55"/>
  <c r="F19" i="55"/>
  <c r="D19" i="55"/>
  <c r="E24" i="53" l="1"/>
  <c r="X57" i="51"/>
  <c r="X58" i="51"/>
  <c r="X59" i="51"/>
  <c r="X60" i="51"/>
  <c r="X61" i="51"/>
  <c r="X62" i="51"/>
  <c r="X63" i="51"/>
  <c r="X64" i="51"/>
  <c r="X65" i="51"/>
  <c r="X66" i="51"/>
  <c r="X67" i="51"/>
  <c r="X56" i="51"/>
  <c r="X19" i="51"/>
  <c r="X18" i="51"/>
  <c r="X17" i="51"/>
  <c r="F99" i="61" l="1"/>
  <c r="F98" i="61"/>
  <c r="F100" i="61"/>
  <c r="E27" i="53"/>
  <c r="AN106" i="61"/>
  <c r="X98" i="61"/>
  <c r="N109" i="61"/>
  <c r="F11" i="61"/>
  <c r="C11" i="61" s="1"/>
  <c r="AN36" i="61"/>
  <c r="X77" i="61"/>
  <c r="N111" i="61"/>
  <c r="N114" i="61"/>
  <c r="N110" i="61"/>
  <c r="N112" i="61"/>
  <c r="N113" i="61"/>
  <c r="N39" i="61"/>
  <c r="X39" i="61"/>
  <c r="X97" i="61"/>
  <c r="X79" i="61"/>
  <c r="X78" i="61"/>
  <c r="F13" i="61"/>
  <c r="C13" i="61" s="1"/>
  <c r="F12" i="61"/>
  <c r="C12" i="61" s="1"/>
  <c r="C157" i="47"/>
  <c r="C131" i="43" s="1"/>
  <c r="C154" i="47"/>
  <c r="C53" i="43" s="1"/>
  <c r="C155" i="47"/>
  <c r="C29" i="43" s="1"/>
  <c r="C156" i="47"/>
  <c r="C30" i="43" s="1"/>
  <c r="C100" i="61" l="1"/>
  <c r="C98" i="61"/>
  <c r="C99" i="61"/>
  <c r="N115" i="61"/>
  <c r="X99" i="61" s="1"/>
  <c r="X100" i="61" s="1"/>
  <c r="AF106" i="61"/>
  <c r="AF111" i="61" s="1"/>
  <c r="AN111" i="61" s="1"/>
  <c r="AF77" i="61"/>
  <c r="AF86" i="61" s="1"/>
  <c r="AN86" i="61" s="1"/>
  <c r="AN67" i="61" s="1"/>
  <c r="AF36" i="61"/>
  <c r="AF46" i="61" s="1"/>
  <c r="X80" i="61"/>
  <c r="C55" i="43"/>
  <c r="C54" i="43"/>
  <c r="C306" i="43"/>
  <c r="C356" i="43"/>
  <c r="C156" i="43"/>
  <c r="C331" i="43"/>
  <c r="C56" i="43"/>
  <c r="C130" i="43"/>
  <c r="C28" i="43"/>
  <c r="C81" i="43"/>
  <c r="C129" i="43"/>
  <c r="C31" i="43"/>
  <c r="C80" i="43"/>
  <c r="C79" i="43"/>
  <c r="C106" i="43"/>
  <c r="C354" i="43"/>
  <c r="C154" i="43"/>
  <c r="C329" i="43"/>
  <c r="C304" i="43"/>
  <c r="C104" i="43"/>
  <c r="C305" i="43"/>
  <c r="C355" i="43"/>
  <c r="C155" i="43"/>
  <c r="C330" i="43"/>
  <c r="C105" i="43"/>
  <c r="C151" i="47"/>
  <c r="E10" i="41" l="1"/>
  <c r="I113" i="47"/>
  <c r="H89" i="47"/>
  <c r="G89" i="47"/>
  <c r="C33" i="47" l="1"/>
  <c r="C25" i="55" l="1"/>
  <c r="C19" i="46" l="1"/>
  <c r="C35" i="47"/>
  <c r="G113" i="47"/>
  <c r="H113" i="47"/>
  <c r="J113" i="47"/>
  <c r="K113" i="47"/>
  <c r="F113" i="47"/>
  <c r="AN97" i="61" l="1"/>
  <c r="F105" i="61" s="1"/>
  <c r="C91" i="47"/>
  <c r="C92" i="47"/>
  <c r="C93" i="47"/>
  <c r="C94" i="47"/>
  <c r="C95" i="47"/>
  <c r="C96" i="47"/>
  <c r="C99" i="47"/>
  <c r="C100" i="47"/>
  <c r="C101" i="47"/>
  <c r="C102" i="47"/>
  <c r="C103" i="47"/>
  <c r="C104" i="47"/>
  <c r="C105" i="47"/>
  <c r="C106" i="47"/>
  <c r="C107" i="47"/>
  <c r="C108" i="47"/>
  <c r="C90" i="47"/>
  <c r="C188" i="47"/>
  <c r="C170" i="47"/>
  <c r="C171" i="47"/>
  <c r="C172" i="47"/>
  <c r="C173" i="47"/>
  <c r="C174" i="47"/>
  <c r="C175" i="47"/>
  <c r="C178" i="47"/>
  <c r="C179" i="47"/>
  <c r="C180" i="47"/>
  <c r="C181" i="47"/>
  <c r="C182" i="47"/>
  <c r="C183" i="47"/>
  <c r="C184" i="47"/>
  <c r="C185" i="47"/>
  <c r="C186" i="47"/>
  <c r="C187" i="47"/>
  <c r="C368" i="57"/>
  <c r="C142" i="57"/>
  <c r="C143" i="57"/>
  <c r="C144" i="57"/>
  <c r="C145" i="57"/>
  <c r="C146" i="57"/>
  <c r="C147" i="57"/>
  <c r="C150" i="57"/>
  <c r="C151" i="57"/>
  <c r="C152" i="57"/>
  <c r="C153" i="57"/>
  <c r="C154" i="57"/>
  <c r="C155" i="57"/>
  <c r="C156" i="57"/>
  <c r="C157" i="57"/>
  <c r="C158" i="57"/>
  <c r="C159" i="57"/>
  <c r="C116" i="57"/>
  <c r="C117" i="57"/>
  <c r="C118" i="57"/>
  <c r="C119" i="57"/>
  <c r="C120" i="57"/>
  <c r="C121" i="57"/>
  <c r="C124" i="57"/>
  <c r="C125" i="57"/>
  <c r="C126" i="57"/>
  <c r="C127" i="57"/>
  <c r="C128" i="57"/>
  <c r="C129" i="57"/>
  <c r="C130" i="57"/>
  <c r="C131" i="57"/>
  <c r="C132" i="57"/>
  <c r="C133" i="57"/>
  <c r="C90" i="57"/>
  <c r="C91" i="57"/>
  <c r="C92" i="57"/>
  <c r="C93" i="57"/>
  <c r="C94" i="57"/>
  <c r="C95" i="57"/>
  <c r="C98" i="57"/>
  <c r="C99" i="57"/>
  <c r="C100" i="57"/>
  <c r="C101" i="57"/>
  <c r="C102" i="57"/>
  <c r="C103" i="57"/>
  <c r="C104" i="57"/>
  <c r="C105" i="57"/>
  <c r="C106" i="57"/>
  <c r="C107" i="57"/>
  <c r="C64" i="57"/>
  <c r="C65" i="57"/>
  <c r="C66" i="57"/>
  <c r="C67" i="57"/>
  <c r="C68" i="57"/>
  <c r="C69" i="57"/>
  <c r="C72" i="57"/>
  <c r="C73" i="57"/>
  <c r="C74" i="57"/>
  <c r="C75" i="57"/>
  <c r="C76" i="57"/>
  <c r="C77" i="57"/>
  <c r="C78" i="57"/>
  <c r="C79" i="57"/>
  <c r="C80" i="57"/>
  <c r="C81" i="57"/>
  <c r="C38" i="57"/>
  <c r="C39" i="57"/>
  <c r="C40" i="57"/>
  <c r="C41" i="57"/>
  <c r="C42" i="57"/>
  <c r="C43" i="57"/>
  <c r="C46" i="57"/>
  <c r="C47" i="57"/>
  <c r="C48" i="57"/>
  <c r="C49" i="57"/>
  <c r="C50" i="57"/>
  <c r="C51" i="57"/>
  <c r="C52" i="57"/>
  <c r="C53" i="57"/>
  <c r="C54" i="57"/>
  <c r="C55" i="57"/>
  <c r="C12" i="57"/>
  <c r="C13" i="57"/>
  <c r="C14" i="57"/>
  <c r="C15" i="57"/>
  <c r="C16" i="57"/>
  <c r="C17" i="57"/>
  <c r="C20" i="57"/>
  <c r="C21" i="57"/>
  <c r="C22" i="57"/>
  <c r="C23" i="57"/>
  <c r="C24" i="57"/>
  <c r="C25" i="57"/>
  <c r="C26" i="57"/>
  <c r="C27" i="57"/>
  <c r="C28" i="57"/>
  <c r="C29" i="57"/>
  <c r="C104" i="61" l="1"/>
  <c r="C115" i="57"/>
  <c r="C89" i="57"/>
  <c r="C63" i="57"/>
  <c r="C62" i="57"/>
  <c r="L62" i="57" s="1"/>
  <c r="F14" i="41" s="1"/>
  <c r="C37" i="57"/>
  <c r="C36" i="57"/>
  <c r="C11" i="57"/>
  <c r="C10" i="57"/>
  <c r="F6" i="57"/>
  <c r="D6" i="57"/>
  <c r="L244" i="57" l="1"/>
  <c r="M14" i="41" s="1"/>
  <c r="L270" i="57"/>
  <c r="N14" i="41" s="1"/>
  <c r="L218" i="57"/>
  <c r="L14" i="41" s="1"/>
  <c r="L192" i="57"/>
  <c r="K14" i="41" s="1"/>
  <c r="L166" i="57"/>
  <c r="J14" i="41" s="1"/>
  <c r="L36" i="57"/>
  <c r="E14" i="41" s="1"/>
  <c r="AR26" i="61"/>
  <c r="J34" i="61" s="1"/>
  <c r="AQ26" i="61"/>
  <c r="I34" i="61" s="1"/>
  <c r="AP26" i="61"/>
  <c r="H34" i="61" s="1"/>
  <c r="AS26" i="61"/>
  <c r="K34" i="61" s="1"/>
  <c r="AO26" i="61"/>
  <c r="G34" i="61" s="1"/>
  <c r="AN46" i="61" l="1"/>
  <c r="AN26" i="61" s="1"/>
  <c r="E10" i="53"/>
  <c r="D10" i="53"/>
  <c r="C11" i="51" l="1"/>
  <c r="I101" i="51"/>
  <c r="J101" i="51" s="1"/>
  <c r="I102" i="51"/>
  <c r="J102" i="51" s="1"/>
  <c r="C13" i="46"/>
  <c r="E23" i="51"/>
  <c r="E24" i="51" s="1"/>
  <c r="D23" i="51"/>
  <c r="E11" i="51"/>
  <c r="D11" i="51"/>
  <c r="D4" i="51"/>
  <c r="C4" i="51"/>
  <c r="C169" i="47"/>
  <c r="C328" i="43"/>
  <c r="C153" i="47"/>
  <c r="C152" i="47"/>
  <c r="C99" i="43"/>
  <c r="C150" i="47"/>
  <c r="C149" i="47"/>
  <c r="C148" i="47"/>
  <c r="C147" i="47"/>
  <c r="C146" i="47"/>
  <c r="C145" i="47"/>
  <c r="C144" i="47"/>
  <c r="C143" i="47"/>
  <c r="C142" i="47"/>
  <c r="C141" i="47"/>
  <c r="C140" i="47"/>
  <c r="C139" i="47"/>
  <c r="C138" i="47"/>
  <c r="H137" i="47"/>
  <c r="G137" i="47"/>
  <c r="F137" i="47"/>
  <c r="F89" i="47"/>
  <c r="H33" i="47"/>
  <c r="G31" i="47"/>
  <c r="F31" i="47"/>
  <c r="H11" i="47"/>
  <c r="G11" i="47"/>
  <c r="F11" i="47"/>
  <c r="F6" i="47"/>
  <c r="D6" i="47"/>
  <c r="C153" i="43"/>
  <c r="C60" i="43"/>
  <c r="C35" i="43"/>
  <c r="C10" i="43"/>
  <c r="F6" i="43"/>
  <c r="D6" i="43"/>
  <c r="E22" i="41"/>
  <c r="F10" i="41"/>
  <c r="D10" i="41"/>
  <c r="E6" i="41"/>
  <c r="D6" i="41"/>
  <c r="C22" i="40"/>
  <c r="C21" i="40"/>
  <c r="C20" i="40"/>
  <c r="C19" i="40"/>
  <c r="C18" i="40"/>
  <c r="C17" i="40"/>
  <c r="C16" i="40"/>
  <c r="C13" i="40"/>
  <c r="F12" i="40"/>
  <c r="E12" i="40"/>
  <c r="D12" i="40"/>
  <c r="F6" i="40"/>
  <c r="D6" i="40"/>
  <c r="B23" i="50"/>
  <c r="E17" i="50"/>
  <c r="D17" i="50"/>
  <c r="C17" i="50"/>
  <c r="E4" i="50"/>
  <c r="C4" i="50"/>
  <c r="D53" i="43" l="1"/>
  <c r="D56" i="43"/>
  <c r="D55" i="43"/>
  <c r="D54" i="43"/>
  <c r="D81" i="43"/>
  <c r="D79" i="43"/>
  <c r="D80" i="43"/>
  <c r="C317" i="43"/>
  <c r="C343" i="43"/>
  <c r="C144" i="43"/>
  <c r="C320" i="43"/>
  <c r="C323" i="43"/>
  <c r="C150" i="43"/>
  <c r="C313" i="43"/>
  <c r="C297" i="43"/>
  <c r="C351" i="43"/>
  <c r="C136" i="43"/>
  <c r="D30" i="43"/>
  <c r="D29" i="43"/>
  <c r="D31" i="43"/>
  <c r="D28" i="43"/>
  <c r="C287" i="43"/>
  <c r="C314" i="43"/>
  <c r="C140" i="43"/>
  <c r="C41" i="43"/>
  <c r="D41" i="43" s="1"/>
  <c r="D24" i="51"/>
  <c r="F23" i="51"/>
  <c r="L10" i="51"/>
  <c r="C10" i="51"/>
  <c r="F30" i="47"/>
  <c r="C166" i="47"/>
  <c r="C135" i="47"/>
  <c r="C88" i="47"/>
  <c r="C28" i="47"/>
  <c r="C10" i="47"/>
  <c r="F75" i="61"/>
  <c r="C74" i="61" s="1"/>
  <c r="F34" i="61"/>
  <c r="C25" i="41"/>
  <c r="F11" i="51"/>
  <c r="H31" i="47"/>
  <c r="C20" i="46" s="1"/>
  <c r="C23" i="43"/>
  <c r="D23" i="43" s="1"/>
  <c r="C20" i="43"/>
  <c r="C87" i="43"/>
  <c r="C322" i="43"/>
  <c r="C337" i="43"/>
  <c r="C116" i="43"/>
  <c r="C336" i="43"/>
  <c r="C42" i="43"/>
  <c r="D42" i="43" s="1"/>
  <c r="C119" i="43"/>
  <c r="C48" i="43"/>
  <c r="D48" i="43" s="1"/>
  <c r="C291" i="43"/>
  <c r="C318" i="43"/>
  <c r="C12" i="43"/>
  <c r="D12" i="43" s="1"/>
  <c r="G12" i="43" s="1"/>
  <c r="C137" i="43"/>
  <c r="C319" i="43"/>
  <c r="C15" i="43"/>
  <c r="D15" i="43" s="1"/>
  <c r="C44" i="43"/>
  <c r="D44" i="43" s="1"/>
  <c r="C138" i="43"/>
  <c r="C17" i="43"/>
  <c r="D17" i="43" s="1"/>
  <c r="C36" i="43"/>
  <c r="D36" i="43" s="1"/>
  <c r="C148" i="43"/>
  <c r="C295" i="43"/>
  <c r="C325" i="43"/>
  <c r="C25" i="43"/>
  <c r="D25" i="43" s="1"/>
  <c r="C38" i="43"/>
  <c r="D38" i="43" s="1"/>
  <c r="C90" i="43"/>
  <c r="C100" i="43"/>
  <c r="C142" i="43"/>
  <c r="C303" i="43"/>
  <c r="C13" i="43"/>
  <c r="D13" i="43" s="1"/>
  <c r="C94" i="43"/>
  <c r="C111" i="43"/>
  <c r="C292" i="43"/>
  <c r="C315" i="43"/>
  <c r="C344" i="43"/>
  <c r="C316" i="43"/>
  <c r="C91" i="43"/>
  <c r="C66" i="43"/>
  <c r="D66" i="43" s="1"/>
  <c r="C16" i="43"/>
  <c r="D16" i="43" s="1"/>
  <c r="C346" i="43"/>
  <c r="C121" i="43"/>
  <c r="C71" i="43"/>
  <c r="D71" i="43" s="1"/>
  <c r="C321" i="43"/>
  <c r="C96" i="43"/>
  <c r="C149" i="43"/>
  <c r="C24" i="43"/>
  <c r="D24" i="43" s="1"/>
  <c r="C349" i="43"/>
  <c r="C124" i="43"/>
  <c r="C49" i="43"/>
  <c r="D49" i="43" s="1"/>
  <c r="C326" i="43"/>
  <c r="C101" i="43"/>
  <c r="C76" i="43"/>
  <c r="D76" i="43" s="1"/>
  <c r="C26" i="43"/>
  <c r="D26" i="43" s="1"/>
  <c r="C118" i="43"/>
  <c r="C151" i="43"/>
  <c r="C296" i="43"/>
  <c r="C312" i="43"/>
  <c r="C324" i="43"/>
  <c r="C341" i="43"/>
  <c r="C18" i="43"/>
  <c r="D18" i="43" s="1"/>
  <c r="C22" i="43"/>
  <c r="D22" i="43" s="1"/>
  <c r="C37" i="43"/>
  <c r="D37" i="43" s="1"/>
  <c r="C62" i="43"/>
  <c r="D62" i="43" s="1"/>
  <c r="C72" i="43"/>
  <c r="D72" i="43" s="1"/>
  <c r="C122" i="43"/>
  <c r="C141" i="43"/>
  <c r="C146" i="43"/>
  <c r="C299" i="43"/>
  <c r="C139" i="43"/>
  <c r="C14" i="43"/>
  <c r="D14" i="43" s="1"/>
  <c r="C39" i="43"/>
  <c r="D39" i="43" s="1"/>
  <c r="C339" i="43"/>
  <c r="C114" i="43"/>
  <c r="C293" i="43"/>
  <c r="C68" i="43"/>
  <c r="D68" i="43" s="1"/>
  <c r="C43" i="43"/>
  <c r="D43" i="43" s="1"/>
  <c r="C143" i="43"/>
  <c r="C21" i="43"/>
  <c r="D21" i="43" s="1"/>
  <c r="C47" i="43"/>
  <c r="D47" i="43" s="1"/>
  <c r="C89" i="43"/>
  <c r="C46" i="43"/>
  <c r="D46" i="43" s="1"/>
  <c r="C51" i="43"/>
  <c r="D51" i="43" s="1"/>
  <c r="C64" i="43"/>
  <c r="D64" i="43" s="1"/>
  <c r="C74" i="43"/>
  <c r="D74" i="43" s="1"/>
  <c r="C93" i="43"/>
  <c r="C97" i="43"/>
  <c r="C112" i="43"/>
  <c r="C126" i="43"/>
  <c r="C147" i="43"/>
  <c r="C289" i="43"/>
  <c r="C301" i="43"/>
  <c r="C347" i="43"/>
  <c r="C11" i="43"/>
  <c r="C19" i="43"/>
  <c r="D19" i="43" s="1"/>
  <c r="C40" i="43"/>
  <c r="D40" i="43" s="1"/>
  <c r="C45" i="43"/>
  <c r="C50" i="43"/>
  <c r="C86" i="43"/>
  <c r="C115" i="43"/>
  <c r="C125" i="43"/>
  <c r="C145" i="43"/>
  <c r="C288" i="43"/>
  <c r="C298" i="43"/>
  <c r="C311" i="43"/>
  <c r="C340" i="43"/>
  <c r="C350" i="43"/>
  <c r="G30" i="47"/>
  <c r="C113" i="43"/>
  <c r="C117" i="43"/>
  <c r="C120" i="43"/>
  <c r="C123" i="43"/>
  <c r="C128" i="43"/>
  <c r="C286" i="43"/>
  <c r="C290" i="43"/>
  <c r="C294" i="43"/>
  <c r="C300" i="43"/>
  <c r="C338" i="43"/>
  <c r="C342" i="43"/>
  <c r="C345" i="43"/>
  <c r="C348" i="43"/>
  <c r="C353" i="43"/>
  <c r="C61" i="43"/>
  <c r="D61" i="43" s="1"/>
  <c r="C63" i="43"/>
  <c r="D63" i="43" s="1"/>
  <c r="C65" i="43"/>
  <c r="D65" i="43" s="1"/>
  <c r="C67" i="43"/>
  <c r="D67" i="43" s="1"/>
  <c r="C69" i="43"/>
  <c r="D69" i="43" s="1"/>
  <c r="C70" i="43"/>
  <c r="C73" i="43"/>
  <c r="D73" i="43" s="1"/>
  <c r="C75" i="43"/>
  <c r="C78" i="43"/>
  <c r="D78" i="43" s="1"/>
  <c r="C88" i="43"/>
  <c r="C92" i="43"/>
  <c r="C95" i="43"/>
  <c r="C98" i="43"/>
  <c r="C103" i="43"/>
  <c r="G17" i="51"/>
  <c r="C130" i="51" s="1"/>
  <c r="G28" i="43" l="1"/>
  <c r="F28" i="43"/>
  <c r="G29" i="43"/>
  <c r="F29" i="43"/>
  <c r="F31" i="43"/>
  <c r="G31" i="43"/>
  <c r="G30" i="43"/>
  <c r="F30" i="43"/>
  <c r="R25" i="41"/>
  <c r="M25" i="41"/>
  <c r="O23" i="50" s="1"/>
  <c r="AB25" i="41"/>
  <c r="X25" i="41"/>
  <c r="U25" i="41"/>
  <c r="S25" i="41"/>
  <c r="N25" i="41"/>
  <c r="P23" i="50" s="1"/>
  <c r="AA25" i="41"/>
  <c r="Y25" i="41"/>
  <c r="L25" i="41"/>
  <c r="M23" i="50" s="1"/>
  <c r="Z25" i="41"/>
  <c r="V25" i="41"/>
  <c r="K25" i="41"/>
  <c r="L23" i="50" s="1"/>
  <c r="AC25" i="41"/>
  <c r="W25" i="41"/>
  <c r="T25" i="41"/>
  <c r="J529" i="43"/>
  <c r="K529" i="43" s="1"/>
  <c r="J629" i="43"/>
  <c r="K629" i="43" s="1"/>
  <c r="J654" i="43"/>
  <c r="K654" i="43" s="1"/>
  <c r="J276" i="43"/>
  <c r="K276" i="43" s="1"/>
  <c r="J537" i="43"/>
  <c r="K537" i="43" s="1"/>
  <c r="J554" i="43"/>
  <c r="K554" i="43" s="1"/>
  <c r="J413" i="43"/>
  <c r="K413" i="43" s="1"/>
  <c r="J615" i="43"/>
  <c r="K615" i="43" s="1"/>
  <c r="J368" i="43"/>
  <c r="K368" i="43" s="1"/>
  <c r="J591" i="43"/>
  <c r="K591" i="43" s="1"/>
  <c r="J525" i="43"/>
  <c r="K525" i="43" s="1"/>
  <c r="J586" i="43"/>
  <c r="J279" i="43"/>
  <c r="K279" i="43" s="1"/>
  <c r="J392" i="43"/>
  <c r="K392" i="43" s="1"/>
  <c r="J481" i="43"/>
  <c r="K481" i="43" s="1"/>
  <c r="J594" i="43"/>
  <c r="K594" i="43" s="1"/>
  <c r="J526" i="43"/>
  <c r="K526" i="43" s="1"/>
  <c r="J489" i="43"/>
  <c r="K489" i="43" s="1"/>
  <c r="J544" i="43"/>
  <c r="K544" i="43" s="1"/>
  <c r="J447" i="43"/>
  <c r="K447" i="43" s="1"/>
  <c r="J562" i="43"/>
  <c r="K562" i="43" s="1"/>
  <c r="J605" i="43"/>
  <c r="K605" i="43" s="1"/>
  <c r="J418" i="43"/>
  <c r="K418" i="43" s="1"/>
  <c r="J574" i="43"/>
  <c r="K574" i="43" s="1"/>
  <c r="J638" i="43"/>
  <c r="K638" i="43" s="1"/>
  <c r="J521" i="43"/>
  <c r="K521" i="43" s="1"/>
  <c r="J619" i="43"/>
  <c r="K619" i="43" s="1"/>
  <c r="J240" i="43"/>
  <c r="K240" i="43" s="1"/>
  <c r="J622" i="43"/>
  <c r="K622" i="43" s="1"/>
  <c r="J530" i="43"/>
  <c r="K530" i="43" s="1"/>
  <c r="J518" i="43"/>
  <c r="K518" i="43" s="1"/>
  <c r="J244" i="43"/>
  <c r="K244" i="43" s="1"/>
  <c r="J614" i="43"/>
  <c r="K614" i="43" s="1"/>
  <c r="J644" i="43"/>
  <c r="K644" i="43" s="1"/>
  <c r="J642" i="43"/>
  <c r="K642" i="43" s="1"/>
  <c r="J625" i="43"/>
  <c r="K625" i="43" s="1"/>
  <c r="J225" i="43"/>
  <c r="K225" i="43" s="1"/>
  <c r="J214" i="43"/>
  <c r="K214" i="43" s="1"/>
  <c r="J474" i="43"/>
  <c r="K474" i="43" s="1"/>
  <c r="J653" i="43"/>
  <c r="J431" i="43"/>
  <c r="K431" i="43" s="1"/>
  <c r="J254" i="43"/>
  <c r="K254" i="43" s="1"/>
  <c r="J556" i="43"/>
  <c r="K556" i="43" s="1"/>
  <c r="J364" i="43"/>
  <c r="K364" i="43" s="1"/>
  <c r="J569" i="43"/>
  <c r="K569" i="43" s="1"/>
  <c r="J376" i="43"/>
  <c r="K376" i="43" s="1"/>
  <c r="J446" i="43"/>
  <c r="K446" i="43" s="1"/>
  <c r="J221" i="43"/>
  <c r="K221" i="43" s="1"/>
  <c r="J261" i="43"/>
  <c r="J597" i="43"/>
  <c r="K597" i="43" s="1"/>
  <c r="J272" i="43"/>
  <c r="K272" i="43" s="1"/>
  <c r="J213" i="43"/>
  <c r="K213" i="43" s="1"/>
  <c r="J238" i="43"/>
  <c r="K238" i="43" s="1"/>
  <c r="J656" i="43"/>
  <c r="K656" i="43" s="1"/>
  <c r="J596" i="43"/>
  <c r="K596" i="43" s="1"/>
  <c r="J444" i="43"/>
  <c r="K444" i="43" s="1"/>
  <c r="J645" i="43"/>
  <c r="K645" i="43" s="1"/>
  <c r="J262" i="43"/>
  <c r="K262" i="43" s="1"/>
  <c r="J280" i="43"/>
  <c r="K280" i="43" s="1"/>
  <c r="J424" i="43"/>
  <c r="K424" i="43" s="1"/>
  <c r="J396" i="43"/>
  <c r="K396" i="43" s="1"/>
  <c r="J401" i="43"/>
  <c r="K401" i="43" s="1"/>
  <c r="J437" i="43"/>
  <c r="K437" i="43" s="1"/>
  <c r="J648" i="43"/>
  <c r="K648" i="43" s="1"/>
  <c r="J550" i="43"/>
  <c r="K550" i="43" s="1"/>
  <c r="J400" i="43"/>
  <c r="K400" i="43" s="1"/>
  <c r="J598" i="43"/>
  <c r="K598" i="43" s="1"/>
  <c r="J422" i="43"/>
  <c r="K422" i="43" s="1"/>
  <c r="J436" i="43"/>
  <c r="J472" i="43"/>
  <c r="K472" i="43" s="1"/>
  <c r="J587" i="43"/>
  <c r="K587" i="43" s="1"/>
  <c r="J454" i="43"/>
  <c r="K454" i="43" s="1"/>
  <c r="J517" i="43"/>
  <c r="K517" i="43" s="1"/>
  <c r="J370" i="43"/>
  <c r="K370" i="43" s="1"/>
  <c r="J393" i="43"/>
  <c r="K393" i="43" s="1"/>
  <c r="J616" i="43"/>
  <c r="K616" i="43" s="1"/>
  <c r="J565" i="43"/>
  <c r="K565" i="43" s="1"/>
  <c r="J623" i="43"/>
  <c r="K623" i="43" s="1"/>
  <c r="J255" i="43"/>
  <c r="K255" i="43" s="1"/>
  <c r="J493" i="43"/>
  <c r="K493" i="43" s="1"/>
  <c r="J380" i="43"/>
  <c r="K380" i="43" s="1"/>
  <c r="J531" i="43"/>
  <c r="K531" i="43" s="1"/>
  <c r="J448" i="43"/>
  <c r="K448" i="43" s="1"/>
  <c r="J449" i="43"/>
  <c r="K449" i="43" s="1"/>
  <c r="J267" i="43"/>
  <c r="K267" i="43" s="1"/>
  <c r="J516" i="43"/>
  <c r="K516" i="43" s="1"/>
  <c r="J361" i="43"/>
  <c r="K361" i="43" s="1"/>
  <c r="J593" i="43"/>
  <c r="K593" i="43" s="1"/>
  <c r="J651" i="43"/>
  <c r="K651" i="43" s="1"/>
  <c r="J621" i="43"/>
  <c r="K621" i="43" s="1"/>
  <c r="J542" i="43"/>
  <c r="K542" i="43" s="1"/>
  <c r="J640" i="43"/>
  <c r="K640" i="43" s="1"/>
  <c r="J372" i="43"/>
  <c r="K372" i="43" s="1"/>
  <c r="J371" i="43"/>
  <c r="K371" i="43" s="1"/>
  <c r="J394" i="43"/>
  <c r="K394" i="43" s="1"/>
  <c r="J491" i="43"/>
  <c r="K491" i="43" s="1"/>
  <c r="J547" i="43"/>
  <c r="K547" i="43" s="1"/>
  <c r="J600" i="43"/>
  <c r="K600" i="43" s="1"/>
  <c r="J564" i="43"/>
  <c r="K564" i="43" s="1"/>
  <c r="J511" i="43"/>
  <c r="J223" i="43"/>
  <c r="K223" i="43" s="1"/>
  <c r="J373" i="43"/>
  <c r="K373" i="43" s="1"/>
  <c r="J451" i="43"/>
  <c r="K451" i="43" s="1"/>
  <c r="J639" i="43"/>
  <c r="K639" i="43" s="1"/>
  <c r="J514" i="43"/>
  <c r="K514" i="43" s="1"/>
  <c r="J512" i="43"/>
  <c r="K512" i="43" s="1"/>
  <c r="J590" i="43"/>
  <c r="K590" i="43" s="1"/>
  <c r="J506" i="43"/>
  <c r="K506" i="43" s="1"/>
  <c r="J520" i="43"/>
  <c r="K520" i="43" s="1"/>
  <c r="J618" i="43"/>
  <c r="K618" i="43" s="1"/>
  <c r="J365" i="43"/>
  <c r="K365" i="43" s="1"/>
  <c r="J647" i="43"/>
  <c r="K647" i="43" s="1"/>
  <c r="J463" i="43"/>
  <c r="K463" i="43" s="1"/>
  <c r="J228" i="43"/>
  <c r="J655" i="43"/>
  <c r="K655" i="43" s="1"/>
  <c r="J241" i="43"/>
  <c r="K241" i="43" s="1"/>
  <c r="J231" i="43"/>
  <c r="K231" i="43" s="1"/>
  <c r="J274" i="43"/>
  <c r="K274" i="43" s="1"/>
  <c r="J519" i="43"/>
  <c r="K519" i="43" s="1"/>
  <c r="J626" i="43"/>
  <c r="K626" i="43" s="1"/>
  <c r="J406" i="43"/>
  <c r="K406" i="43" s="1"/>
  <c r="J650" i="43"/>
  <c r="K650" i="43" s="1"/>
  <c r="J571" i="43"/>
  <c r="K571" i="43" s="1"/>
  <c r="J469" i="43"/>
  <c r="K469" i="43" s="1"/>
  <c r="J539" i="43"/>
  <c r="K539" i="43" s="1"/>
  <c r="J495" i="43"/>
  <c r="K495" i="43" s="1"/>
  <c r="J636" i="43"/>
  <c r="J461" i="43"/>
  <c r="K461" i="43" s="1"/>
  <c r="J606" i="43"/>
  <c r="K606" i="43" s="1"/>
  <c r="J367" i="43"/>
  <c r="K367" i="43" s="1"/>
  <c r="J536" i="43"/>
  <c r="J545" i="43"/>
  <c r="K545" i="43" s="1"/>
  <c r="J643" i="43"/>
  <c r="K643" i="43" s="1"/>
  <c r="J464" i="43"/>
  <c r="K464" i="43" s="1"/>
  <c r="J649" i="43"/>
  <c r="K649" i="43" s="1"/>
  <c r="J628" i="43"/>
  <c r="J456" i="43"/>
  <c r="K456" i="43" s="1"/>
  <c r="J455" i="43"/>
  <c r="K455" i="43" s="1"/>
  <c r="J578" i="43"/>
  <c r="J496" i="43"/>
  <c r="K496" i="43" s="1"/>
  <c r="J541" i="43"/>
  <c r="K541" i="43" s="1"/>
  <c r="J222" i="43"/>
  <c r="K222" i="43" s="1"/>
  <c r="J592" i="43"/>
  <c r="K592" i="43" s="1"/>
  <c r="J631" i="43"/>
  <c r="K631" i="43" s="1"/>
  <c r="J397" i="43"/>
  <c r="K397" i="43" s="1"/>
  <c r="J581" i="43"/>
  <c r="K581" i="43" s="1"/>
  <c r="J211" i="43"/>
  <c r="K211" i="43" s="1"/>
  <c r="J546" i="43"/>
  <c r="K546" i="43" s="1"/>
  <c r="J387" i="43"/>
  <c r="K387" i="43" s="1"/>
  <c r="J239" i="43"/>
  <c r="K239" i="43" s="1"/>
  <c r="J548" i="43"/>
  <c r="K548" i="43" s="1"/>
  <c r="J599" i="43"/>
  <c r="K599" i="43" s="1"/>
  <c r="J601" i="43"/>
  <c r="K601" i="43" s="1"/>
  <c r="J603" i="43"/>
  <c r="J617" i="43"/>
  <c r="K617" i="43" s="1"/>
  <c r="J646" i="43"/>
  <c r="K646" i="43" s="1"/>
  <c r="J453" i="43"/>
  <c r="J390" i="43"/>
  <c r="K390" i="43" s="1"/>
  <c r="J624" i="43"/>
  <c r="K624" i="43" s="1"/>
  <c r="J247" i="43"/>
  <c r="K247" i="43" s="1"/>
  <c r="J419" i="43"/>
  <c r="K419" i="43" s="1"/>
  <c r="J443" i="43"/>
  <c r="K443" i="43" s="1"/>
  <c r="J549" i="43"/>
  <c r="K549" i="43" s="1"/>
  <c r="J467" i="43"/>
  <c r="K467" i="43" s="1"/>
  <c r="J475" i="43"/>
  <c r="K475" i="43" s="1"/>
  <c r="J588" i="43"/>
  <c r="K588" i="43" s="1"/>
  <c r="J275" i="43"/>
  <c r="K275" i="43" s="1"/>
  <c r="J505" i="43"/>
  <c r="K505" i="43" s="1"/>
  <c r="J513" i="43"/>
  <c r="K513" i="43" s="1"/>
  <c r="J379" i="43"/>
  <c r="K379" i="43" s="1"/>
  <c r="J555" i="43"/>
  <c r="K555" i="43" s="1"/>
  <c r="J497" i="43"/>
  <c r="K497" i="43" s="1"/>
  <c r="J363" i="43"/>
  <c r="K363" i="43" s="1"/>
  <c r="J381" i="43"/>
  <c r="K381" i="43" s="1"/>
  <c r="J268" i="43"/>
  <c r="K268" i="43" s="1"/>
  <c r="J217" i="43"/>
  <c r="K217" i="43" s="1"/>
  <c r="J572" i="43"/>
  <c r="K572" i="43" s="1"/>
  <c r="J411" i="43"/>
  <c r="K411" i="43" s="1"/>
  <c r="J391" i="43"/>
  <c r="K391" i="43" s="1"/>
  <c r="J570" i="43"/>
  <c r="K570" i="43" s="1"/>
  <c r="J273" i="43"/>
  <c r="K273" i="43" s="1"/>
  <c r="J263" i="43"/>
  <c r="K263" i="43" s="1"/>
  <c r="J421" i="43"/>
  <c r="K421" i="43" s="1"/>
  <c r="J429" i="43"/>
  <c r="K429" i="43" s="1"/>
  <c r="J487" i="43"/>
  <c r="K487" i="43" s="1"/>
  <c r="J595" i="43"/>
  <c r="K595" i="43" s="1"/>
  <c r="J500" i="43"/>
  <c r="K500" i="43" s="1"/>
  <c r="J613" i="43"/>
  <c r="K613" i="43" s="1"/>
  <c r="J264" i="43"/>
  <c r="K264" i="43" s="1"/>
  <c r="J439" i="43"/>
  <c r="K439" i="43" s="1"/>
  <c r="J224" i="43"/>
  <c r="K224" i="43" s="1"/>
  <c r="J403" i="43"/>
  <c r="J538" i="43"/>
  <c r="K538" i="43" s="1"/>
  <c r="J589" i="43"/>
  <c r="K589" i="43" s="1"/>
  <c r="J386" i="43"/>
  <c r="K386" i="43" s="1"/>
  <c r="J612" i="43"/>
  <c r="K612" i="43" s="1"/>
  <c r="J426" i="43"/>
  <c r="K426" i="43" s="1"/>
  <c r="J229" i="43"/>
  <c r="K229" i="43" s="1"/>
  <c r="J604" i="43"/>
  <c r="K604" i="43" s="1"/>
  <c r="J395" i="43"/>
  <c r="K395" i="43" s="1"/>
  <c r="J250" i="43"/>
  <c r="K250" i="43" s="1"/>
  <c r="J498" i="43"/>
  <c r="K498" i="43" s="1"/>
  <c r="J430" i="43"/>
  <c r="K430" i="43" s="1"/>
  <c r="J438" i="43"/>
  <c r="K438" i="43" s="1"/>
  <c r="J251" i="43"/>
  <c r="K251" i="43" s="1"/>
  <c r="J281" i="43"/>
  <c r="K281" i="43" s="1"/>
  <c r="J375" i="43"/>
  <c r="K375" i="43" s="1"/>
  <c r="J522" i="43"/>
  <c r="K522" i="43" s="1"/>
  <c r="J620" i="43"/>
  <c r="K620" i="43" s="1"/>
  <c r="J637" i="43"/>
  <c r="K637" i="43" s="1"/>
  <c r="J242" i="43"/>
  <c r="K242" i="43" s="1"/>
  <c r="J243" i="43"/>
  <c r="K243" i="43" s="1"/>
  <c r="J490" i="43"/>
  <c r="K490" i="43" s="1"/>
  <c r="J551" i="43"/>
  <c r="K551" i="43" s="1"/>
  <c r="J389" i="43"/>
  <c r="K389" i="43" s="1"/>
  <c r="J473" i="43"/>
  <c r="K473" i="43" s="1"/>
  <c r="J528" i="43"/>
  <c r="J611" i="43"/>
  <c r="J445" i="43"/>
  <c r="K445" i="43" s="1"/>
  <c r="J466" i="43"/>
  <c r="K466" i="43" s="1"/>
  <c r="J399" i="43"/>
  <c r="K399" i="43" s="1"/>
  <c r="J553" i="43"/>
  <c r="J378" i="43"/>
  <c r="J465" i="43"/>
  <c r="K465" i="43" s="1"/>
  <c r="J450" i="43"/>
  <c r="K450" i="43" s="1"/>
  <c r="J425" i="43"/>
  <c r="K425" i="43" s="1"/>
  <c r="J246" i="43"/>
  <c r="K246" i="43" s="1"/>
  <c r="J398" i="43"/>
  <c r="K398" i="43" s="1"/>
  <c r="J471" i="43"/>
  <c r="K471" i="43" s="1"/>
  <c r="J215" i="43"/>
  <c r="K215" i="43" s="1"/>
  <c r="J641" i="43"/>
  <c r="K641" i="43" s="1"/>
  <c r="J216" i="43"/>
  <c r="K216" i="43" s="1"/>
  <c r="J494" i="43"/>
  <c r="K494" i="43" s="1"/>
  <c r="J543" i="43"/>
  <c r="K543" i="43" s="1"/>
  <c r="J492" i="43"/>
  <c r="K492" i="43" s="1"/>
  <c r="J503" i="43"/>
  <c r="J573" i="43"/>
  <c r="K573" i="43" s="1"/>
  <c r="J524" i="43"/>
  <c r="K524" i="43" s="1"/>
  <c r="J488" i="43"/>
  <c r="K488" i="43" s="1"/>
  <c r="J269" i="43"/>
  <c r="K269" i="43" s="1"/>
  <c r="J405" i="43"/>
  <c r="K405" i="43" s="1"/>
  <c r="J470" i="43"/>
  <c r="K470" i="43" s="1"/>
  <c r="J420" i="43"/>
  <c r="K420" i="43" s="1"/>
  <c r="J440" i="43"/>
  <c r="K440" i="43" s="1"/>
  <c r="J567" i="43"/>
  <c r="K567" i="43" s="1"/>
  <c r="J366" i="43"/>
  <c r="K366" i="43" s="1"/>
  <c r="J442" i="43"/>
  <c r="K442" i="43" s="1"/>
  <c r="J278" i="43"/>
  <c r="J412" i="43"/>
  <c r="K412" i="43" s="1"/>
  <c r="J630" i="43"/>
  <c r="K630" i="43" s="1"/>
  <c r="J515" i="43"/>
  <c r="K515" i="43" s="1"/>
  <c r="J468" i="43"/>
  <c r="K468" i="43" s="1"/>
  <c r="J423" i="43"/>
  <c r="K423" i="43" s="1"/>
  <c r="J478" i="43"/>
  <c r="J416" i="43"/>
  <c r="K416" i="43" s="1"/>
  <c r="J415" i="43"/>
  <c r="K415" i="43" s="1"/>
  <c r="J369" i="43"/>
  <c r="K369" i="43" s="1"/>
  <c r="J248" i="43"/>
  <c r="K248" i="43" s="1"/>
  <c r="J236" i="43"/>
  <c r="J388" i="43"/>
  <c r="K388" i="43" s="1"/>
  <c r="J563" i="43"/>
  <c r="K563" i="43" s="1"/>
  <c r="J480" i="43"/>
  <c r="K480" i="43" s="1"/>
  <c r="J486" i="43"/>
  <c r="K486" i="43" s="1"/>
  <c r="J417" i="43"/>
  <c r="K417" i="43" s="1"/>
  <c r="J374" i="43"/>
  <c r="K374" i="43" s="1"/>
  <c r="J568" i="43"/>
  <c r="K568" i="43" s="1"/>
  <c r="J575" i="43"/>
  <c r="K575" i="43" s="1"/>
  <c r="J249" i="43"/>
  <c r="K249" i="43" s="1"/>
  <c r="J576" i="43"/>
  <c r="K576" i="43" s="1"/>
  <c r="J218" i="43"/>
  <c r="K218" i="43" s="1"/>
  <c r="J441" i="43"/>
  <c r="K441" i="43" s="1"/>
  <c r="J212" i="43"/>
  <c r="K212" i="43" s="1"/>
  <c r="J266" i="43"/>
  <c r="K266" i="43" s="1"/>
  <c r="J270" i="43"/>
  <c r="K270" i="43" s="1"/>
  <c r="J271" i="43"/>
  <c r="K271" i="43" s="1"/>
  <c r="J362" i="43"/>
  <c r="K362" i="43" s="1"/>
  <c r="J501" i="43"/>
  <c r="K501" i="43" s="1"/>
  <c r="J561" i="43"/>
  <c r="J580" i="43"/>
  <c r="K580" i="43" s="1"/>
  <c r="J230" i="43"/>
  <c r="K230" i="43" s="1"/>
  <c r="J566" i="43"/>
  <c r="K566" i="43" s="1"/>
  <c r="J226" i="43"/>
  <c r="K226" i="43" s="1"/>
  <c r="J253" i="43"/>
  <c r="J237" i="43"/>
  <c r="K237" i="43" s="1"/>
  <c r="J414" i="43"/>
  <c r="K414" i="43" s="1"/>
  <c r="J499" i="43"/>
  <c r="K499" i="43" s="1"/>
  <c r="J219" i="43"/>
  <c r="K219" i="43" s="1"/>
  <c r="J428" i="43"/>
  <c r="J404" i="43"/>
  <c r="K404" i="43" s="1"/>
  <c r="J540" i="43"/>
  <c r="K540" i="43" s="1"/>
  <c r="J462" i="43"/>
  <c r="K462" i="43" s="1"/>
  <c r="J476" i="43"/>
  <c r="K476" i="43" s="1"/>
  <c r="J479" i="43"/>
  <c r="K479" i="43" s="1"/>
  <c r="J245" i="43"/>
  <c r="K245" i="43" s="1"/>
  <c r="J256" i="43"/>
  <c r="K256" i="43" s="1"/>
  <c r="J579" i="43"/>
  <c r="K579" i="43" s="1"/>
  <c r="J220" i="43"/>
  <c r="K220" i="43" s="1"/>
  <c r="J504" i="43"/>
  <c r="K504" i="43" s="1"/>
  <c r="J523" i="43"/>
  <c r="K523" i="43" s="1"/>
  <c r="J265" i="43"/>
  <c r="K265" i="43" s="1"/>
  <c r="J201" i="43"/>
  <c r="K201" i="43" s="1"/>
  <c r="J192" i="43"/>
  <c r="K192" i="43" s="1"/>
  <c r="J187" i="43"/>
  <c r="K187" i="43" s="1"/>
  <c r="J206" i="43"/>
  <c r="K206" i="43" s="1"/>
  <c r="J188" i="43"/>
  <c r="K188" i="43" s="1"/>
  <c r="J195" i="43"/>
  <c r="K195" i="43" s="1"/>
  <c r="J196" i="43"/>
  <c r="K196" i="43" s="1"/>
  <c r="J204" i="43"/>
  <c r="K204" i="43" s="1"/>
  <c r="J181" i="43"/>
  <c r="J161" i="43"/>
  <c r="J191" i="43"/>
  <c r="K191" i="43" s="1"/>
  <c r="J197" i="43"/>
  <c r="K197" i="43" s="1"/>
  <c r="J203" i="43"/>
  <c r="J198" i="43"/>
  <c r="K198" i="43" s="1"/>
  <c r="J200" i="43"/>
  <c r="K200" i="43" s="1"/>
  <c r="J205" i="43"/>
  <c r="K205" i="43" s="1"/>
  <c r="J189" i="43"/>
  <c r="K189" i="43" s="1"/>
  <c r="J193" i="43"/>
  <c r="K193" i="43" s="1"/>
  <c r="J199" i="43"/>
  <c r="K199" i="43" s="1"/>
  <c r="J190" i="43"/>
  <c r="K190" i="43" s="1"/>
  <c r="J194" i="43"/>
  <c r="K194" i="43" s="1"/>
  <c r="J186" i="43"/>
  <c r="D45" i="43"/>
  <c r="G45" i="43" s="1"/>
  <c r="D70" i="43"/>
  <c r="G70" i="43" s="1"/>
  <c r="D50" i="43"/>
  <c r="G50" i="43" s="1"/>
  <c r="D75" i="43"/>
  <c r="G75" i="43" s="1"/>
  <c r="D11" i="43"/>
  <c r="F11" i="43" s="1"/>
  <c r="I11" i="43" s="1"/>
  <c r="D20" i="43"/>
  <c r="G20" i="43" s="1"/>
  <c r="F24" i="51"/>
  <c r="C138" i="51"/>
  <c r="C133" i="51"/>
  <c r="C131" i="51"/>
  <c r="C134" i="51"/>
  <c r="C139" i="51"/>
  <c r="C137" i="51"/>
  <c r="C136" i="51"/>
  <c r="C132" i="51"/>
  <c r="C140" i="51"/>
  <c r="C135" i="51"/>
  <c r="D61" i="55" a="1"/>
  <c r="D61" i="55" s="1"/>
  <c r="C33" i="61"/>
  <c r="M10" i="51"/>
  <c r="D10" i="51"/>
  <c r="F61" i="43"/>
  <c r="C141" i="51"/>
  <c r="C142" i="51"/>
  <c r="C143" i="51"/>
  <c r="C144" i="51"/>
  <c r="I31" i="43"/>
  <c r="D52" i="43"/>
  <c r="F78" i="43"/>
  <c r="D77" i="43"/>
  <c r="G80" i="43"/>
  <c r="F80" i="43"/>
  <c r="I80" i="43" s="1"/>
  <c r="F79" i="43"/>
  <c r="I79" i="43" s="1"/>
  <c r="G79" i="43"/>
  <c r="F81" i="43"/>
  <c r="I81" i="43" s="1"/>
  <c r="G81" i="43"/>
  <c r="F54" i="43"/>
  <c r="I54" i="43" s="1"/>
  <c r="G54" i="43"/>
  <c r="F56" i="43"/>
  <c r="I56" i="43" s="1"/>
  <c r="G56" i="43"/>
  <c r="F55" i="43"/>
  <c r="I55" i="43" s="1"/>
  <c r="G55" i="43"/>
  <c r="G25" i="43"/>
  <c r="G53" i="43"/>
  <c r="F53" i="43"/>
  <c r="F38" i="43"/>
  <c r="I38" i="43" s="1"/>
  <c r="G38" i="43"/>
  <c r="G36" i="43"/>
  <c r="F36" i="43"/>
  <c r="G61" i="43"/>
  <c r="G78" i="43"/>
  <c r="I140" i="57" l="1"/>
  <c r="I13" i="41" s="1"/>
  <c r="I452" i="57"/>
  <c r="I88" i="57"/>
  <c r="G13" i="41" s="1"/>
  <c r="I530" i="57"/>
  <c r="I556" i="57"/>
  <c r="I296" i="57"/>
  <c r="O13" i="41" s="1"/>
  <c r="I114" i="57"/>
  <c r="H13" i="41" s="1"/>
  <c r="I426" i="57"/>
  <c r="I374" i="57"/>
  <c r="I62" i="57"/>
  <c r="F13" i="41" s="1"/>
  <c r="I322" i="57"/>
  <c r="P13" i="41" s="1"/>
  <c r="I36" i="57"/>
  <c r="E13" i="41" s="1"/>
  <c r="I348" i="57"/>
  <c r="Q13" i="41" s="1"/>
  <c r="I10" i="57"/>
  <c r="D13" i="41" s="1"/>
  <c r="I660" i="57"/>
  <c r="I400" i="57"/>
  <c r="I582" i="57"/>
  <c r="I634" i="57"/>
  <c r="L11" i="62"/>
  <c r="I608" i="57"/>
  <c r="L13" i="62"/>
  <c r="L14" i="62"/>
  <c r="I504" i="57"/>
  <c r="I478" i="57"/>
  <c r="L12" i="62"/>
  <c r="V27" i="41"/>
  <c r="Y23" i="50"/>
  <c r="Z27" i="41"/>
  <c r="AD23" i="50"/>
  <c r="Y27" i="41"/>
  <c r="AC23" i="50"/>
  <c r="S27" i="41"/>
  <c r="V23" i="50"/>
  <c r="U27" i="41"/>
  <c r="X23" i="50"/>
  <c r="X27" i="41"/>
  <c r="AA23" i="50"/>
  <c r="AA27" i="41"/>
  <c r="AE23" i="50"/>
  <c r="T27" i="41"/>
  <c r="W23" i="50"/>
  <c r="W27" i="41"/>
  <c r="Z23" i="50"/>
  <c r="AB27" i="41"/>
  <c r="AF23" i="50"/>
  <c r="AC27" i="41"/>
  <c r="AG23" i="50"/>
  <c r="R27" i="41"/>
  <c r="U23" i="50"/>
  <c r="N27" i="41"/>
  <c r="M27" i="41"/>
  <c r="L27" i="41"/>
  <c r="K27" i="41"/>
  <c r="K561" i="43"/>
  <c r="J477" i="43"/>
  <c r="J460" i="43" s="1"/>
  <c r="K478" i="43"/>
  <c r="K477" i="43" s="1"/>
  <c r="K460" i="43" s="1"/>
  <c r="K586" i="43"/>
  <c r="K578" i="43"/>
  <c r="K577" i="43" s="1"/>
  <c r="J577" i="43"/>
  <c r="J560" i="43" s="1"/>
  <c r="J277" i="43"/>
  <c r="K278" i="43"/>
  <c r="K277" i="43" s="1"/>
  <c r="J602" i="43"/>
  <c r="J585" i="43" s="1"/>
  <c r="K603" i="43"/>
  <c r="K602" i="43" s="1"/>
  <c r="K536" i="43"/>
  <c r="K611" i="43"/>
  <c r="J252" i="43"/>
  <c r="J235" i="43" s="1"/>
  <c r="K253" i="43"/>
  <c r="K252" i="43" s="1"/>
  <c r="J527" i="43"/>
  <c r="J510" i="43" s="1"/>
  <c r="K528" i="43"/>
  <c r="K527" i="43" s="1"/>
  <c r="J652" i="43"/>
  <c r="J635" i="43" s="1"/>
  <c r="K653" i="43"/>
  <c r="K652" i="43" s="1"/>
  <c r="K236" i="43"/>
  <c r="K636" i="43"/>
  <c r="J502" i="43"/>
  <c r="J485" i="43" s="1"/>
  <c r="K503" i="43"/>
  <c r="K502" i="43" s="1"/>
  <c r="K485" i="43" s="1"/>
  <c r="K403" i="43"/>
  <c r="K402" i="43" s="1"/>
  <c r="K385" i="43" s="1"/>
  <c r="J402" i="43"/>
  <c r="J385" i="43" s="1"/>
  <c r="K186" i="43"/>
  <c r="K511" i="43"/>
  <c r="J202" i="43"/>
  <c r="J185" i="43" s="1"/>
  <c r="K203" i="43"/>
  <c r="K202" i="43" s="1"/>
  <c r="J260" i="43"/>
  <c r="K261" i="43"/>
  <c r="K260" i="43" s="1"/>
  <c r="J627" i="43"/>
  <c r="J610" i="43" s="1"/>
  <c r="K628" i="43"/>
  <c r="K627" i="43" s="1"/>
  <c r="K228" i="43"/>
  <c r="K227" i="43" s="1"/>
  <c r="K210" i="43" s="1"/>
  <c r="J227" i="43"/>
  <c r="J210" i="43" s="1"/>
  <c r="J377" i="43"/>
  <c r="J360" i="43" s="1"/>
  <c r="K378" i="43"/>
  <c r="K377" i="43" s="1"/>
  <c r="K360" i="43" s="1"/>
  <c r="J452" i="43"/>
  <c r="J435" i="43" s="1"/>
  <c r="K453" i="43"/>
  <c r="K452" i="43" s="1"/>
  <c r="K436" i="43"/>
  <c r="K435" i="43" s="1"/>
  <c r="J427" i="43"/>
  <c r="J410" i="43" s="1"/>
  <c r="K428" i="43"/>
  <c r="K427" i="43" s="1"/>
  <c r="K410" i="43" s="1"/>
  <c r="J552" i="43"/>
  <c r="J535" i="43" s="1"/>
  <c r="K553" i="43"/>
  <c r="K552" i="43" s="1"/>
  <c r="F45" i="43"/>
  <c r="I45" i="43" s="1"/>
  <c r="F70" i="43"/>
  <c r="I70" i="43" s="1"/>
  <c r="F75" i="43"/>
  <c r="I75" i="43" s="1"/>
  <c r="F50" i="43"/>
  <c r="I50" i="43" s="1"/>
  <c r="F20" i="43"/>
  <c r="I20" i="43" s="1"/>
  <c r="G11" i="43"/>
  <c r="J11" i="43" s="1"/>
  <c r="K11" i="43" s="1"/>
  <c r="H26" i="51"/>
  <c r="C108" i="51"/>
  <c r="B78" i="46" s="1"/>
  <c r="N10" i="51"/>
  <c r="E10" i="51"/>
  <c r="J38" i="43"/>
  <c r="K38" i="43" s="1"/>
  <c r="J70" i="43"/>
  <c r="J81" i="43"/>
  <c r="K81" i="43" s="1"/>
  <c r="J45" i="43"/>
  <c r="J31" i="43"/>
  <c r="K31" i="43" s="1"/>
  <c r="J20" i="43"/>
  <c r="J55" i="43"/>
  <c r="K55" i="43" s="1"/>
  <c r="J79" i="43"/>
  <c r="K79" i="43" s="1"/>
  <c r="J56" i="43"/>
  <c r="K56" i="43" s="1"/>
  <c r="J80" i="43"/>
  <c r="K80" i="43" s="1"/>
  <c r="J75" i="43"/>
  <c r="J50" i="43"/>
  <c r="J54" i="43"/>
  <c r="K54" i="43" s="1"/>
  <c r="J25" i="43"/>
  <c r="I36" i="43"/>
  <c r="I61" i="43"/>
  <c r="J61" i="43"/>
  <c r="J36" i="43"/>
  <c r="J78" i="43"/>
  <c r="G77" i="43"/>
  <c r="I78" i="43"/>
  <c r="I77" i="43" s="1"/>
  <c r="F77" i="43"/>
  <c r="J53" i="43"/>
  <c r="G52" i="43"/>
  <c r="I53" i="43"/>
  <c r="I52" i="43" s="1"/>
  <c r="F52" i="43"/>
  <c r="D27" i="43"/>
  <c r="J29" i="43"/>
  <c r="I29" i="43"/>
  <c r="I30" i="43"/>
  <c r="J30" i="43"/>
  <c r="F25" i="43"/>
  <c r="I25" i="43" s="1"/>
  <c r="Y13" i="41" l="1"/>
  <c r="Y16" i="41" s="1"/>
  <c r="O556" i="57"/>
  <c r="R13" i="41"/>
  <c r="R16" i="41" s="1"/>
  <c r="O374" i="57"/>
  <c r="T13" i="41"/>
  <c r="T16" i="41" s="1"/>
  <c r="O426" i="57"/>
  <c r="L18" i="62"/>
  <c r="I244" i="57" s="1"/>
  <c r="L19" i="62"/>
  <c r="I270" i="57" s="1"/>
  <c r="Z13" i="41"/>
  <c r="Z16" i="41" s="1"/>
  <c r="O582" i="57"/>
  <c r="AC13" i="41"/>
  <c r="AC16" i="41" s="1"/>
  <c r="O660" i="57"/>
  <c r="X13" i="41"/>
  <c r="X16" i="41" s="1"/>
  <c r="O530" i="57"/>
  <c r="L17" i="62"/>
  <c r="I218" i="57" s="1"/>
  <c r="L16" i="62"/>
  <c r="I192" i="57" s="1"/>
  <c r="L15" i="62"/>
  <c r="I166" i="57" s="1"/>
  <c r="J13" i="41" s="1"/>
  <c r="V13" i="41"/>
  <c r="V16" i="41" s="1"/>
  <c r="O478" i="57"/>
  <c r="U13" i="41"/>
  <c r="U16" i="41" s="1"/>
  <c r="O452" i="57"/>
  <c r="AA13" i="41"/>
  <c r="AA16" i="41" s="1"/>
  <c r="O608" i="57"/>
  <c r="AB13" i="41"/>
  <c r="AB16" i="41" s="1"/>
  <c r="O634" i="57"/>
  <c r="S13" i="41"/>
  <c r="S16" i="41" s="1"/>
  <c r="O400" i="57"/>
  <c r="W13" i="41"/>
  <c r="W16" i="41" s="1"/>
  <c r="O504" i="57"/>
  <c r="K535" i="43"/>
  <c r="K635" i="43"/>
  <c r="K585" i="43"/>
  <c r="K235" i="43"/>
  <c r="K610" i="43"/>
  <c r="K510" i="43"/>
  <c r="K185" i="43"/>
  <c r="K560" i="43"/>
  <c r="K45" i="43"/>
  <c r="K70" i="43"/>
  <c r="K50" i="43"/>
  <c r="K75" i="43"/>
  <c r="K20" i="43"/>
  <c r="K25" i="43"/>
  <c r="J52" i="43"/>
  <c r="K61" i="43"/>
  <c r="K36" i="43"/>
  <c r="K29" i="43"/>
  <c r="K78" i="43"/>
  <c r="K77" i="43" s="1"/>
  <c r="J77" i="43"/>
  <c r="F27" i="43"/>
  <c r="K53" i="43"/>
  <c r="K52" i="43" s="1"/>
  <c r="G27" i="43"/>
  <c r="I28" i="43"/>
  <c r="I27" i="43" s="1"/>
  <c r="J28" i="43"/>
  <c r="J27" i="43" s="1"/>
  <c r="K30" i="43"/>
  <c r="C88" i="57"/>
  <c r="L88" i="57" s="1"/>
  <c r="G14" i="41" s="1"/>
  <c r="C39" i="47"/>
  <c r="I11" i="47"/>
  <c r="I89" i="47"/>
  <c r="C85" i="43"/>
  <c r="I137" i="47"/>
  <c r="G12" i="40"/>
  <c r="G17" i="50"/>
  <c r="G10" i="41"/>
  <c r="U22" i="50" l="1"/>
  <c r="U21" i="50" s="1"/>
  <c r="U19" i="50" s="1"/>
  <c r="R18" i="41"/>
  <c r="W18" i="41"/>
  <c r="Z22" i="50"/>
  <c r="Z21" i="50" s="1"/>
  <c r="Z19" i="50" s="1"/>
  <c r="N13" i="41"/>
  <c r="N16" i="41" s="1"/>
  <c r="O270" i="57"/>
  <c r="S18" i="41"/>
  <c r="V22" i="50"/>
  <c r="V21" i="50" s="1"/>
  <c r="V19" i="50" s="1"/>
  <c r="AB18" i="41"/>
  <c r="AF22" i="50"/>
  <c r="AF21" i="50" s="1"/>
  <c r="AF19" i="50" s="1"/>
  <c r="M13" i="41"/>
  <c r="M16" i="41" s="1"/>
  <c r="O244" i="57"/>
  <c r="U18" i="41"/>
  <c r="X22" i="50"/>
  <c r="X21" i="50" s="1"/>
  <c r="X19" i="50" s="1"/>
  <c r="W22" i="50"/>
  <c r="W21" i="50" s="1"/>
  <c r="W19" i="50" s="1"/>
  <c r="T18" i="41"/>
  <c r="Y22" i="50"/>
  <c r="Y21" i="50" s="1"/>
  <c r="Y19" i="50" s="1"/>
  <c r="V18" i="41"/>
  <c r="K13" i="41"/>
  <c r="K16" i="41" s="1"/>
  <c r="O192" i="57"/>
  <c r="L13" i="41"/>
  <c r="L16" i="41" s="1"/>
  <c r="O218" i="57"/>
  <c r="X18" i="41"/>
  <c r="AA22" i="50"/>
  <c r="AA21" i="50" s="1"/>
  <c r="AA19" i="50" s="1"/>
  <c r="AC18" i="41"/>
  <c r="AG22" i="50"/>
  <c r="AG21" i="50" s="1"/>
  <c r="AG19" i="50" s="1"/>
  <c r="Z18" i="41"/>
  <c r="AD22" i="50"/>
  <c r="AD21" i="50" s="1"/>
  <c r="AD19" i="50" s="1"/>
  <c r="AA18" i="41"/>
  <c r="AE22" i="50"/>
  <c r="AE21" i="50" s="1"/>
  <c r="AE19" i="50" s="1"/>
  <c r="Y18" i="41"/>
  <c r="AC22" i="50"/>
  <c r="AC21" i="50" s="1"/>
  <c r="AC19" i="50" s="1"/>
  <c r="D104" i="43"/>
  <c r="D105" i="43"/>
  <c r="D106" i="43"/>
  <c r="D99" i="43"/>
  <c r="D87" i="43"/>
  <c r="D98" i="43"/>
  <c r="D100" i="43"/>
  <c r="D92" i="43"/>
  <c r="D86" i="43"/>
  <c r="D90" i="43"/>
  <c r="D88" i="43"/>
  <c r="D103" i="43"/>
  <c r="D94" i="43"/>
  <c r="D96" i="43"/>
  <c r="D97" i="43"/>
  <c r="D91" i="43"/>
  <c r="D95" i="43"/>
  <c r="D93" i="43"/>
  <c r="D101" i="43"/>
  <c r="D89" i="43"/>
  <c r="K28" i="43"/>
  <c r="K27" i="43" s="1"/>
  <c r="K18" i="41" l="1"/>
  <c r="L22" i="50"/>
  <c r="L21" i="50" s="1"/>
  <c r="L19" i="50" s="1"/>
  <c r="M18" i="41"/>
  <c r="O22" i="50"/>
  <c r="O21" i="50" s="1"/>
  <c r="O19" i="50" s="1"/>
  <c r="N18" i="41"/>
  <c r="P22" i="50"/>
  <c r="P21" i="50" s="1"/>
  <c r="P19" i="50" s="1"/>
  <c r="L18" i="41"/>
  <c r="M22" i="50"/>
  <c r="M21" i="50" s="1"/>
  <c r="M19" i="50" s="1"/>
  <c r="F105" i="43"/>
  <c r="I105" i="43" s="1"/>
  <c r="G105" i="43"/>
  <c r="J105" i="43" s="1"/>
  <c r="F104" i="43"/>
  <c r="I104" i="43" s="1"/>
  <c r="G104" i="43"/>
  <c r="J104" i="43" s="1"/>
  <c r="D102" i="43"/>
  <c r="F106" i="43"/>
  <c r="I106" i="43" s="1"/>
  <c r="G106" i="43"/>
  <c r="J106" i="43" s="1"/>
  <c r="G86" i="43"/>
  <c r="F86" i="43"/>
  <c r="G103" i="43"/>
  <c r="F103" i="43"/>
  <c r="K106" i="43" l="1"/>
  <c r="I103" i="43"/>
  <c r="I102" i="43" s="1"/>
  <c r="F102" i="43"/>
  <c r="K104" i="43"/>
  <c r="J103" i="43"/>
  <c r="J102" i="43" s="1"/>
  <c r="G102" i="43"/>
  <c r="K105" i="43"/>
  <c r="I86" i="43"/>
  <c r="J86" i="43"/>
  <c r="K103" i="43" l="1"/>
  <c r="K102" i="43" s="1"/>
  <c r="K86" i="43"/>
  <c r="X88" i="61" l="1"/>
  <c r="X86" i="61"/>
  <c r="X69" i="61" l="1"/>
  <c r="F70" i="61" s="1"/>
  <c r="C70" i="61" s="1"/>
  <c r="X67" i="61"/>
  <c r="F68" i="61" s="1"/>
  <c r="C68" i="61" s="1"/>
  <c r="X68" i="61"/>
  <c r="F69" i="61" s="1"/>
  <c r="C69" i="61" s="1"/>
  <c r="X70" i="61" l="1"/>
  <c r="N38" i="61"/>
  <c r="N48" i="61" s="1"/>
  <c r="X48" i="61" s="1"/>
  <c r="N53" i="61"/>
  <c r="N36" i="61" s="1"/>
  <c r="N46" i="61" s="1"/>
  <c r="X46" i="61" s="1"/>
  <c r="N57" i="61" l="1"/>
  <c r="N37" i="61"/>
  <c r="N47" i="61" s="1"/>
  <c r="X47" i="61" s="1"/>
  <c r="O36" i="61" l="1"/>
  <c r="O46" i="61" s="1"/>
  <c r="Y46" i="61" s="1"/>
  <c r="O37" i="61" l="1"/>
  <c r="O47" i="61" s="1"/>
  <c r="Y47" i="61" s="1"/>
  <c r="O57" i="61"/>
  <c r="O38" i="61"/>
  <c r="O48" i="61" s="1"/>
  <c r="Y48" i="61" s="1"/>
  <c r="X36" i="61"/>
  <c r="X26" i="61" s="1"/>
  <c r="F26" i="61" l="1"/>
  <c r="Y36" i="61"/>
  <c r="Y26" i="61" s="1"/>
  <c r="G26" i="61" s="1"/>
  <c r="Y38" i="61"/>
  <c r="Y28" i="61" s="1"/>
  <c r="G28" i="61" s="1"/>
  <c r="Y57" i="61"/>
  <c r="Y37" i="61"/>
  <c r="Y27" i="61" s="1"/>
  <c r="Y29" i="61" l="1"/>
  <c r="G27" i="61"/>
  <c r="AB36" i="61"/>
  <c r="AB26" i="61" s="1"/>
  <c r="AA36" i="61"/>
  <c r="AA26" i="61" s="1"/>
  <c r="I26" i="61" s="1"/>
  <c r="Z36" i="61"/>
  <c r="Z26" i="61" s="1"/>
  <c r="H26" i="61" s="1"/>
  <c r="AC36" i="61"/>
  <c r="AC26" i="61" s="1"/>
  <c r="K26" i="61" s="1"/>
  <c r="J26" i="61" l="1"/>
  <c r="C26" i="61" s="1"/>
  <c r="D47" i="55" l="1"/>
  <c r="D49" i="55"/>
  <c r="D45" i="55"/>
  <c r="D44" i="55"/>
  <c r="D50" i="55"/>
  <c r="D54" i="55"/>
  <c r="D42" i="55"/>
  <c r="D52" i="55"/>
  <c r="D53" i="55"/>
  <c r="D46" i="55"/>
  <c r="D48" i="55"/>
  <c r="D51" i="55"/>
  <c r="D41" i="55"/>
  <c r="D43" i="55"/>
  <c r="AB57" i="61" l="1"/>
  <c r="AC57" i="61"/>
  <c r="AA38" i="61"/>
  <c r="AA28" i="61" s="1"/>
  <c r="I28" i="61" s="1"/>
  <c r="AB38" i="61"/>
  <c r="AB28" i="61" s="1"/>
  <c r="J28" i="61" s="1"/>
  <c r="AC38" i="61"/>
  <c r="AC28" i="61" s="1"/>
  <c r="K28" i="61" s="1"/>
  <c r="Z38" i="61"/>
  <c r="Z28" i="61" s="1"/>
  <c r="H28" i="61" s="1"/>
  <c r="AA57" i="61"/>
  <c r="AC37" i="61"/>
  <c r="AC27" i="61" s="1"/>
  <c r="K27" i="61" s="1"/>
  <c r="AA37" i="61"/>
  <c r="AA27" i="61" s="1"/>
  <c r="AB37" i="61"/>
  <c r="AB27" i="61" s="1"/>
  <c r="Z37" i="61"/>
  <c r="Z27" i="61" s="1"/>
  <c r="Z57" i="61"/>
  <c r="AA29" i="61" l="1"/>
  <c r="AB29" i="61"/>
  <c r="Z29" i="61"/>
  <c r="I27" i="61"/>
  <c r="AC29" i="61"/>
  <c r="H27" i="61"/>
  <c r="J27" i="61"/>
  <c r="X57" i="61"/>
  <c r="X37" i="61"/>
  <c r="X27" i="61" s="1"/>
  <c r="X38" i="61"/>
  <c r="X28" i="61" s="1"/>
  <c r="F28" i="61" s="1"/>
  <c r="D40" i="55" l="1"/>
  <c r="C28" i="61"/>
  <c r="F27" i="61"/>
  <c r="C27" i="61" s="1"/>
  <c r="X29" i="61"/>
  <c r="D55" i="55" l="1"/>
  <c r="D58" i="55"/>
  <c r="D56" i="55"/>
  <c r="D57" i="55"/>
  <c r="N81" i="61" l="1"/>
  <c r="X87" i="61"/>
  <c r="R113" i="47" l="1"/>
  <c r="R112" i="47"/>
  <c r="S113" i="47" l="1"/>
  <c r="J112" i="47"/>
  <c r="I111" i="47"/>
  <c r="Q111" i="47"/>
  <c r="Q113" i="47"/>
  <c r="J111" i="47"/>
  <c r="K112" i="47"/>
  <c r="S112" i="47"/>
  <c r="I112" i="47"/>
  <c r="Q112" i="47"/>
  <c r="K111" i="47"/>
  <c r="S111" i="47"/>
  <c r="J114" i="47" l="1"/>
  <c r="S114" i="47"/>
  <c r="K114" i="47"/>
  <c r="F88" i="57"/>
  <c r="G12" i="41" s="1"/>
  <c r="N88" i="57"/>
  <c r="G15" i="41" s="1"/>
  <c r="D88" i="57"/>
  <c r="G11" i="41" s="1"/>
  <c r="Q114" i="47"/>
  <c r="I114" i="47"/>
  <c r="G111" i="47" l="1"/>
  <c r="G112" i="47"/>
  <c r="H112" i="47"/>
  <c r="H111" i="47"/>
  <c r="D62" i="57" l="1"/>
  <c r="F11" i="41" s="1"/>
  <c r="H114" i="47"/>
  <c r="F36" i="57"/>
  <c r="E12" i="41" s="1"/>
  <c r="F111" i="47"/>
  <c r="F112" i="47"/>
  <c r="F62" i="57"/>
  <c r="F12" i="41" s="1"/>
  <c r="N36" i="57"/>
  <c r="E15" i="41" s="1"/>
  <c r="N62" i="57"/>
  <c r="F15" i="41" s="1"/>
  <c r="D36" i="57"/>
  <c r="E11" i="41" s="1"/>
  <c r="G114" i="47"/>
  <c r="F114" i="47" l="1"/>
  <c r="D10" i="57"/>
  <c r="D11" i="41" s="1"/>
  <c r="N10" i="57"/>
  <c r="D15" i="41" s="1"/>
  <c r="F10" i="57"/>
  <c r="D12" i="41" s="1"/>
  <c r="O10" i="57" l="1"/>
  <c r="U10" i="57"/>
  <c r="S10" i="57"/>
  <c r="D16" i="41" l="1"/>
  <c r="D18" i="41" l="1"/>
  <c r="C22" i="50"/>
  <c r="G13" i="43"/>
  <c r="J13" i="43" s="1"/>
  <c r="F13" i="43"/>
  <c r="I13" i="43" s="1"/>
  <c r="K13" i="43" l="1"/>
  <c r="G26" i="43" l="1"/>
  <c r="J26" i="43" s="1"/>
  <c r="F26" i="43"/>
  <c r="I26" i="43" s="1"/>
  <c r="G18" i="43"/>
  <c r="J18" i="43" s="1"/>
  <c r="F18" i="43"/>
  <c r="I18" i="43" s="1"/>
  <c r="F43" i="43"/>
  <c r="I43" i="43" s="1"/>
  <c r="G43" i="43"/>
  <c r="J43" i="43" s="1"/>
  <c r="G17" i="43"/>
  <c r="J17" i="43" s="1"/>
  <c r="F17" i="43"/>
  <c r="I17" i="43" s="1"/>
  <c r="G15" i="43"/>
  <c r="J15" i="43" s="1"/>
  <c r="F15" i="43"/>
  <c r="I15" i="43" s="1"/>
  <c r="F49" i="43"/>
  <c r="I49" i="43" s="1"/>
  <c r="G49" i="43"/>
  <c r="J49" i="43" s="1"/>
  <c r="G16" i="43"/>
  <c r="J16" i="43" s="1"/>
  <c r="F16" i="43"/>
  <c r="I16" i="43" s="1"/>
  <c r="F40" i="43"/>
  <c r="I40" i="43" s="1"/>
  <c r="G40" i="43"/>
  <c r="J40" i="43" s="1"/>
  <c r="G41" i="43"/>
  <c r="J41" i="43" s="1"/>
  <c r="F41" i="43"/>
  <c r="I41" i="43" s="1"/>
  <c r="G24" i="43"/>
  <c r="J24" i="43" s="1"/>
  <c r="F24" i="43"/>
  <c r="I24" i="43" s="1"/>
  <c r="K24" i="43" l="1"/>
  <c r="K41" i="43"/>
  <c r="K49" i="43"/>
  <c r="K26" i="43"/>
  <c r="K43" i="43"/>
  <c r="G37" i="43"/>
  <c r="F37" i="43"/>
  <c r="K16" i="43"/>
  <c r="K15" i="43"/>
  <c r="K18" i="43"/>
  <c r="F12" i="43"/>
  <c r="G21" i="43"/>
  <c r="J21" i="43" s="1"/>
  <c r="F21" i="43"/>
  <c r="I21" i="43" s="1"/>
  <c r="K40" i="43"/>
  <c r="K17" i="43"/>
  <c r="G65" i="43" l="1"/>
  <c r="J65" i="43" s="1"/>
  <c r="F65" i="43"/>
  <c r="I65" i="43" s="1"/>
  <c r="F67" i="43"/>
  <c r="I67" i="43" s="1"/>
  <c r="G67" i="43"/>
  <c r="J67" i="43" s="1"/>
  <c r="J12" i="43"/>
  <c r="G74" i="43"/>
  <c r="J74" i="43" s="1"/>
  <c r="F74" i="43"/>
  <c r="I74" i="43" s="1"/>
  <c r="I12" i="43"/>
  <c r="I37" i="43"/>
  <c r="G66" i="43"/>
  <c r="J66" i="43" s="1"/>
  <c r="F66" i="43"/>
  <c r="I66" i="43" s="1"/>
  <c r="J37" i="43"/>
  <c r="G51" i="43"/>
  <c r="J51" i="43" s="1"/>
  <c r="F51" i="43"/>
  <c r="I51" i="43" s="1"/>
  <c r="G68" i="43"/>
  <c r="J68" i="43" s="1"/>
  <c r="F68" i="43"/>
  <c r="I68" i="43" s="1"/>
  <c r="K21" i="43"/>
  <c r="K67" i="43" l="1"/>
  <c r="K66" i="43"/>
  <c r="K51" i="43"/>
  <c r="F42" i="43"/>
  <c r="G42" i="43"/>
  <c r="K68" i="43"/>
  <c r="K37" i="43"/>
  <c r="K12" i="43"/>
  <c r="F76" i="43"/>
  <c r="I76" i="43" s="1"/>
  <c r="G76" i="43"/>
  <c r="J76" i="43" s="1"/>
  <c r="F19" i="43"/>
  <c r="G19" i="43"/>
  <c r="G62" i="43"/>
  <c r="F62" i="43"/>
  <c r="K74" i="43"/>
  <c r="K65" i="43"/>
  <c r="K76" i="43" l="1"/>
  <c r="I62" i="43"/>
  <c r="J42" i="43"/>
  <c r="J62" i="43"/>
  <c r="I42" i="43"/>
  <c r="J19" i="43"/>
  <c r="I19" i="43"/>
  <c r="K42" i="43" l="1"/>
  <c r="K19" i="43"/>
  <c r="K62" i="43"/>
  <c r="G100" i="43" l="1"/>
  <c r="J100" i="43" s="1"/>
  <c r="F100" i="43"/>
  <c r="I100" i="43" s="1"/>
  <c r="K100" i="43" l="1"/>
  <c r="G63" i="43" l="1"/>
  <c r="J63" i="43" s="1"/>
  <c r="F63" i="43"/>
  <c r="I63" i="43" s="1"/>
  <c r="F22" i="43"/>
  <c r="I22" i="43" s="1"/>
  <c r="G22" i="43"/>
  <c r="J22" i="43" s="1"/>
  <c r="G72" i="43"/>
  <c r="J72" i="43" s="1"/>
  <c r="F72" i="43"/>
  <c r="I72" i="43" s="1"/>
  <c r="K63" i="43" l="1"/>
  <c r="K72" i="43"/>
  <c r="K22" i="43"/>
  <c r="F48" i="43"/>
  <c r="I48" i="43" s="1"/>
  <c r="G48" i="43"/>
  <c r="J48" i="43" s="1"/>
  <c r="G73" i="43"/>
  <c r="J73" i="43" s="1"/>
  <c r="F73" i="43"/>
  <c r="I73" i="43" s="1"/>
  <c r="G23" i="43"/>
  <c r="J23" i="43" s="1"/>
  <c r="F23" i="43"/>
  <c r="I23" i="43" s="1"/>
  <c r="K23" i="43" l="1"/>
  <c r="F69" i="43"/>
  <c r="I69" i="43" s="1"/>
  <c r="G69" i="43"/>
  <c r="J69" i="43" s="1"/>
  <c r="K48" i="43"/>
  <c r="G47" i="43"/>
  <c r="J47" i="43" s="1"/>
  <c r="F47" i="43"/>
  <c r="I47" i="43" s="1"/>
  <c r="G44" i="43"/>
  <c r="J44" i="43" s="1"/>
  <c r="F44" i="43"/>
  <c r="I44" i="43" s="1"/>
  <c r="F46" i="43"/>
  <c r="I46" i="43" s="1"/>
  <c r="G46" i="43"/>
  <c r="J46" i="43" s="1"/>
  <c r="K73" i="43"/>
  <c r="K44" i="43" l="1"/>
  <c r="K47" i="43"/>
  <c r="K69" i="43"/>
  <c r="K46" i="43"/>
  <c r="G71" i="43"/>
  <c r="J71" i="43" s="1"/>
  <c r="F71" i="43"/>
  <c r="I71" i="43" s="1"/>
  <c r="K71" i="43" l="1"/>
  <c r="F98" i="43" l="1"/>
  <c r="G98" i="43"/>
  <c r="J98" i="43" l="1"/>
  <c r="I98" i="43"/>
  <c r="K98" i="43" l="1"/>
  <c r="F158" i="47" l="1"/>
  <c r="G158" i="47" l="1"/>
  <c r="H158" i="47"/>
  <c r="F14" i="43"/>
  <c r="G14" i="43"/>
  <c r="D10" i="43"/>
  <c r="D33" i="43" l="1"/>
  <c r="D25" i="41"/>
  <c r="J14" i="43"/>
  <c r="J10" i="43" s="1"/>
  <c r="G10" i="43"/>
  <c r="F39" i="43"/>
  <c r="G39" i="43"/>
  <c r="D35" i="43"/>
  <c r="F64" i="43"/>
  <c r="G64" i="43"/>
  <c r="D60" i="43"/>
  <c r="I14" i="43"/>
  <c r="F10" i="43"/>
  <c r="I10" i="43" s="1"/>
  <c r="I33" i="43" s="1"/>
  <c r="D83" i="43" l="1"/>
  <c r="F25" i="41"/>
  <c r="E23" i="50" s="1"/>
  <c r="C23" i="50"/>
  <c r="D27" i="41"/>
  <c r="D58" i="43"/>
  <c r="E25" i="41"/>
  <c r="D23" i="50" s="1"/>
  <c r="K14" i="43"/>
  <c r="K10" i="43" s="1"/>
  <c r="I64" i="43"/>
  <c r="F60" i="43"/>
  <c r="J39" i="43"/>
  <c r="J35" i="43" s="1"/>
  <c r="G35" i="43"/>
  <c r="I39" i="43"/>
  <c r="F35" i="43"/>
  <c r="J64" i="43"/>
  <c r="J60" i="43" s="1"/>
  <c r="G60" i="43"/>
  <c r="K39" i="43" l="1"/>
  <c r="K35" i="43" s="1"/>
  <c r="I35" i="43"/>
  <c r="I58" i="43" s="1"/>
  <c r="C21" i="50"/>
  <c r="K64" i="43"/>
  <c r="K60" i="43" s="1"/>
  <c r="I60" i="43"/>
  <c r="I83" i="43" s="1"/>
  <c r="E27" i="41" l="1"/>
  <c r="F27" i="41"/>
  <c r="D14" i="59"/>
  <c r="L16" i="51" l="1"/>
  <c r="L11" i="51"/>
  <c r="E23" i="40"/>
  <c r="D20" i="50" s="1"/>
  <c r="M23" i="51" l="1"/>
  <c r="E25" i="40"/>
  <c r="N23" i="51"/>
  <c r="M16" i="51"/>
  <c r="N16" i="51"/>
  <c r="N11" i="51"/>
  <c r="K12" i="47"/>
  <c r="O16" i="51" l="1"/>
  <c r="O19" i="51"/>
  <c r="O18" i="51"/>
  <c r="J12" i="47"/>
  <c r="F23" i="40"/>
  <c r="E20" i="50" s="1"/>
  <c r="F12" i="47"/>
  <c r="G23" i="40"/>
  <c r="G20" i="50" s="1"/>
  <c r="N24" i="51"/>
  <c r="I12" i="47"/>
  <c r="M24" i="51"/>
  <c r="O88" i="57" l="1"/>
  <c r="O12" i="51"/>
  <c r="G25" i="40"/>
  <c r="R18" i="51"/>
  <c r="V18" i="51" s="1"/>
  <c r="R19" i="51"/>
  <c r="V19" i="51" s="1"/>
  <c r="O55" i="51"/>
  <c r="M11" i="51"/>
  <c r="O17" i="51"/>
  <c r="L23" i="51"/>
  <c r="F25" i="40"/>
  <c r="R98" i="51" l="1"/>
  <c r="V98" i="51" s="1"/>
  <c r="R56" i="51"/>
  <c r="T17" i="51"/>
  <c r="R17" i="51"/>
  <c r="Q19" i="51"/>
  <c r="G16" i="41"/>
  <c r="R73" i="51"/>
  <c r="V73" i="51" s="1"/>
  <c r="R72" i="51"/>
  <c r="V72" i="51" s="1"/>
  <c r="R71" i="51"/>
  <c r="V71" i="51" s="1"/>
  <c r="R70" i="51"/>
  <c r="V70" i="51" s="1"/>
  <c r="P16" i="51"/>
  <c r="R77" i="51"/>
  <c r="V77" i="51" s="1"/>
  <c r="R82" i="51"/>
  <c r="V82" i="51" s="1"/>
  <c r="R87" i="51"/>
  <c r="V87" i="51" s="1"/>
  <c r="R78" i="51"/>
  <c r="V78" i="51" s="1"/>
  <c r="R83" i="51"/>
  <c r="V83" i="51" s="1"/>
  <c r="R79" i="51"/>
  <c r="V79" i="51" s="1"/>
  <c r="R75" i="51"/>
  <c r="V75" i="51" s="1"/>
  <c r="R85" i="51"/>
  <c r="V85" i="51" s="1"/>
  <c r="R90" i="51"/>
  <c r="V90" i="51" s="1"/>
  <c r="R94" i="51"/>
  <c r="V94" i="51" s="1"/>
  <c r="R84" i="51"/>
  <c r="V84" i="51" s="1"/>
  <c r="R96" i="51"/>
  <c r="V96" i="51" s="1"/>
  <c r="R80" i="51"/>
  <c r="V80" i="51" s="1"/>
  <c r="R74" i="51"/>
  <c r="V74" i="51" s="1"/>
  <c r="R93" i="51"/>
  <c r="V93" i="51" s="1"/>
  <c r="R81" i="51"/>
  <c r="V81" i="51" s="1"/>
  <c r="R95" i="51"/>
  <c r="V95" i="51" s="1"/>
  <c r="R69" i="51"/>
  <c r="V69" i="51" s="1"/>
  <c r="R97" i="51"/>
  <c r="V97" i="51" s="1"/>
  <c r="R76" i="51"/>
  <c r="V76" i="51" s="1"/>
  <c r="R88" i="51"/>
  <c r="V88" i="51" s="1"/>
  <c r="R91" i="51"/>
  <c r="V91" i="51" s="1"/>
  <c r="R86" i="51"/>
  <c r="V86" i="51" s="1"/>
  <c r="R68" i="51"/>
  <c r="V68" i="51" s="1"/>
  <c r="R89" i="51"/>
  <c r="V89" i="51" s="1"/>
  <c r="R92" i="51"/>
  <c r="V92" i="51" s="1"/>
  <c r="O13" i="51"/>
  <c r="O11" i="51" s="1"/>
  <c r="D23" i="40"/>
  <c r="Q18" i="51"/>
  <c r="T18" i="51"/>
  <c r="L24" i="51"/>
  <c r="O23" i="51"/>
  <c r="O24" i="51" s="1"/>
  <c r="E16" i="41"/>
  <c r="O36" i="57"/>
  <c r="T19" i="51"/>
  <c r="Q17" i="51"/>
  <c r="D130" i="51" s="1"/>
  <c r="F16" i="41"/>
  <c r="O62" i="57"/>
  <c r="D25" i="40" l="1"/>
  <c r="C20" i="50"/>
  <c r="C19" i="50" s="1"/>
  <c r="C18" i="50" s="1"/>
  <c r="G18" i="41"/>
  <c r="G22" i="50"/>
  <c r="D22" i="50"/>
  <c r="E18" i="41"/>
  <c r="F18" i="41"/>
  <c r="E22" i="50"/>
  <c r="D131" i="51"/>
  <c r="D139" i="51"/>
  <c r="D132" i="51"/>
  <c r="D140" i="51"/>
  <c r="D133" i="51"/>
  <c r="D134" i="51"/>
  <c r="D135" i="51"/>
  <c r="D136" i="51"/>
  <c r="D138" i="51"/>
  <c r="D137" i="51"/>
  <c r="V17" i="51"/>
  <c r="W17" i="51" s="1"/>
  <c r="E130" i="51" s="1"/>
  <c r="R24" i="51"/>
  <c r="R53" i="51" s="1"/>
  <c r="D144" i="51"/>
  <c r="D141" i="51"/>
  <c r="D143" i="51"/>
  <c r="D142" i="51"/>
  <c r="W49" i="51" l="1"/>
  <c r="W44" i="51"/>
  <c r="W43" i="51"/>
  <c r="W45" i="51"/>
  <c r="W42" i="51"/>
  <c r="R39" i="51"/>
  <c r="R26" i="51"/>
  <c r="F13" i="59"/>
  <c r="E21" i="50"/>
  <c r="D13" i="59"/>
  <c r="D12" i="59"/>
  <c r="E13" i="59"/>
  <c r="D21" i="50"/>
  <c r="W19" i="51"/>
  <c r="W18" i="51"/>
  <c r="E132" i="51" l="1"/>
  <c r="E140" i="51"/>
  <c r="E135" i="51"/>
  <c r="E138" i="51"/>
  <c r="E133" i="51"/>
  <c r="E136" i="51"/>
  <c r="E131" i="51"/>
  <c r="E139" i="51"/>
  <c r="E134" i="51"/>
  <c r="E137" i="51"/>
  <c r="D10" i="59"/>
  <c r="F14" i="59"/>
  <c r="F12" i="59"/>
  <c r="E19" i="50"/>
  <c r="E143" i="51"/>
  <c r="E142" i="51"/>
  <c r="E141" i="51"/>
  <c r="E144" i="51"/>
  <c r="E14" i="59"/>
  <c r="E12" i="59"/>
  <c r="D19" i="50"/>
  <c r="C110" i="51" l="1"/>
  <c r="B80" i="46" s="1"/>
  <c r="B79" i="46"/>
  <c r="F10" i="59"/>
  <c r="E18" i="50"/>
  <c r="D18" i="50"/>
  <c r="E10" i="59"/>
  <c r="H12" i="40" l="1"/>
  <c r="J89" i="47"/>
  <c r="C110" i="43"/>
  <c r="H10" i="41"/>
  <c r="J137" i="47"/>
  <c r="H17" i="50"/>
  <c r="C41" i="47"/>
  <c r="J11" i="47"/>
  <c r="C114" i="57"/>
  <c r="I17" i="50"/>
  <c r="K89" i="47"/>
  <c r="C135" i="43"/>
  <c r="C140" i="57"/>
  <c r="I10" i="41"/>
  <c r="K11" i="47"/>
  <c r="C43" i="47"/>
  <c r="K137" i="47"/>
  <c r="L140" i="57" l="1"/>
  <c r="I14" i="41" s="1"/>
  <c r="D155" i="43"/>
  <c r="D154" i="43"/>
  <c r="D156" i="43"/>
  <c r="D153" i="43"/>
  <c r="D151" i="43"/>
  <c r="D146" i="43"/>
  <c r="D138" i="43"/>
  <c r="D145" i="43"/>
  <c r="D141" i="43"/>
  <c r="D142" i="43"/>
  <c r="D150" i="43"/>
  <c r="D144" i="43"/>
  <c r="D149" i="43"/>
  <c r="D140" i="43"/>
  <c r="D137" i="43"/>
  <c r="D136" i="43"/>
  <c r="D148" i="43"/>
  <c r="D139" i="43"/>
  <c r="D147" i="43"/>
  <c r="D143" i="43"/>
  <c r="D131" i="43"/>
  <c r="D130" i="43"/>
  <c r="D129" i="43"/>
  <c r="D115" i="43"/>
  <c r="D126" i="43"/>
  <c r="D112" i="43"/>
  <c r="D125" i="43"/>
  <c r="D124" i="43"/>
  <c r="D120" i="43"/>
  <c r="D121" i="43"/>
  <c r="D111" i="43"/>
  <c r="D117" i="43"/>
  <c r="D116" i="43"/>
  <c r="D114" i="43"/>
  <c r="F114" i="43" s="1"/>
  <c r="D128" i="43"/>
  <c r="D122" i="43"/>
  <c r="D118" i="43"/>
  <c r="D123" i="43"/>
  <c r="D113" i="43"/>
  <c r="D119" i="43"/>
  <c r="N166" i="57" l="1"/>
  <c r="J15" i="41" s="1"/>
  <c r="F166" i="57"/>
  <c r="J12" i="41" s="1"/>
  <c r="D166" i="57"/>
  <c r="J11" i="41" s="1"/>
  <c r="J16" i="41" s="1"/>
  <c r="K22" i="50" s="1"/>
  <c r="J163" i="43"/>
  <c r="I163" i="43"/>
  <c r="I181" i="43"/>
  <c r="J162" i="43"/>
  <c r="I162" i="43"/>
  <c r="I176" i="43"/>
  <c r="J176" i="43"/>
  <c r="J175" i="43"/>
  <c r="I175" i="43"/>
  <c r="J167" i="43"/>
  <c r="I167" i="43"/>
  <c r="D177" i="43"/>
  <c r="D160" i="43" s="1"/>
  <c r="I173" i="43"/>
  <c r="J173" i="43"/>
  <c r="J170" i="43"/>
  <c r="I170" i="43"/>
  <c r="J168" i="43"/>
  <c r="I168" i="43"/>
  <c r="J165" i="43"/>
  <c r="I165" i="43"/>
  <c r="J174" i="43"/>
  <c r="I174" i="43"/>
  <c r="J171" i="43"/>
  <c r="I171" i="43"/>
  <c r="J169" i="43"/>
  <c r="I169" i="43"/>
  <c r="J179" i="43"/>
  <c r="I179" i="43"/>
  <c r="J172" i="43"/>
  <c r="I172" i="43"/>
  <c r="J180" i="43"/>
  <c r="I180" i="43"/>
  <c r="I164" i="43"/>
  <c r="J164" i="43"/>
  <c r="I166" i="43"/>
  <c r="J166" i="43"/>
  <c r="G129" i="43"/>
  <c r="J129" i="43" s="1"/>
  <c r="F129" i="43"/>
  <c r="I129" i="43" s="1"/>
  <c r="D140" i="57"/>
  <c r="I11" i="41" s="1"/>
  <c r="G155" i="43"/>
  <c r="J155" i="43" s="1"/>
  <c r="F155" i="43"/>
  <c r="I155" i="43" s="1"/>
  <c r="I23" i="40"/>
  <c r="I20" i="50" s="1"/>
  <c r="D114" i="57"/>
  <c r="H11" i="41" s="1"/>
  <c r="G131" i="43"/>
  <c r="J131" i="43" s="1"/>
  <c r="F131" i="43"/>
  <c r="I131" i="43" s="1"/>
  <c r="F150" i="43"/>
  <c r="I150" i="43" s="1"/>
  <c r="G150" i="43"/>
  <c r="J150" i="43" s="1"/>
  <c r="F153" i="43"/>
  <c r="G153" i="43"/>
  <c r="D152" i="43"/>
  <c r="F114" i="57"/>
  <c r="H12" i="41" s="1"/>
  <c r="F123" i="43"/>
  <c r="I123" i="43" s="1"/>
  <c r="G123" i="43"/>
  <c r="J123" i="43" s="1"/>
  <c r="D127" i="43"/>
  <c r="F128" i="43"/>
  <c r="G128" i="43"/>
  <c r="N140" i="57"/>
  <c r="I15" i="41" s="1"/>
  <c r="H23" i="40"/>
  <c r="H20" i="50" s="1"/>
  <c r="F156" i="43"/>
  <c r="I156" i="43" s="1"/>
  <c r="G156" i="43"/>
  <c r="J156" i="43" s="1"/>
  <c r="G125" i="43"/>
  <c r="J125" i="43" s="1"/>
  <c r="F125" i="43"/>
  <c r="I125" i="43" s="1"/>
  <c r="F140" i="57"/>
  <c r="I12" i="41" s="1"/>
  <c r="F136" i="43"/>
  <c r="G136" i="43"/>
  <c r="N114" i="57"/>
  <c r="H15" i="41" s="1"/>
  <c r="G111" i="43"/>
  <c r="J111" i="43" s="1"/>
  <c r="F111" i="43"/>
  <c r="G148" i="43"/>
  <c r="J148" i="43" s="1"/>
  <c r="F148" i="43"/>
  <c r="I148" i="43" s="1"/>
  <c r="F154" i="43"/>
  <c r="I154" i="43" s="1"/>
  <c r="G154" i="43"/>
  <c r="J154" i="43" s="1"/>
  <c r="F130" i="43"/>
  <c r="I130" i="43" s="1"/>
  <c r="G130" i="43"/>
  <c r="J130" i="43" s="1"/>
  <c r="D183" i="43" l="1"/>
  <c r="J25" i="41"/>
  <c r="O166" i="57"/>
  <c r="J18" i="41" s="1"/>
  <c r="K180" i="43"/>
  <c r="K165" i="43"/>
  <c r="K169" i="43"/>
  <c r="K171" i="43"/>
  <c r="K172" i="43"/>
  <c r="K179" i="43"/>
  <c r="K175" i="43"/>
  <c r="K174" i="43"/>
  <c r="K168" i="43"/>
  <c r="K170" i="43"/>
  <c r="K167" i="43"/>
  <c r="K163" i="43"/>
  <c r="K162" i="43"/>
  <c r="K166" i="43"/>
  <c r="K181" i="43"/>
  <c r="I161" i="43"/>
  <c r="K161" i="43" s="1"/>
  <c r="J178" i="43"/>
  <c r="J177" i="43" s="1"/>
  <c r="G177" i="43"/>
  <c r="G160" i="43" s="1"/>
  <c r="F177" i="43"/>
  <c r="F160" i="43" s="1"/>
  <c r="I178" i="43"/>
  <c r="K173" i="43"/>
  <c r="K164" i="43"/>
  <c r="K176" i="43"/>
  <c r="K129" i="43"/>
  <c r="K125" i="43"/>
  <c r="K131" i="43"/>
  <c r="K148" i="43"/>
  <c r="K156" i="43"/>
  <c r="J128" i="43"/>
  <c r="J127" i="43" s="1"/>
  <c r="G127" i="43"/>
  <c r="J153" i="43"/>
  <c r="J152" i="43" s="1"/>
  <c r="G152" i="43"/>
  <c r="I136" i="43"/>
  <c r="H25" i="40"/>
  <c r="K130" i="43"/>
  <c r="I111" i="43"/>
  <c r="K154" i="43"/>
  <c r="I128" i="43"/>
  <c r="F127" i="43"/>
  <c r="I153" i="43"/>
  <c r="F152" i="43"/>
  <c r="O114" i="57"/>
  <c r="H16" i="41"/>
  <c r="O140" i="57"/>
  <c r="I16" i="41"/>
  <c r="J136" i="43"/>
  <c r="K123" i="43"/>
  <c r="I25" i="40"/>
  <c r="K150" i="43"/>
  <c r="K155" i="43"/>
  <c r="K23" i="50" l="1"/>
  <c r="K21" i="50" s="1"/>
  <c r="K19" i="50" s="1"/>
  <c r="J27" i="41"/>
  <c r="I22" i="50"/>
  <c r="I18" i="41"/>
  <c r="H18" i="41"/>
  <c r="H22" i="50"/>
  <c r="J160" i="43"/>
  <c r="K178" i="43"/>
  <c r="K177" i="43" s="1"/>
  <c r="I177" i="43"/>
  <c r="I160" i="43" s="1"/>
  <c r="I183" i="43" s="1"/>
  <c r="I152" i="43"/>
  <c r="K153" i="43"/>
  <c r="K152" i="43" s="1"/>
  <c r="I127" i="43"/>
  <c r="K128" i="43"/>
  <c r="K127" i="43" s="1"/>
  <c r="K136" i="43"/>
  <c r="K111" i="43"/>
  <c r="K160" i="43" l="1"/>
  <c r="S158" i="47"/>
  <c r="Q158" i="47"/>
  <c r="R158" i="47"/>
  <c r="I57" i="51" l="1"/>
  <c r="G97" i="51"/>
  <c r="G55" i="51" l="1"/>
  <c r="G56" i="51"/>
  <c r="G98" i="51"/>
  <c r="G71" i="51"/>
  <c r="G70" i="51"/>
  <c r="G73" i="51"/>
  <c r="G72" i="51"/>
  <c r="I71" i="51"/>
  <c r="I70" i="51"/>
  <c r="I72" i="51"/>
  <c r="I73" i="51"/>
  <c r="G57" i="51"/>
  <c r="G77" i="51"/>
  <c r="G85" i="51"/>
  <c r="I89" i="51"/>
  <c r="G81" i="51"/>
  <c r="G96" i="51"/>
  <c r="I68" i="51"/>
  <c r="I80" i="51"/>
  <c r="I88" i="51"/>
  <c r="G68" i="51"/>
  <c r="G80" i="51"/>
  <c r="G88" i="51"/>
  <c r="I81" i="51"/>
  <c r="G69" i="51"/>
  <c r="G89" i="51"/>
  <c r="I69" i="51"/>
  <c r="I75" i="51"/>
  <c r="G76" i="51"/>
  <c r="G84" i="51"/>
  <c r="I96" i="51"/>
  <c r="I87" i="51"/>
  <c r="I94" i="51"/>
  <c r="G93" i="51"/>
  <c r="G75" i="51"/>
  <c r="I95" i="51"/>
  <c r="I82" i="51"/>
  <c r="I79" i="51"/>
  <c r="I86" i="51"/>
  <c r="G82" i="51"/>
  <c r="G92" i="51"/>
  <c r="G95" i="51"/>
  <c r="I78" i="51"/>
  <c r="G87" i="51"/>
  <c r="G94" i="51"/>
  <c r="I92" i="51"/>
  <c r="G78" i="51"/>
  <c r="I91" i="51"/>
  <c r="G91" i="51"/>
  <c r="I76" i="51"/>
  <c r="I83" i="51"/>
  <c r="G90" i="51"/>
  <c r="G79" i="51"/>
  <c r="G86" i="51"/>
  <c r="I93" i="51"/>
  <c r="I84" i="51"/>
  <c r="G83" i="51"/>
  <c r="I90" i="51"/>
  <c r="I85" i="51"/>
  <c r="I74" i="51"/>
  <c r="G74" i="51"/>
  <c r="I77" i="51"/>
  <c r="G64" i="51"/>
  <c r="I60" i="51"/>
  <c r="G59" i="51"/>
  <c r="G63" i="51"/>
  <c r="G65" i="51"/>
  <c r="I62" i="51"/>
  <c r="G58" i="51"/>
  <c r="G60" i="51"/>
  <c r="G61" i="51"/>
  <c r="I58" i="51"/>
  <c r="I64" i="51"/>
  <c r="G66" i="51"/>
  <c r="G62" i="51"/>
  <c r="I66" i="51"/>
  <c r="I63" i="51"/>
  <c r="I59" i="51"/>
  <c r="I61" i="51"/>
  <c r="G67" i="51"/>
  <c r="I67" i="51"/>
  <c r="I65" i="51"/>
  <c r="H102" i="51" l="1"/>
  <c r="G141" i="51"/>
  <c r="G144" i="51"/>
  <c r="G143" i="51"/>
  <c r="G140" i="51"/>
  <c r="G136" i="51"/>
  <c r="G133" i="51"/>
  <c r="G139" i="51"/>
  <c r="G131" i="51"/>
  <c r="G134" i="51"/>
  <c r="G142" i="51"/>
  <c r="G132" i="51"/>
  <c r="G135" i="51"/>
  <c r="G137" i="51"/>
  <c r="G138" i="51"/>
  <c r="G130" i="51"/>
  <c r="R12" i="47" l="1"/>
  <c r="S12" i="47"/>
  <c r="M99" i="51"/>
  <c r="M100" i="51" s="1"/>
  <c r="Q12" i="47"/>
  <c r="N99" i="51"/>
  <c r="N100" i="51" s="1"/>
  <c r="O63" i="51"/>
  <c r="O61" i="51"/>
  <c r="O64" i="51"/>
  <c r="O57" i="51"/>
  <c r="R57" i="51" s="1"/>
  <c r="O58" i="51"/>
  <c r="R58" i="51" s="1"/>
  <c r="O66" i="51"/>
  <c r="O67" i="51"/>
  <c r="O65" i="51"/>
  <c r="O62" i="51"/>
  <c r="O60" i="51"/>
  <c r="O59" i="51"/>
  <c r="Q56" i="51" l="1"/>
  <c r="P55" i="51"/>
  <c r="T98" i="51"/>
  <c r="Q98" i="51"/>
  <c r="R65" i="51"/>
  <c r="V65" i="51" s="1"/>
  <c r="R66" i="51"/>
  <c r="V66" i="51" s="1"/>
  <c r="V57" i="51"/>
  <c r="R63" i="51"/>
  <c r="V63" i="51" s="1"/>
  <c r="R60" i="51"/>
  <c r="V60" i="51" s="1"/>
  <c r="R67" i="51"/>
  <c r="V67" i="51" s="1"/>
  <c r="R62" i="51"/>
  <c r="V62" i="51" s="1"/>
  <c r="R64" i="51"/>
  <c r="V64" i="51" s="1"/>
  <c r="L99" i="51"/>
  <c r="V58" i="51"/>
  <c r="R61" i="51"/>
  <c r="V61" i="51" s="1"/>
  <c r="R59" i="51"/>
  <c r="V59" i="51" s="1"/>
  <c r="Q71" i="51" l="1"/>
  <c r="T71" i="51"/>
  <c r="Q72" i="51"/>
  <c r="T72" i="51"/>
  <c r="Q70" i="51"/>
  <c r="T73" i="51"/>
  <c r="Q73" i="51"/>
  <c r="T70" i="51"/>
  <c r="Q65" i="51"/>
  <c r="Q93" i="51"/>
  <c r="Q97" i="51"/>
  <c r="T96" i="51"/>
  <c r="T75" i="51"/>
  <c r="T82" i="51"/>
  <c r="T89" i="51"/>
  <c r="T69" i="51"/>
  <c r="T78" i="51"/>
  <c r="T80" i="51"/>
  <c r="T84" i="51"/>
  <c r="T97" i="51"/>
  <c r="T94" i="51"/>
  <c r="T81" i="51"/>
  <c r="T74" i="51"/>
  <c r="Q68" i="51"/>
  <c r="Q86" i="51"/>
  <c r="Q83" i="51"/>
  <c r="T92" i="51"/>
  <c r="Q79" i="51"/>
  <c r="T68" i="51"/>
  <c r="Q90" i="51"/>
  <c r="Q87" i="51"/>
  <c r="T86" i="51"/>
  <c r="Q91" i="51"/>
  <c r="Q80" i="51"/>
  <c r="T87" i="51"/>
  <c r="T91" i="51"/>
  <c r="T93" i="51"/>
  <c r="T76" i="51"/>
  <c r="Q85" i="51"/>
  <c r="Q92" i="51"/>
  <c r="Q95" i="51"/>
  <c r="T88" i="51"/>
  <c r="T95" i="51"/>
  <c r="T77" i="51"/>
  <c r="Q88" i="51"/>
  <c r="Q74" i="51"/>
  <c r="Q82" i="51"/>
  <c r="Q84" i="51"/>
  <c r="Q69" i="51"/>
  <c r="T85" i="51"/>
  <c r="Q77" i="51"/>
  <c r="Q76" i="51"/>
  <c r="Q94" i="51"/>
  <c r="T83" i="51"/>
  <c r="T79" i="51"/>
  <c r="Q78" i="51"/>
  <c r="Q75" i="51"/>
  <c r="T90" i="51"/>
  <c r="Q96" i="51"/>
  <c r="Q81" i="51"/>
  <c r="Q89" i="51"/>
  <c r="T59" i="51"/>
  <c r="T60" i="51"/>
  <c r="Q59" i="51"/>
  <c r="T58" i="51"/>
  <c r="Q60" i="51"/>
  <c r="T66" i="51"/>
  <c r="Q66" i="51"/>
  <c r="T62" i="51"/>
  <c r="Q63" i="51"/>
  <c r="T67" i="51"/>
  <c r="T61" i="51"/>
  <c r="Q58" i="51"/>
  <c r="Q62" i="51"/>
  <c r="T63" i="51"/>
  <c r="Q57" i="51"/>
  <c r="T65" i="51"/>
  <c r="Q67" i="51"/>
  <c r="T57" i="51"/>
  <c r="Q64" i="51"/>
  <c r="R100" i="51"/>
  <c r="T56" i="51"/>
  <c r="Q61" i="51"/>
  <c r="O99" i="51"/>
  <c r="O100" i="51" s="1"/>
  <c r="L100" i="51"/>
  <c r="T64" i="51"/>
  <c r="H130" i="51" l="1"/>
  <c r="H137" i="51"/>
  <c r="R102" i="51"/>
  <c r="V56" i="51"/>
  <c r="W98" i="51" s="1"/>
  <c r="H138" i="51"/>
  <c r="H134" i="51"/>
  <c r="H140" i="51"/>
  <c r="H132" i="51"/>
  <c r="H133" i="51"/>
  <c r="H141" i="51"/>
  <c r="H131" i="51"/>
  <c r="H135" i="51"/>
  <c r="H144" i="51"/>
  <c r="H143" i="51"/>
  <c r="H139" i="51"/>
  <c r="H136" i="51"/>
  <c r="H142" i="51"/>
  <c r="W70" i="51" l="1"/>
  <c r="W71" i="51"/>
  <c r="W72" i="51"/>
  <c r="W73" i="51"/>
  <c r="W68" i="51"/>
  <c r="W79" i="51"/>
  <c r="W84" i="51"/>
  <c r="W90" i="51"/>
  <c r="W81" i="51"/>
  <c r="W88" i="51"/>
  <c r="W87" i="51"/>
  <c r="W77" i="51"/>
  <c r="W85" i="51"/>
  <c r="W80" i="51"/>
  <c r="W92" i="51"/>
  <c r="W86" i="51"/>
  <c r="W83" i="51"/>
  <c r="W69" i="51"/>
  <c r="W93" i="51"/>
  <c r="W76" i="51"/>
  <c r="W94" i="51"/>
  <c r="W75" i="51"/>
  <c r="W96" i="51"/>
  <c r="W82" i="51"/>
  <c r="W91" i="51"/>
  <c r="W78" i="51"/>
  <c r="W89" i="51"/>
  <c r="W74" i="51"/>
  <c r="W97" i="51"/>
  <c r="W95" i="51"/>
  <c r="W56" i="51"/>
  <c r="W61" i="51"/>
  <c r="W62" i="51"/>
  <c r="W59" i="51"/>
  <c r="W64" i="51"/>
  <c r="W60" i="51"/>
  <c r="W63" i="51"/>
  <c r="W57" i="51"/>
  <c r="W65" i="51"/>
  <c r="W67" i="51"/>
  <c r="W66" i="51"/>
  <c r="W58" i="51"/>
  <c r="I130" i="51" l="1"/>
  <c r="D108" i="51" s="1"/>
  <c r="B81" i="46" s="1"/>
  <c r="I139" i="51"/>
  <c r="I133" i="51"/>
  <c r="I143" i="51"/>
  <c r="I140" i="51"/>
  <c r="I132" i="51"/>
  <c r="I142" i="51"/>
  <c r="I134" i="51"/>
  <c r="I136" i="51"/>
  <c r="I138" i="51"/>
  <c r="I144" i="51"/>
  <c r="I135" i="51"/>
  <c r="I137" i="51"/>
  <c r="I141" i="51"/>
  <c r="I131" i="51"/>
  <c r="D109" i="51" s="1"/>
  <c r="C285" i="43" l="1"/>
  <c r="C296" i="57"/>
  <c r="O12" i="40"/>
  <c r="R17" i="50"/>
  <c r="Q89" i="47"/>
  <c r="B83" i="46"/>
  <c r="B82" i="46"/>
  <c r="D306" i="43" l="1"/>
  <c r="D305" i="43"/>
  <c r="D304" i="43"/>
  <c r="D296" i="43"/>
  <c r="D293" i="43"/>
  <c r="D299" i="43"/>
  <c r="D286" i="43"/>
  <c r="F286" i="43" s="1"/>
  <c r="D290" i="43"/>
  <c r="D289" i="43"/>
  <c r="D292" i="43"/>
  <c r="D288" i="43"/>
  <c r="D294" i="43"/>
  <c r="D300" i="43"/>
  <c r="D287" i="43"/>
  <c r="D291" i="43"/>
  <c r="D298" i="43"/>
  <c r="D297" i="43"/>
  <c r="D301" i="43"/>
  <c r="D295" i="43"/>
  <c r="D303" i="43"/>
  <c r="C310" i="43"/>
  <c r="C322" i="57"/>
  <c r="S17" i="50"/>
  <c r="C57" i="47"/>
  <c r="P12" i="40"/>
  <c r="P10" i="41"/>
  <c r="R89" i="47"/>
  <c r="S89" i="47"/>
  <c r="C348" i="57"/>
  <c r="C59" i="47"/>
  <c r="T17" i="50"/>
  <c r="D355" i="43" l="1"/>
  <c r="D356" i="43"/>
  <c r="D354" i="43"/>
  <c r="D348" i="43"/>
  <c r="D353" i="43"/>
  <c r="D338" i="43"/>
  <c r="D339" i="43"/>
  <c r="D337" i="43"/>
  <c r="D342" i="43"/>
  <c r="D341" i="43"/>
  <c r="D346" i="43"/>
  <c r="D336" i="43"/>
  <c r="D347" i="43"/>
  <c r="D349" i="43"/>
  <c r="D340" i="43"/>
  <c r="D344" i="43"/>
  <c r="D350" i="43"/>
  <c r="D351" i="43"/>
  <c r="D343" i="43"/>
  <c r="D345" i="43"/>
  <c r="D330" i="43"/>
  <c r="D331" i="43"/>
  <c r="D329" i="43"/>
  <c r="D328" i="43"/>
  <c r="D311" i="43"/>
  <c r="D314" i="43"/>
  <c r="D312" i="43"/>
  <c r="D321" i="43"/>
  <c r="D324" i="43"/>
  <c r="D326" i="43"/>
  <c r="D317" i="43"/>
  <c r="D316" i="43"/>
  <c r="D319" i="43"/>
  <c r="D320" i="43"/>
  <c r="D315" i="43"/>
  <c r="D322" i="43"/>
  <c r="D313" i="43"/>
  <c r="D318" i="43"/>
  <c r="D325" i="43"/>
  <c r="D323" i="43"/>
  <c r="G286" i="43"/>
  <c r="J286" i="43" s="1"/>
  <c r="G293" i="43"/>
  <c r="J293" i="43" s="1"/>
  <c r="F293" i="43"/>
  <c r="I293" i="43" s="1"/>
  <c r="F288" i="43"/>
  <c r="I288" i="43" s="1"/>
  <c r="G288" i="43"/>
  <c r="J288" i="43" s="1"/>
  <c r="O23" i="40"/>
  <c r="R20" i="50" s="1"/>
  <c r="G304" i="43"/>
  <c r="J304" i="43" s="1"/>
  <c r="F304" i="43"/>
  <c r="I304" i="43" s="1"/>
  <c r="G287" i="43"/>
  <c r="J287" i="43" s="1"/>
  <c r="F287" i="43"/>
  <c r="I287" i="43" s="1"/>
  <c r="G300" i="43"/>
  <c r="J300" i="43" s="1"/>
  <c r="F300" i="43"/>
  <c r="I300" i="43" s="1"/>
  <c r="G292" i="43"/>
  <c r="J292" i="43" s="1"/>
  <c r="F292" i="43"/>
  <c r="I292" i="43" s="1"/>
  <c r="F303" i="43"/>
  <c r="D302" i="43"/>
  <c r="D285" i="43" s="1"/>
  <c r="G303" i="43"/>
  <c r="F297" i="43"/>
  <c r="I297" i="43" s="1"/>
  <c r="G297" i="43"/>
  <c r="J297" i="43" s="1"/>
  <c r="G305" i="43"/>
  <c r="J305" i="43" s="1"/>
  <c r="F305" i="43"/>
  <c r="I305" i="43" s="1"/>
  <c r="F296" i="57"/>
  <c r="O12" i="41" s="1"/>
  <c r="I286" i="43"/>
  <c r="F301" i="43"/>
  <c r="I301" i="43" s="1"/>
  <c r="G301" i="43"/>
  <c r="J301" i="43" s="1"/>
  <c r="G290" i="43"/>
  <c r="J290" i="43" s="1"/>
  <c r="F290" i="43"/>
  <c r="I290" i="43" s="1"/>
  <c r="N296" i="57"/>
  <c r="O15" i="41" s="1"/>
  <c r="F306" i="43"/>
  <c r="I306" i="43" s="1"/>
  <c r="G306" i="43"/>
  <c r="J306" i="43" s="1"/>
  <c r="G294" i="43"/>
  <c r="J294" i="43" s="1"/>
  <c r="F294" i="43"/>
  <c r="I294" i="43" s="1"/>
  <c r="F298" i="43"/>
  <c r="I298" i="43" s="1"/>
  <c r="G298" i="43"/>
  <c r="J298" i="43" s="1"/>
  <c r="G295" i="43"/>
  <c r="J295" i="43" s="1"/>
  <c r="F295" i="43"/>
  <c r="I295" i="43" s="1"/>
  <c r="G299" i="43"/>
  <c r="J299" i="43" s="1"/>
  <c r="F299" i="43"/>
  <c r="I299" i="43" s="1"/>
  <c r="F289" i="43"/>
  <c r="I289" i="43" s="1"/>
  <c r="G289" i="43"/>
  <c r="J289" i="43" s="1"/>
  <c r="G296" i="43"/>
  <c r="J296" i="43" s="1"/>
  <c r="F296" i="43"/>
  <c r="I296" i="43" s="1"/>
  <c r="G291" i="43"/>
  <c r="J291" i="43" s="1"/>
  <c r="F291" i="43"/>
  <c r="I291" i="43" s="1"/>
  <c r="D296" i="57"/>
  <c r="O11" i="41" s="1"/>
  <c r="D308" i="43" l="1"/>
  <c r="O25" i="41"/>
  <c r="K291" i="43"/>
  <c r="K305" i="43"/>
  <c r="K295" i="43"/>
  <c r="K286" i="43"/>
  <c r="K290" i="43"/>
  <c r="K293" i="43"/>
  <c r="K288" i="43"/>
  <c r="K289" i="43"/>
  <c r="K306" i="43"/>
  <c r="K300" i="43"/>
  <c r="O296" i="57"/>
  <c r="O16" i="41"/>
  <c r="K292" i="43"/>
  <c r="K304" i="43"/>
  <c r="O25" i="40"/>
  <c r="K296" i="43"/>
  <c r="K298" i="43"/>
  <c r="K297" i="43"/>
  <c r="K294" i="43"/>
  <c r="K301" i="43"/>
  <c r="G302" i="43"/>
  <c r="G285" i="43" s="1"/>
  <c r="J303" i="43"/>
  <c r="J302" i="43" s="1"/>
  <c r="J285" i="43" s="1"/>
  <c r="K287" i="43"/>
  <c r="K299" i="43"/>
  <c r="F302" i="43"/>
  <c r="F285" i="43" s="1"/>
  <c r="I303" i="43"/>
  <c r="F323" i="43"/>
  <c r="I323" i="43" s="1"/>
  <c r="G323" i="43"/>
  <c r="J323" i="43" s="1"/>
  <c r="G317" i="43"/>
  <c r="J317" i="43" s="1"/>
  <c r="F317" i="43"/>
  <c r="I317" i="43" s="1"/>
  <c r="F311" i="43"/>
  <c r="G311" i="43"/>
  <c r="N348" i="57"/>
  <c r="Q15" i="41" s="1"/>
  <c r="F343" i="43"/>
  <c r="I343" i="43" s="1"/>
  <c r="G343" i="43"/>
  <c r="J343" i="43" s="1"/>
  <c r="F347" i="43"/>
  <c r="I347" i="43" s="1"/>
  <c r="G347" i="43"/>
  <c r="J347" i="43" s="1"/>
  <c r="G355" i="43"/>
  <c r="J355" i="43" s="1"/>
  <c r="F355" i="43"/>
  <c r="I355" i="43" s="1"/>
  <c r="F318" i="43"/>
  <c r="I318" i="43" s="1"/>
  <c r="G318" i="43"/>
  <c r="J318" i="43" s="1"/>
  <c r="F320" i="43"/>
  <c r="I320" i="43" s="1"/>
  <c r="G320" i="43"/>
  <c r="J320" i="43" s="1"/>
  <c r="F324" i="43"/>
  <c r="I324" i="43" s="1"/>
  <c r="G324" i="43"/>
  <c r="J324" i="43" s="1"/>
  <c r="G313" i="43"/>
  <c r="J313" i="43" s="1"/>
  <c r="F313" i="43"/>
  <c r="I313" i="43" s="1"/>
  <c r="F331" i="43"/>
  <c r="I331" i="43" s="1"/>
  <c r="G331" i="43"/>
  <c r="J331" i="43" s="1"/>
  <c r="G349" i="43"/>
  <c r="J349" i="43" s="1"/>
  <c r="F349" i="43"/>
  <c r="I349" i="43" s="1"/>
  <c r="G341" i="43"/>
  <c r="J341" i="43" s="1"/>
  <c r="F341" i="43"/>
  <c r="I341" i="43" s="1"/>
  <c r="G348" i="43"/>
  <c r="J348" i="43" s="1"/>
  <c r="F348" i="43"/>
  <c r="I348" i="43" s="1"/>
  <c r="G314" i="43"/>
  <c r="J314" i="43" s="1"/>
  <c r="F314" i="43"/>
  <c r="I314" i="43" s="1"/>
  <c r="D348" i="57"/>
  <c r="Q11" i="41" s="1"/>
  <c r="F348" i="57"/>
  <c r="Q12" i="41" s="1"/>
  <c r="F345" i="43"/>
  <c r="I345" i="43" s="1"/>
  <c r="G345" i="43"/>
  <c r="J345" i="43" s="1"/>
  <c r="F339" i="43"/>
  <c r="I339" i="43" s="1"/>
  <c r="G339" i="43"/>
  <c r="J339" i="43" s="1"/>
  <c r="F350" i="43"/>
  <c r="I350" i="43" s="1"/>
  <c r="G350" i="43"/>
  <c r="J350" i="43" s="1"/>
  <c r="F315" i="43"/>
  <c r="I315" i="43" s="1"/>
  <c r="G315" i="43"/>
  <c r="J315" i="43" s="1"/>
  <c r="Q23" i="40"/>
  <c r="T20" i="50" s="1"/>
  <c r="F344" i="43"/>
  <c r="I344" i="43" s="1"/>
  <c r="G344" i="43"/>
  <c r="J344" i="43" s="1"/>
  <c r="G338" i="43"/>
  <c r="J338" i="43" s="1"/>
  <c r="F338" i="43"/>
  <c r="I338" i="43" s="1"/>
  <c r="F337" i="43"/>
  <c r="I337" i="43" s="1"/>
  <c r="G337" i="43"/>
  <c r="J337" i="43" s="1"/>
  <c r="G354" i="43"/>
  <c r="J354" i="43" s="1"/>
  <c r="F354" i="43"/>
  <c r="I354" i="43" s="1"/>
  <c r="F322" i="43"/>
  <c r="I322" i="43" s="1"/>
  <c r="G322" i="43"/>
  <c r="J322" i="43" s="1"/>
  <c r="G325" i="43"/>
  <c r="J325" i="43" s="1"/>
  <c r="F325" i="43"/>
  <c r="I325" i="43" s="1"/>
  <c r="G319" i="43"/>
  <c r="J319" i="43" s="1"/>
  <c r="F319" i="43"/>
  <c r="I319" i="43" s="1"/>
  <c r="G312" i="43"/>
  <c r="J312" i="43" s="1"/>
  <c r="F312" i="43"/>
  <c r="I312" i="43" s="1"/>
  <c r="G326" i="43"/>
  <c r="J326" i="43" s="1"/>
  <c r="F326" i="43"/>
  <c r="I326" i="43" s="1"/>
  <c r="G330" i="43"/>
  <c r="J330" i="43" s="1"/>
  <c r="F330" i="43"/>
  <c r="I330" i="43" s="1"/>
  <c r="P23" i="40"/>
  <c r="S20" i="50" s="1"/>
  <c r="G346" i="43"/>
  <c r="J346" i="43" s="1"/>
  <c r="F346" i="43"/>
  <c r="I346" i="43" s="1"/>
  <c r="G351" i="43"/>
  <c r="J351" i="43" s="1"/>
  <c r="F351" i="43"/>
  <c r="I351" i="43" s="1"/>
  <c r="G353" i="43"/>
  <c r="D352" i="43"/>
  <c r="D335" i="43" s="1"/>
  <c r="F353" i="43"/>
  <c r="F336" i="43"/>
  <c r="G336" i="43"/>
  <c r="G321" i="43"/>
  <c r="J321" i="43" s="1"/>
  <c r="F321" i="43"/>
  <c r="I321" i="43" s="1"/>
  <c r="G316" i="43"/>
  <c r="J316" i="43" s="1"/>
  <c r="F316" i="43"/>
  <c r="I316" i="43" s="1"/>
  <c r="G328" i="43"/>
  <c r="D327" i="43"/>
  <c r="D310" i="43" s="1"/>
  <c r="F328" i="43"/>
  <c r="G329" i="43"/>
  <c r="J329" i="43" s="1"/>
  <c r="F329" i="43"/>
  <c r="I329" i="43" s="1"/>
  <c r="F342" i="43"/>
  <c r="I342" i="43" s="1"/>
  <c r="G342" i="43"/>
  <c r="J342" i="43" s="1"/>
  <c r="G340" i="43"/>
  <c r="J340" i="43" s="1"/>
  <c r="F340" i="43"/>
  <c r="I340" i="43" s="1"/>
  <c r="F356" i="43"/>
  <c r="I356" i="43" s="1"/>
  <c r="G356" i="43"/>
  <c r="J356" i="43" s="1"/>
  <c r="D333" i="43" l="1"/>
  <c r="P25" i="41"/>
  <c r="O27" i="41"/>
  <c r="R23" i="50"/>
  <c r="D358" i="43"/>
  <c r="Q25" i="41"/>
  <c r="O18" i="41"/>
  <c r="R22" i="50"/>
  <c r="I302" i="43"/>
  <c r="I285" i="43" s="1"/>
  <c r="I308" i="43" s="1"/>
  <c r="K303" i="43"/>
  <c r="K302" i="43" s="1"/>
  <c r="K285" i="43" s="1"/>
  <c r="K314" i="43"/>
  <c r="K351" i="43"/>
  <c r="K344" i="43"/>
  <c r="K349" i="43"/>
  <c r="K355" i="43"/>
  <c r="K316" i="43"/>
  <c r="K322" i="43"/>
  <c r="K318" i="43"/>
  <c r="K343" i="43"/>
  <c r="K337" i="43"/>
  <c r="K356" i="43"/>
  <c r="K315" i="43"/>
  <c r="K345" i="43"/>
  <c r="K331" i="43"/>
  <c r="K320" i="43"/>
  <c r="K347" i="43"/>
  <c r="K321" i="43"/>
  <c r="I336" i="43"/>
  <c r="K346" i="43"/>
  <c r="K348" i="43"/>
  <c r="J311" i="43"/>
  <c r="P25" i="40"/>
  <c r="J328" i="43"/>
  <c r="J327" i="43" s="1"/>
  <c r="G327" i="43"/>
  <c r="G310" i="43" s="1"/>
  <c r="K340" i="43"/>
  <c r="I328" i="43"/>
  <c r="F327" i="43"/>
  <c r="F310" i="43" s="1"/>
  <c r="I353" i="43"/>
  <c r="F352" i="43"/>
  <c r="F335" i="43" s="1"/>
  <c r="K312" i="43"/>
  <c r="K338" i="43"/>
  <c r="I311" i="43"/>
  <c r="K341" i="43"/>
  <c r="K313" i="43"/>
  <c r="K317" i="43"/>
  <c r="J353" i="43"/>
  <c r="J352" i="43" s="1"/>
  <c r="G352" i="43"/>
  <c r="G335" i="43" s="1"/>
  <c r="K330" i="43"/>
  <c r="K319" i="43"/>
  <c r="K354" i="43"/>
  <c r="K350" i="43"/>
  <c r="O348" i="57"/>
  <c r="K342" i="43"/>
  <c r="K329" i="43"/>
  <c r="J336" i="43"/>
  <c r="K326" i="43"/>
  <c r="K325" i="43"/>
  <c r="Q25" i="40"/>
  <c r="K339" i="43"/>
  <c r="K324" i="43"/>
  <c r="K323" i="43"/>
  <c r="P27" i="41" l="1"/>
  <c r="S23" i="50"/>
  <c r="T23" i="50"/>
  <c r="Q27" i="41"/>
  <c r="R21" i="50"/>
  <c r="R19" i="50" s="1"/>
  <c r="J310" i="43"/>
  <c r="J335" i="43"/>
  <c r="K353" i="43"/>
  <c r="K352" i="43" s="1"/>
  <c r="I352" i="43"/>
  <c r="I335" i="43" s="1"/>
  <c r="I358" i="43" s="1"/>
  <c r="K336" i="43"/>
  <c r="K311" i="43"/>
  <c r="I327" i="43"/>
  <c r="I310" i="43" s="1"/>
  <c r="I333" i="43" s="1"/>
  <c r="K328" i="43"/>
  <c r="K327" i="43" s="1"/>
  <c r="K335" i="43" l="1"/>
  <c r="K310" i="43"/>
  <c r="R111" i="47" l="1"/>
  <c r="R114" i="47" s="1"/>
  <c r="N322" i="57"/>
  <c r="P15" i="41" s="1"/>
  <c r="D322" i="57"/>
  <c r="P11" i="41" s="1"/>
  <c r="F322" i="57"/>
  <c r="P12" i="41" s="1"/>
  <c r="O322" i="57" l="1"/>
  <c r="P16" i="41" l="1"/>
  <c r="Q16" i="41"/>
  <c r="Q18" i="41" l="1"/>
  <c r="T22" i="50"/>
  <c r="T21" i="50" s="1"/>
  <c r="T19" i="50" s="1"/>
  <c r="S22" i="50"/>
  <c r="S21" i="50" s="1"/>
  <c r="S19" i="50" s="1"/>
  <c r="P18" i="41"/>
  <c r="F143" i="43" l="1"/>
  <c r="I143" i="43" s="1"/>
  <c r="G143" i="43"/>
  <c r="J143" i="43" s="1"/>
  <c r="F99" i="43"/>
  <c r="I99" i="43" s="1"/>
  <c r="G99" i="43"/>
  <c r="J99" i="43" s="1"/>
  <c r="G92" i="43"/>
  <c r="J92" i="43" s="1"/>
  <c r="F92" i="43"/>
  <c r="I92" i="43" s="1"/>
  <c r="F97" i="43"/>
  <c r="I97" i="43" s="1"/>
  <c r="G97" i="43"/>
  <c r="J97" i="43" s="1"/>
  <c r="G90" i="43"/>
  <c r="J90" i="43" s="1"/>
  <c r="F90" i="43"/>
  <c r="I90" i="43" s="1"/>
  <c r="F93" i="43"/>
  <c r="I93" i="43" s="1"/>
  <c r="G93" i="43"/>
  <c r="J93" i="43" s="1"/>
  <c r="F117" i="43"/>
  <c r="I117" i="43" s="1"/>
  <c r="G117" i="43"/>
  <c r="J117" i="43" s="1"/>
  <c r="G119" i="43"/>
  <c r="J119" i="43" s="1"/>
  <c r="F119" i="43"/>
  <c r="I119" i="43" s="1"/>
  <c r="G120" i="43"/>
  <c r="J120" i="43" s="1"/>
  <c r="F120" i="43"/>
  <c r="I120" i="43" s="1"/>
  <c r="F141" i="43"/>
  <c r="I141" i="43" s="1"/>
  <c r="G141" i="43"/>
  <c r="J141" i="43" s="1"/>
  <c r="F94" i="43"/>
  <c r="I94" i="43" s="1"/>
  <c r="G94" i="43"/>
  <c r="J94" i="43" s="1"/>
  <c r="F113" i="43"/>
  <c r="I113" i="43" s="1"/>
  <c r="G113" i="43"/>
  <c r="J113" i="43" s="1"/>
  <c r="G140" i="43"/>
  <c r="J140" i="43" s="1"/>
  <c r="F140" i="43"/>
  <c r="I140" i="43" s="1"/>
  <c r="G96" i="43"/>
  <c r="J96" i="43" s="1"/>
  <c r="F96" i="43"/>
  <c r="I96" i="43" s="1"/>
  <c r="G88" i="43"/>
  <c r="J88" i="43" s="1"/>
  <c r="F88" i="43"/>
  <c r="I88" i="43" s="1"/>
  <c r="G118" i="43"/>
  <c r="J118" i="43" s="1"/>
  <c r="F118" i="43"/>
  <c r="I118" i="43" s="1"/>
  <c r="F145" i="43"/>
  <c r="I145" i="43" s="1"/>
  <c r="G145" i="43"/>
  <c r="J145" i="43" s="1"/>
  <c r="F149" i="43"/>
  <c r="I149" i="43" s="1"/>
  <c r="G149" i="43"/>
  <c r="J149" i="43" s="1"/>
  <c r="F91" i="43"/>
  <c r="I91" i="43" s="1"/>
  <c r="G91" i="43"/>
  <c r="J91" i="43" s="1"/>
  <c r="F146" i="43"/>
  <c r="I146" i="43" s="1"/>
  <c r="G146" i="43"/>
  <c r="J146" i="43" s="1"/>
  <c r="G147" i="43"/>
  <c r="J147" i="43" s="1"/>
  <c r="F147" i="43"/>
  <c r="I147" i="43" s="1"/>
  <c r="G142" i="43"/>
  <c r="J142" i="43" s="1"/>
  <c r="F142" i="43"/>
  <c r="I142" i="43" s="1"/>
  <c r="G122" i="43"/>
  <c r="J122" i="43" s="1"/>
  <c r="F122" i="43"/>
  <c r="I122" i="43" s="1"/>
  <c r="G124" i="43"/>
  <c r="J124" i="43" s="1"/>
  <c r="F124" i="43"/>
  <c r="I124" i="43" s="1"/>
  <c r="F144" i="43"/>
  <c r="I144" i="43" s="1"/>
  <c r="G144" i="43"/>
  <c r="J144" i="43" s="1"/>
  <c r="G138" i="43"/>
  <c r="J138" i="43" s="1"/>
  <c r="F138" i="43"/>
  <c r="I138" i="43" s="1"/>
  <c r="G116" i="43"/>
  <c r="J116" i="43" s="1"/>
  <c r="F116" i="43"/>
  <c r="I116" i="43" s="1"/>
  <c r="F95" i="43"/>
  <c r="I95" i="43" s="1"/>
  <c r="G95" i="43"/>
  <c r="J95" i="43" s="1"/>
  <c r="G115" i="43"/>
  <c r="J115" i="43" s="1"/>
  <c r="F115" i="43"/>
  <c r="I115" i="43" s="1"/>
  <c r="G121" i="43"/>
  <c r="J121" i="43" s="1"/>
  <c r="F121" i="43"/>
  <c r="I121" i="43" s="1"/>
  <c r="K140" i="43" l="1"/>
  <c r="K118" i="43"/>
  <c r="K116" i="43"/>
  <c r="K96" i="43"/>
  <c r="K121" i="43"/>
  <c r="K124" i="43"/>
  <c r="K142" i="43"/>
  <c r="K120" i="43"/>
  <c r="K119" i="43"/>
  <c r="K90" i="43"/>
  <c r="K88" i="43"/>
  <c r="K92" i="43"/>
  <c r="K147" i="43"/>
  <c r="K115" i="43"/>
  <c r="K138" i="43"/>
  <c r="K122" i="43"/>
  <c r="K93" i="43"/>
  <c r="K149" i="43"/>
  <c r="G87" i="43"/>
  <c r="F87" i="43"/>
  <c r="K94" i="43"/>
  <c r="K99" i="43"/>
  <c r="G112" i="43"/>
  <c r="F112" i="43"/>
  <c r="F137" i="43"/>
  <c r="G137" i="43"/>
  <c r="K146" i="43"/>
  <c r="K145" i="43"/>
  <c r="K95" i="43"/>
  <c r="K144" i="43"/>
  <c r="K91" i="43"/>
  <c r="K113" i="43"/>
  <c r="K141" i="43"/>
  <c r="K117" i="43"/>
  <c r="K97" i="43"/>
  <c r="K143" i="43"/>
  <c r="J137" i="43" l="1"/>
  <c r="I137" i="43"/>
  <c r="I87" i="43"/>
  <c r="I112" i="43"/>
  <c r="J87" i="43"/>
  <c r="J112" i="43"/>
  <c r="K87" i="43" l="1"/>
  <c r="K137" i="43"/>
  <c r="K112" i="43"/>
  <c r="F101" i="43" l="1"/>
  <c r="I101" i="43" s="1"/>
  <c r="G101" i="43"/>
  <c r="J101" i="43" s="1"/>
  <c r="F126" i="43"/>
  <c r="I126" i="43" s="1"/>
  <c r="G126" i="43"/>
  <c r="J126" i="43" s="1"/>
  <c r="G151" i="43"/>
  <c r="J151" i="43" s="1"/>
  <c r="F151" i="43"/>
  <c r="I151" i="43" s="1"/>
  <c r="K151" i="43" l="1"/>
  <c r="K126" i="43"/>
  <c r="K101" i="43"/>
  <c r="D135" i="43" l="1"/>
  <c r="K158" i="47"/>
  <c r="J158" i="47"/>
  <c r="I158" i="47"/>
  <c r="D158" i="43" l="1"/>
  <c r="I25" i="41"/>
  <c r="G89" i="43"/>
  <c r="F89" i="43"/>
  <c r="D85" i="43"/>
  <c r="G114" i="43"/>
  <c r="D110" i="43"/>
  <c r="F139" i="43"/>
  <c r="G139" i="43"/>
  <c r="D133" i="43" l="1"/>
  <c r="H25" i="41"/>
  <c r="H23" i="50" s="1"/>
  <c r="D108" i="43"/>
  <c r="G25" i="41"/>
  <c r="G23" i="50" s="1"/>
  <c r="I27" i="41"/>
  <c r="I23" i="50"/>
  <c r="I114" i="43"/>
  <c r="F110" i="43"/>
  <c r="J139" i="43"/>
  <c r="J135" i="43" s="1"/>
  <c r="G135" i="43"/>
  <c r="I89" i="43"/>
  <c r="F85" i="43"/>
  <c r="J114" i="43"/>
  <c r="J110" i="43" s="1"/>
  <c r="G110" i="43"/>
  <c r="I139" i="43"/>
  <c r="F135" i="43"/>
  <c r="J89" i="43"/>
  <c r="J85" i="43" s="1"/>
  <c r="G85" i="43"/>
  <c r="K89" i="43" l="1"/>
  <c r="K85" i="43" s="1"/>
  <c r="I85" i="43"/>
  <c r="I108" i="43" s="1"/>
  <c r="K139" i="43"/>
  <c r="K135" i="43" s="1"/>
  <c r="I135" i="43"/>
  <c r="I158" i="43" s="1"/>
  <c r="K114" i="43"/>
  <c r="K110" i="43" s="1"/>
  <c r="I110" i="43"/>
  <c r="I133" i="43" s="1"/>
  <c r="I21" i="50" l="1"/>
  <c r="I19" i="50" s="1"/>
  <c r="H27" i="41"/>
  <c r="H21" i="50"/>
  <c r="H19" i="50" s="1"/>
  <c r="G27" i="41"/>
  <c r="G21" i="50"/>
  <c r="G19" i="50"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<sst xmlns="http://schemas.openxmlformats.org/spreadsheetml/2006/main" count="1478" uniqueCount="435">
  <si>
    <t>DESCRIPCIÓN DEL MODELO</t>
  </si>
  <si>
    <t>Estructura del modelo</t>
  </si>
  <si>
    <t>Hoja</t>
  </si>
  <si>
    <t>Descripción</t>
  </si>
  <si>
    <t>Resultados</t>
  </si>
  <si>
    <t>Prueba Servicios Móviles</t>
  </si>
  <si>
    <t>Reporta el margen en porcentaje de los ingresos.</t>
  </si>
  <si>
    <t>Resultados intermedios</t>
  </si>
  <si>
    <t>Ingresos minoristas</t>
  </si>
  <si>
    <t>Hoja resumen de los ingresos minoristas.</t>
  </si>
  <si>
    <t>Costos</t>
  </si>
  <si>
    <r>
      <t xml:space="preserve">Hoja resumen de los costos a los que se enfrenta el </t>
    </r>
    <r>
      <rPr>
        <b/>
        <sz val="10"/>
        <rFont val="Arial"/>
        <family val="2"/>
      </rPr>
      <t>OMV ligero/revendedor.</t>
    </r>
  </si>
  <si>
    <t>Cálculos intermedios</t>
  </si>
  <si>
    <t>Pagos mayoristas</t>
  </si>
  <si>
    <r>
      <t xml:space="preserve">Se estiman los pagos mayoristas al AEP por parte del </t>
    </r>
    <r>
      <rPr>
        <b/>
        <sz val="10"/>
        <rFont val="Arial"/>
        <family val="2"/>
      </rPr>
      <t>OMV ligero/revendedor.</t>
    </r>
  </si>
  <si>
    <t>Costos aguas abajo</t>
  </si>
  <si>
    <r>
      <t>Se detallan los costos aguas abajo a los que se enfrenta un</t>
    </r>
    <r>
      <rPr>
        <b/>
        <sz val="10"/>
        <rFont val="Arial"/>
        <family val="2"/>
      </rPr>
      <t xml:space="preserve"> OMV ligero/revendedor.</t>
    </r>
  </si>
  <si>
    <t>Requerimientos de información</t>
  </si>
  <si>
    <t>Informacion del AEP</t>
  </si>
  <si>
    <t>Información reportada por el AEP</t>
  </si>
  <si>
    <t>Ofertas insignia</t>
  </si>
  <si>
    <t>Se seleccionan las ofertas Insignia en base a la información reportada por el AEP</t>
  </si>
  <si>
    <t>Ofertas de referencia</t>
  </si>
  <si>
    <t>Precio mayorista</t>
  </si>
  <si>
    <t>A rellenar por el Instituto con la información de precios actualizada de conformidad con las tarifas vigentes (oferta de referencia).</t>
  </si>
  <si>
    <t>Precios mayoristas efectivos</t>
  </si>
  <si>
    <t>Se cálcula de manera automática el precio mayorista unitario efectivo. Este es el promedio ponderado de los precios efectivos pagados por los OMVs (según su rango y el esquema de pago seleccionado)</t>
  </si>
  <si>
    <t>Hoja Auxiliar</t>
  </si>
  <si>
    <t>Hoja de soporte para los cálculos de los pagos mayoristas</t>
  </si>
  <si>
    <t>Supuestos</t>
  </si>
  <si>
    <t>Contiene la categorización de los servicios incluidos y % de tráfico en transito, entre otros.</t>
  </si>
  <si>
    <t>Hoja auxiliar gráficos</t>
  </si>
  <si>
    <t>Contiene fórmulas para generar los gráficos de la hoja de resultados de la prueba móvil</t>
  </si>
  <si>
    <t>Leyenda</t>
  </si>
  <si>
    <t>Insumos del IFT</t>
  </si>
  <si>
    <t>Parámetros aleatorios del IFT fijos durante el período de referencia. Contiene información sin procesar.</t>
  </si>
  <si>
    <t>Insumos del AEP</t>
  </si>
  <si>
    <t xml:space="preserve">Información remitida por el AEP. Contiene información sin procesar. </t>
  </si>
  <si>
    <t>Celda de ayuda</t>
  </si>
  <si>
    <t>Contiene información de soporte.</t>
  </si>
  <si>
    <t>Cálculos</t>
  </si>
  <si>
    <t>Cálculos del modelo.</t>
  </si>
  <si>
    <t>X-check</t>
  </si>
  <si>
    <t>Cálculos de chequeo y consistencia.</t>
  </si>
  <si>
    <t>Contiene opciones a escoger en el modelo.</t>
  </si>
  <si>
    <t>Totales</t>
  </si>
  <si>
    <t>Celdas que agregan subcategorías.</t>
  </si>
  <si>
    <t>Celdas con resultados del modelo.</t>
  </si>
  <si>
    <t>Actualizar tarifas mayoristas e insumos</t>
  </si>
  <si>
    <t>Actualizar supuestos (parámetros aleatorios)</t>
  </si>
  <si>
    <t>Ir a Supuestos &gt;&gt;</t>
  </si>
  <si>
    <t>La información de precios deberá actualizarse de conformidad con las tarifas vigentes</t>
  </si>
  <si>
    <t>Ir a Precios mayoristas &gt;&gt;</t>
  </si>
  <si>
    <t>-</t>
  </si>
  <si>
    <t>Actualizar los precios según la Oferta de Referencia</t>
  </si>
  <si>
    <t xml:space="preserve">Los cargos no recurrentes se corresponderían con los costos iniciales que el OMV debería pagar al operador anfitrión para poder prestar el servicio minorista. </t>
  </si>
  <si>
    <t xml:space="preserve">Se considera que el operador anfitrión gestiona la terminación del tráfico en otras redes a cambio de un pago según el destino. </t>
  </si>
  <si>
    <t>Dependiendo del esquema tarifario vigente en cada momento, deberá seleccionarse la opción correspondiente en la celda C15</t>
  </si>
  <si>
    <t>Notas</t>
  </si>
  <si>
    <t>Los datos empleados en el modelo son ficticios</t>
  </si>
  <si>
    <t>Los precios, ingresos y costos están expresados sin impuestos y en moneda nacional a menos que se especifique lo contrario</t>
  </si>
  <si>
    <t>RESULTADOS &gt;&gt;</t>
  </si>
  <si>
    <t>PRUEBA DE REPLICABILIDAD: SERVICIOS MOVILES</t>
  </si>
  <si>
    <t>Período de referencia</t>
  </si>
  <si>
    <t>Inicio de período</t>
  </si>
  <si>
    <t>Fin de período</t>
  </si>
  <si>
    <t>Estándar de eficiencia</t>
  </si>
  <si>
    <t>EEO</t>
  </si>
  <si>
    <t>Nota: En el caso de prepago, el esquema de pago insignia es aquel que representa de manera conjunta el porcentaje más alto de usuarios y/o ingresos (evidenciada en verde), según la información de la pestaña para la selección de la oferta insignia. El resto de ofertas (no evidenciadas) se presentan sólo a título informativo.</t>
  </si>
  <si>
    <t xml:space="preserve"> </t>
  </si>
  <si>
    <t>Prepago</t>
  </si>
  <si>
    <t>Monto esquema prepago</t>
  </si>
  <si>
    <t>Pospago</t>
  </si>
  <si>
    <t>Mayor crecimiento pospago</t>
  </si>
  <si>
    <t>Oferta 1</t>
  </si>
  <si>
    <t>Oferta 2</t>
  </si>
  <si>
    <t>Oferta 3</t>
  </si>
  <si>
    <t>Oferta 4</t>
  </si>
  <si>
    <t>Oferta 5</t>
  </si>
  <si>
    <t>Oferta 6</t>
  </si>
  <si>
    <t>Oferta 7</t>
  </si>
  <si>
    <t>Oferta 8</t>
  </si>
  <si>
    <t>Oferta 9</t>
  </si>
  <si>
    <t>Oferta 10</t>
  </si>
  <si>
    <t>Concepto</t>
  </si>
  <si>
    <t>Replicabilidad económica</t>
  </si>
  <si>
    <t>Margen</t>
  </si>
  <si>
    <t>Representación gráfica</t>
  </si>
  <si>
    <t>RESULTADOS PARCIALES &gt;&gt;</t>
  </si>
  <si>
    <t>RESUMEN DE INGRESOS MINORISTAS</t>
  </si>
  <si>
    <t>Ir a Resultados &gt;&gt;</t>
  </si>
  <si>
    <t>Nota: Los ingresos se nutren directamente del requerimiento de información del AEP. No se requiere ningún cálculo intermedio.</t>
  </si>
  <si>
    <t>Segmento Prepago</t>
  </si>
  <si>
    <t>Monto esquema Prepago</t>
  </si>
  <si>
    <t>Portabilidad Prepago</t>
  </si>
  <si>
    <t>Ofertas pospago mayor número de ingresos y/o usuarios</t>
  </si>
  <si>
    <t>Ofertas pospago de mayor crecimiento</t>
  </si>
  <si>
    <t>Paquete de recarga de datos</t>
  </si>
  <si>
    <t>Otros paquetes</t>
  </si>
  <si>
    <t>RESUMEN DE COSTOS</t>
  </si>
  <si>
    <t>Costos aguas abajo OMV de aciuerdo con estándar de costos</t>
  </si>
  <si>
    <t>Estándar de costos</t>
  </si>
  <si>
    <t>CÁLCULOS INTERMEDIOS &gt;&gt;</t>
  </si>
  <si>
    <t>COSTOS AGUAS ABAJO</t>
  </si>
  <si>
    <t>SEO</t>
  </si>
  <si>
    <t>Costos totales</t>
  </si>
  <si>
    <t>Costos fijos</t>
  </si>
  <si>
    <t>Costos variables</t>
  </si>
  <si>
    <t xml:space="preserve">Costos totales ajustados </t>
  </si>
  <si>
    <t xml:space="preserve">Coste de capital </t>
  </si>
  <si>
    <t>ADMINISTRACIÓN DE USUARIOS RECARGAS PREPAGO</t>
  </si>
  <si>
    <t xml:space="preserve">Notas:
1. Los pagos por administración de usuarios no depeden del tráfico.
2. Los pagos por administración de usuarios son función del número de usuarios. El modelo usa el número de usuarios medio del periodo del AEP para el cálculo de los cargos del esquema de pago de prepago o del segmento de prepago, según corresponda.
3. Los pagos por administración de usuarios del esquema de pago o del segmento prepago, según corresponda, son distribuidos a las ofertas de prepago evaluadas considerando la distribución por el número de usuarios, según la información reportada por el AEP para cada oferta (contenida en la hoja "Req. de información AEP"). </t>
  </si>
  <si>
    <t>Cargo por administración de usuarios</t>
  </si>
  <si>
    <t>Usuarios</t>
  </si>
  <si>
    <t>Segmento de referencia</t>
  </si>
  <si>
    <t>Proporción</t>
  </si>
  <si>
    <t>Se distribuye considerando la proporción de usuarios</t>
  </si>
  <si>
    <t>PAGOS MAYORISTAS</t>
  </si>
  <si>
    <t>Notas:
1. Los pagos por administración de usuarios no depeden del tráfico por lo que las celdas correspondientes a cada categoría de servicio por tipo de tráfico deberían estar en blanco. 
2. Los pagos por administración de usuarios son función del número de usuarios. El modelo usa el número de usuarios medio del periodo del AEP para el cálculo de los cargos.
3. Los pagos por originación tarifa para cada tipo de servicio se computan multiplicando los precios mayoristas ponderados (contenidos en la hoja  "Precios mayoristas efectivos") por el tráfico correspondiente, según la información reportada por el AEP (contenida en la hoja "Req. de información AEP"). No arrastrar las fórmulas de las columnas ya que hay fórmulas únicas.
4. Los pagos fijos se asignan a cada segmento y a las ofertas insignia en proporción a los ingresos generados.</t>
  </si>
  <si>
    <t>Tipo de tráfico</t>
  </si>
  <si>
    <t>Tarifa originación</t>
  </si>
  <si>
    <t>Tránsito</t>
  </si>
  <si>
    <t>Pagos fijos</t>
  </si>
  <si>
    <t>Terminación</t>
  </si>
  <si>
    <t>Total</t>
  </si>
  <si>
    <t>Se calcula en la hoja "Administración usuario prepago"</t>
  </si>
  <si>
    <t>REQUERIMIENTOS DE INFORMACIÓN &gt;&gt;</t>
  </si>
  <si>
    <t>OFERTAS INSIGNIA</t>
  </si>
  <si>
    <t>Nota: Información a rellenar por el AEP relativa a los últimos 3 meses, reportando los ingresos y usuarios de aquellas ofertas que representan el 80% de sus usuarios o ingresos.</t>
  </si>
  <si>
    <t>Ingresos</t>
  </si>
  <si>
    <t>Combinado</t>
  </si>
  <si>
    <t>Crecimiento usuarios</t>
  </si>
  <si>
    <t>Promedio</t>
  </si>
  <si>
    <t>Usuarios totales</t>
  </si>
  <si>
    <t>Ingreso total</t>
  </si>
  <si>
    <t>Segmento Pospago</t>
  </si>
  <si>
    <t>Segmento Pospago + Mixto</t>
  </si>
  <si>
    <t>Segmento Mixto</t>
  </si>
  <si>
    <t>Ranking (Usuarios)</t>
  </si>
  <si>
    <t>%</t>
  </si>
  <si>
    <t>% acumulado</t>
  </si>
  <si>
    <t>Max</t>
  </si>
  <si>
    <t>Ranking (Ingresos)</t>
  </si>
  <si>
    <t>% combinado</t>
  </si>
  <si>
    <t>Ranking (Combinado)</t>
  </si>
  <si>
    <t>Telcel Prepago 1</t>
  </si>
  <si>
    <t>Telcel Prepago 2</t>
  </si>
  <si>
    <t>Telcel Prepago 3</t>
  </si>
  <si>
    <t>Segmento Prepago Rep.</t>
  </si>
  <si>
    <t>Monto 1</t>
  </si>
  <si>
    <t>Monto 2</t>
  </si>
  <si>
    <t>Monto 3</t>
  </si>
  <si>
    <t>Monto 4</t>
  </si>
  <si>
    <t>Monto 5</t>
  </si>
  <si>
    <t>Monto 6</t>
  </si>
  <si>
    <t>Monto 7</t>
  </si>
  <si>
    <t>Otros</t>
  </si>
  <si>
    <t>Portabilidad 1</t>
  </si>
  <si>
    <t>Portabilidad 2</t>
  </si>
  <si>
    <t>Portabilidad 3</t>
  </si>
  <si>
    <t>Portabilidad 4</t>
  </si>
  <si>
    <t>Portabilidad 5</t>
  </si>
  <si>
    <t>Portabilidad 6</t>
  </si>
  <si>
    <t>Portabilidad 7</t>
  </si>
  <si>
    <t>Ranking (Crecimiento)</t>
  </si>
  <si>
    <t>Telcel Pospago 1</t>
  </si>
  <si>
    <t>Telcel Pospago 2</t>
  </si>
  <si>
    <t>Telcel Pospago 3</t>
  </si>
  <si>
    <t>Telcel Pospago 4</t>
  </si>
  <si>
    <t>Telcel Pospago 5</t>
  </si>
  <si>
    <t>Telcel Pospago 6</t>
  </si>
  <si>
    <t>Telcel Pospago 7</t>
  </si>
  <si>
    <t>Telcel Pospago 8</t>
  </si>
  <si>
    <t>Telcel Pospago 9</t>
  </si>
  <si>
    <t>Telcel Pospago 10</t>
  </si>
  <si>
    <t>Telcel Pospago 11</t>
  </si>
  <si>
    <t>Telcel Pospago 12</t>
  </si>
  <si>
    <t>Telcel Pospago 13</t>
  </si>
  <si>
    <t>Telcel Pospago 14</t>
  </si>
  <si>
    <t>Telcel Pospago 15</t>
  </si>
  <si>
    <t>Telcel Pospago 16</t>
  </si>
  <si>
    <t>Telcel Pospago 17</t>
  </si>
  <si>
    <t>Telcel Pospago 18</t>
  </si>
  <si>
    <t>Telcel Pospago 19</t>
  </si>
  <si>
    <t>Telcel Pospago 20</t>
  </si>
  <si>
    <t>Telcel Pospago 21</t>
  </si>
  <si>
    <t>Telcel Pospago 22</t>
  </si>
  <si>
    <t>Telcel Pospago 23</t>
  </si>
  <si>
    <t>Telcel Pospago 24</t>
  </si>
  <si>
    <t>Telcel Pospago 25</t>
  </si>
  <si>
    <t>Telcel Pospago 26</t>
  </si>
  <si>
    <t>Telcel Pospago 27</t>
  </si>
  <si>
    <t>Telcel Pospago 28</t>
  </si>
  <si>
    <t>Telcel Pospago 29</t>
  </si>
  <si>
    <t>Telcel Pospago 30</t>
  </si>
  <si>
    <t>Telcel Pospago 31</t>
  </si>
  <si>
    <t>Telcel Pospago 32</t>
  </si>
  <si>
    <t>Telcel Pospago 33</t>
  </si>
  <si>
    <t>Telcel Pospago 34</t>
  </si>
  <si>
    <t>Telcel Pospago 35</t>
  </si>
  <si>
    <t>Telcel Pospago 36</t>
  </si>
  <si>
    <t>Telcel Pospago 37</t>
  </si>
  <si>
    <t>Telcel Pospago 38</t>
  </si>
  <si>
    <t>Telcel Pospago 39</t>
  </si>
  <si>
    <t>Telcel Pospago 40</t>
  </si>
  <si>
    <t>Telcel Pospago 41</t>
  </si>
  <si>
    <t>Telcel Pospago 42</t>
  </si>
  <si>
    <t>Telcel Pospago 43</t>
  </si>
  <si>
    <t>Segmento Pospago Rep.</t>
  </si>
  <si>
    <t>Selección de ofertas insignia</t>
  </si>
  <si>
    <t>Selección</t>
  </si>
  <si>
    <t>Ranking final</t>
  </si>
  <si>
    <t>Monto prepago</t>
  </si>
  <si>
    <t>Crecimiento Pospago</t>
  </si>
  <si>
    <t>Ranking por</t>
  </si>
  <si>
    <t>Monto Esquema Prepago</t>
  </si>
  <si>
    <t>Búsqueda</t>
  </si>
  <si>
    <t>REQUERIMIENTO DE INFORMACIÓN DEL AEP</t>
  </si>
  <si>
    <t>Nota al AEP: Unicamente rellenar las celdas en rojo.</t>
  </si>
  <si>
    <t>Unidad</t>
  </si>
  <si>
    <t>Minoristas</t>
  </si>
  <si>
    <t>pesos</t>
  </si>
  <si>
    <t>Pago recurrente</t>
  </si>
  <si>
    <t>Cargos por servicios adicionales o consumo por unidades</t>
  </si>
  <si>
    <t>Servicio de Telefonía Móvil - voz</t>
  </si>
  <si>
    <t>Servicio de Acceso a Internet Móvil</t>
  </si>
  <si>
    <t>Servicio de Telefonía Móvil - mensajes</t>
  </si>
  <si>
    <t>Servicios OTT de vídeo</t>
  </si>
  <si>
    <t>Servicios OTT de audio</t>
  </si>
  <si>
    <t>Venta de equipos terminales</t>
  </si>
  <si>
    <t>Otros servicios minoristas</t>
  </si>
  <si>
    <t>usuarios</t>
  </si>
  <si>
    <t>Servicios de valor agregado básicos</t>
  </si>
  <si>
    <t>Tráfico</t>
  </si>
  <si>
    <t>Datos</t>
  </si>
  <si>
    <t>MB</t>
  </si>
  <si>
    <t>Originación voz on-net local</t>
  </si>
  <si>
    <t>minutos</t>
  </si>
  <si>
    <t>sms</t>
  </si>
  <si>
    <t>Voz (min)</t>
  </si>
  <si>
    <t>SMS</t>
  </si>
  <si>
    <t>Datos (MB)</t>
  </si>
  <si>
    <t>unidades</t>
  </si>
  <si>
    <t>Información OMVs - datos trimestrales</t>
  </si>
  <si>
    <t>[Nombre del OMV 1]</t>
  </si>
  <si>
    <t>[Nombre del OMV 2]</t>
  </si>
  <si>
    <t>[Nombre del OMV 3]</t>
  </si>
  <si>
    <t>[Nombre del OMV 4]</t>
  </si>
  <si>
    <t>[Nombre del OMV 5]</t>
  </si>
  <si>
    <t>[Nombre del OMV 6]</t>
  </si>
  <si>
    <t>Help</t>
  </si>
  <si>
    <t>Datos mensuales</t>
  </si>
  <si>
    <t>OMV 1</t>
  </si>
  <si>
    <t>OMV 2</t>
  </si>
  <si>
    <t>OMV 3</t>
  </si>
  <si>
    <t>OMV 4</t>
  </si>
  <si>
    <t>OMV 5</t>
  </si>
  <si>
    <t>OMV 6</t>
  </si>
  <si>
    <t>Facturación total mensual</t>
  </si>
  <si>
    <t>Pesos</t>
  </si>
  <si>
    <r>
      <t xml:space="preserve">Nota: Incluir datos medios </t>
    </r>
    <r>
      <rPr>
        <b/>
        <u/>
        <sz val="10"/>
        <color theme="3"/>
        <rFont val="Arial"/>
        <family val="2"/>
      </rPr>
      <t>mensuales</t>
    </r>
    <r>
      <rPr>
        <b/>
        <sz val="10"/>
        <color theme="3"/>
        <rFont val="Arial"/>
        <family val="2"/>
      </rPr>
      <t xml:space="preserve"> para cada OMV. No modificar el nombre de las columnas (OMV 1, 2 …) y rellenar solo las columnas relevantes sin repetición de datos (ejemplo: si hay datos para menos de 6 OMVs, rellenar solo los datos de los OMVs disponibles de izquierda a derecha). La  columna  del OMV para el cual no hay información deberá quedar en blanco y sin información alguna. </t>
    </r>
  </si>
  <si>
    <t>Tráfico voz</t>
  </si>
  <si>
    <t>Minutos de voz saliente</t>
  </si>
  <si>
    <t>Minutos de voz entrante</t>
  </si>
  <si>
    <t>Tráfico SMS</t>
  </si>
  <si>
    <t>SMS (160 carácteres)</t>
  </si>
  <si>
    <t>Tráfico datos</t>
  </si>
  <si>
    <t>MB (1MB=1024KB)</t>
  </si>
  <si>
    <t>Número de usuarios activos</t>
  </si>
  <si>
    <t xml:space="preserve">Unidades de bolsa de tráfico consumidas </t>
  </si>
  <si>
    <t>Unidades tráfico</t>
  </si>
  <si>
    <t>Nota: No rellenar o modificar las fórmulas en estas celdas</t>
  </si>
  <si>
    <t>Tráfico total</t>
  </si>
  <si>
    <t xml:space="preserve">Tráfico total voz </t>
  </si>
  <si>
    <t>Tráfico voz (entrante y saliente)</t>
  </si>
  <si>
    <t>Minutos</t>
  </si>
  <si>
    <t>Componentes de red</t>
  </si>
  <si>
    <t xml:space="preserve">Costos por beneficios de OTT a usuarios </t>
  </si>
  <si>
    <t>Componentes no de red</t>
  </si>
  <si>
    <t>Costos directos de ventas</t>
  </si>
  <si>
    <t>Costos comunes</t>
  </si>
  <si>
    <t xml:space="preserve">Costo de capital </t>
  </si>
  <si>
    <t>Tráfico en tránsito</t>
  </si>
  <si>
    <t xml:space="preserve">Nota: Se solicita especificar el porcentaje del tráfico en tránsito para cada tipología de llamada, sobre el total del tráfico cursado </t>
  </si>
  <si>
    <t>Valor</t>
  </si>
  <si>
    <t>OFERTA DE REFERENCIA &gt;&gt;</t>
  </si>
  <si>
    <t>PRECIO MAYORISTA</t>
  </si>
  <si>
    <t>Selección del esquema tarifario</t>
  </si>
  <si>
    <t>Esquema tarifario</t>
  </si>
  <si>
    <t>Descuentos por volumen</t>
  </si>
  <si>
    <t>OMVs en la Prueba</t>
  </si>
  <si>
    <t>Panel de control tarifas mayoristas (OMVs)</t>
  </si>
  <si>
    <t xml:space="preserve">Tarifas originación </t>
  </si>
  <si>
    <t>Unidades</t>
  </si>
  <si>
    <t>Datos consumidos</t>
  </si>
  <si>
    <t>Rango seleccionado (por tráfico o facturación)</t>
  </si>
  <si>
    <t>Rango seleccionado (por usuarios)</t>
  </si>
  <si>
    <t xml:space="preserve">Número de usuarios activos incluidos </t>
  </si>
  <si>
    <t>Rangos</t>
  </si>
  <si>
    <t xml:space="preserve">Facturacion total </t>
  </si>
  <si>
    <t>Mínimo (pesos)</t>
  </si>
  <si>
    <t>Máximo (pesos)</t>
  </si>
  <si>
    <t>Tráfico (unidades de bolsa de tráfico)</t>
  </si>
  <si>
    <t>Mínimo (Bolsa de Tráfico de  Unidades Iniciales)</t>
  </si>
  <si>
    <t>Máximo (Bolsa de Tráfico de  Unidades Finales)</t>
  </si>
  <si>
    <t>Mínimo (MB)</t>
  </si>
  <si>
    <t>Máximo (MB)</t>
  </si>
  <si>
    <t>Usuarios activos</t>
  </si>
  <si>
    <t xml:space="preserve">Mínimo </t>
  </si>
  <si>
    <t xml:space="preserve">Máximo </t>
  </si>
  <si>
    <t>Tarifas por tráfico</t>
  </si>
  <si>
    <t>Tarifas uso básico</t>
  </si>
  <si>
    <t>Cargo minimo mensual (pesos)</t>
  </si>
  <si>
    <t>Tarifas tráfico adicional</t>
  </si>
  <si>
    <t xml:space="preserve">Tarifas por adminstración de usuarios </t>
  </si>
  <si>
    <t xml:space="preserve">Administración por usuarios </t>
  </si>
  <si>
    <t>Cargo minimo por administracion de usuarios mensual ($)</t>
  </si>
  <si>
    <t xml:space="preserve">Usuarios incluidos en la tarifa (número de usuarios) </t>
  </si>
  <si>
    <r>
      <t>Tarifas usuarios adicionales (</t>
    </r>
    <r>
      <rPr>
        <sz val="10"/>
        <rFont val="Calibri"/>
        <family val="2"/>
      </rPr>
      <t>$</t>
    </r>
    <r>
      <rPr>
        <sz val="8.5"/>
        <rFont val="Arial"/>
        <family val="2"/>
      </rPr>
      <t xml:space="preserve"> </t>
    </r>
    <r>
      <rPr>
        <sz val="10"/>
        <rFont val="Arial"/>
        <family val="2"/>
      </rPr>
      <t>por usuario)</t>
    </r>
  </si>
  <si>
    <t>Activación de servicios de valor agregado básicos ($ por usuario)</t>
  </si>
  <si>
    <t>Numero de usuarios a partir del cual aplica tarifa por usuario de manera retroactiva</t>
  </si>
  <si>
    <t>Compromiso de pago anual</t>
  </si>
  <si>
    <t xml:space="preserve">Tarifas de terminación </t>
  </si>
  <si>
    <t>Helpcell</t>
  </si>
  <si>
    <t>Descripcion</t>
  </si>
  <si>
    <t>https://www.dof.gob.mx/nota_detalle.php?codigo=5741485&amp;fecha=22/10/2024#gsc.tab=0</t>
  </si>
  <si>
    <t>Nota 8: Otros servicios incluye marcaciones especiales, marcaciones a llamadas de emerencia, números no geográficos, buzon de voz, centro de atención telefónica y marcaciones cortas.</t>
  </si>
  <si>
    <t>Otras tarifas</t>
  </si>
  <si>
    <t>Servicios de tránsito</t>
  </si>
  <si>
    <t xml:space="preserve">Por servicios de tránsito en red </t>
  </si>
  <si>
    <t>Fuente: https://www.dof.gob.mx/nota_detalle.php?codigo=5741485&amp;fecha=22/10/2024#gsc.tab=0</t>
  </si>
  <si>
    <t xml:space="preserve">Pagos fijos </t>
  </si>
  <si>
    <t xml:space="preserve">Pago promedio por inicio de prestación de servicio con un OMV ligero. No refleja necesariamente los pagos realizados por este concepto en el momento de ejecutar la prueba. </t>
  </si>
  <si>
    <r>
      <t>Nota: Pagos fijos son los pagos promedio por inicio de prestación de servicio para un OMV ligero. No refleja necesariamente los pagos realizados por este concepto en el momento de ejecutar la prueba. Notamos que en la actualidad estos pagos son 0</t>
    </r>
    <r>
      <rPr>
        <b/>
        <sz val="10"/>
        <color rgb="FF808080"/>
        <rFont val="Calibri"/>
        <family val="2"/>
      </rPr>
      <t>$</t>
    </r>
    <r>
      <rPr>
        <b/>
        <sz val="10"/>
        <color rgb="FF808080"/>
        <rFont val="Arial"/>
        <family val="2"/>
      </rPr>
      <t>.</t>
    </r>
  </si>
  <si>
    <t>PRECIO MAYORISTA UNITARIO EFECTIVO</t>
  </si>
  <si>
    <t xml:space="preserve">Precio promedio ponderado </t>
  </si>
  <si>
    <t>Precio unitario efectivo</t>
  </si>
  <si>
    <t xml:space="preserve">Volumen de tráfico </t>
  </si>
  <si>
    <t>Pago total por tráfico</t>
  </si>
  <si>
    <t>Volumen total de usuarios</t>
  </si>
  <si>
    <t>Pago total por usuarios</t>
  </si>
  <si>
    <t>Volumen de tráfico incluido en la bolsa</t>
  </si>
  <si>
    <t>Cargo minimo por tráfico incluido en bolsa</t>
  </si>
  <si>
    <t>Volumen de usuarios Incluidos en bolsa</t>
  </si>
  <si>
    <t>Cargo mínimo por tráfico incluido en bolsa</t>
  </si>
  <si>
    <t xml:space="preserve">Volumen de tráfico incremental </t>
  </si>
  <si>
    <t>Pago por tráfico incremental</t>
  </si>
  <si>
    <t>Volumen de usuarios incrementales</t>
  </si>
  <si>
    <t>Pago por usuarios Incrementales</t>
  </si>
  <si>
    <t>% Proporción de tráfico sobre el total de volumen de tráfico</t>
  </si>
  <si>
    <t>Nota: Esta proporción se calcula solo en función de los minutos de voz salientes (y no entrantes)</t>
  </si>
  <si>
    <t>Pago total (sin CPA) por tráfico</t>
  </si>
  <si>
    <t>Volumen de usuarios incluidos en el CPA</t>
  </si>
  <si>
    <t>Pago por  usuarios incluidos en el CPA</t>
  </si>
  <si>
    <t>Pago total incluido en CPA</t>
  </si>
  <si>
    <t>Pagos por Tráfico</t>
  </si>
  <si>
    <t xml:space="preserve">Nota: no arrastrar formulas de filas hacia abajo. Solo arrastrar columnas </t>
  </si>
  <si>
    <t xml:space="preserve">Selección de rango de datos </t>
  </si>
  <si>
    <t>Volumen de usuarios incluidos</t>
  </si>
  <si>
    <t xml:space="preserve">Pago por  usuarios incluidos </t>
  </si>
  <si>
    <t>Rango por datos consumidos</t>
  </si>
  <si>
    <t>Pago por tráfico de datos</t>
  </si>
  <si>
    <t>Rango datos consumidos - limite superior (MB)</t>
  </si>
  <si>
    <t>Cantidad neta</t>
  </si>
  <si>
    <t>HOJA AUXILIAR</t>
  </si>
  <si>
    <t>Esta hoja contiene cálculos intermedios. No introducir cambios.</t>
  </si>
  <si>
    <t xml:space="preserve">Selección automática de rangos </t>
  </si>
  <si>
    <t>Una tabla como esta para cada OMV</t>
  </si>
  <si>
    <t xml:space="preserve">La selección de los rangos es automática en función de la información proporcionada por el AEP. No introducir cambios. Las formulas que devuelven operadores lógicos (VERDADERO / FALSO) nutren la selección del rango y no han de interpretarse como validación de ningún cálculo. </t>
  </si>
  <si>
    <t>Indicador de rango por tráfico o facturación</t>
  </si>
  <si>
    <t>help cell</t>
  </si>
  <si>
    <t>Rango por tráfico o facturación</t>
  </si>
  <si>
    <t xml:space="preserve">Facturación total </t>
  </si>
  <si>
    <t>Bolsa de tráfico</t>
  </si>
  <si>
    <t>Indicador de rango por usuarios</t>
  </si>
  <si>
    <t>Rango por usuarios</t>
  </si>
  <si>
    <t>Selección del esquema de precios mayoristas</t>
  </si>
  <si>
    <t>Compromiso de pago</t>
  </si>
  <si>
    <t>Cálculo tarifa originación</t>
  </si>
  <si>
    <t xml:space="preserve">Cálculo adminsitración de usuarios </t>
  </si>
  <si>
    <t>SUPUESTOS</t>
  </si>
  <si>
    <t>Período de referencia (meses)</t>
  </si>
  <si>
    <t>Período de amortización de los cargos fijos</t>
  </si>
  <si>
    <t>Período de amortización de los cargos fijos (meses)</t>
  </si>
  <si>
    <t>Período de amortización de los cargos fijos (trimestres)</t>
  </si>
  <si>
    <t>Período de amortización del compromiso de pago anual</t>
  </si>
  <si>
    <t>Usuarios OMV</t>
  </si>
  <si>
    <t>Tamaño relativo</t>
  </si>
  <si>
    <t xml:space="preserve">Costos aguas abajo - % costos fijos </t>
  </si>
  <si>
    <t>Acceso a Internet</t>
  </si>
  <si>
    <t>Comerciales</t>
  </si>
  <si>
    <t>Facturación</t>
  </si>
  <si>
    <t>Cobranza</t>
  </si>
  <si>
    <t>Tasas e impuestos</t>
  </si>
  <si>
    <t>Programas de fidelización</t>
  </si>
  <si>
    <t>Acceso internet internacional</t>
  </si>
  <si>
    <t>Roaming nacional</t>
  </si>
  <si>
    <t>Roaming internacional</t>
  </si>
  <si>
    <t>Provisiones</t>
  </si>
  <si>
    <t>Costos directos de la venta de terminales</t>
  </si>
  <si>
    <t>Servicios generales y de gestión - minoristas</t>
  </si>
  <si>
    <t>Servicios generales y de gestión - red</t>
  </si>
  <si>
    <t xml:space="preserve">Servicios generales y de gestión - negocio </t>
  </si>
  <si>
    <t>Costo del Capital:Servicios generales y de gestión - minoristas</t>
  </si>
  <si>
    <t>Costo del Capital:Servicios generales y de gestión - red</t>
  </si>
  <si>
    <t xml:space="preserve">Costo del Capital:Servicios generales y de gestión - negocio </t>
  </si>
  <si>
    <t>Costo del Capital:Equipos terminales</t>
  </si>
  <si>
    <t>Lista de servicios y uso del servicio de tránsito</t>
  </si>
  <si>
    <t>Originación voz off-net móvil local</t>
  </si>
  <si>
    <t>Originación voz off-net fijo local</t>
  </si>
  <si>
    <t>Originación voz on-net LDN</t>
  </si>
  <si>
    <t>Originación voz off-net móvil LDN</t>
  </si>
  <si>
    <t>Originación voz off-net fijo LDN</t>
  </si>
  <si>
    <t>Originación voz internacional USA-Canadá</t>
  </si>
  <si>
    <t>Originación voz internacional Mundial Centroamérica</t>
  </si>
  <si>
    <t>Originación voz internacional Mundial LATAM y Caribe</t>
  </si>
  <si>
    <t>Originación voz internacional Europa</t>
  </si>
  <si>
    <t>Originación voz internacional Mundial Otros geográficos</t>
  </si>
  <si>
    <t>Originación voz internacional Cuba</t>
  </si>
  <si>
    <t>Originación voz Mundial destinos no geográficos</t>
  </si>
  <si>
    <t>Originación SMS on-net</t>
  </si>
  <si>
    <t>Originación SMS - off-net nacional</t>
  </si>
  <si>
    <t>Originación SMS internacional (USA-Canadá)</t>
  </si>
  <si>
    <t>Originación SMS internacional (Resto del Mundo)</t>
  </si>
  <si>
    <t>Otros servicios (incluyendo marcaciones especiales)</t>
  </si>
  <si>
    <t xml:space="preserve">Carteras/Ofertas insignia </t>
  </si>
  <si>
    <t>Todos los segmentos</t>
  </si>
  <si>
    <t>HOJA AUXILIAR GRÁFICOS</t>
  </si>
  <si>
    <t>Tabla gráficos</t>
  </si>
  <si>
    <t>Todos los segmentos 
(% ingresos)</t>
  </si>
  <si>
    <t>Segmento Prepago
(% ingresos)</t>
  </si>
  <si>
    <t>Segmento Pospago
(% ingresos)</t>
  </si>
  <si>
    <t>Tráfico dentro del plan de renta</t>
  </si>
  <si>
    <t>Tráfico excedente</t>
  </si>
  <si>
    <t>Tráfico excedente (recargas / paquetes / consumo unitario)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</si>
</sst>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1">
    <numFmt numFmtId="41" formatCode="_-* #,##0_-;\-* #,##0_-;_-* &quot;-&quot;_-;_-@_-"/>
    <numFmt numFmtId="43" formatCode="_-* #,##0.00_-;\-* #,##0.00_-;_-* &quot;-&quot;??_-;_-@_-"/>
    <numFmt numFmtId="164" formatCode="_-&quot;£&quot;* #,##0_-;\-&quot;£&quot;* #,##0_-;_-&quot;£&quot;* &quot;-&quot;_-;_-@_-"/>
    <numFmt numFmtId="165" formatCode="[$$-80A]#,##0.00;\-[$$-80A]#,##0.00"/>
    <numFmt numFmtId="166" formatCode="0.0%"/>
    <numFmt numFmtId="167" formatCode="[$$-80A]#,##0.000;\-[$$-80A]#,##0.000"/>
    <numFmt numFmtId="168" formatCode="[$$-80A]#,##0;\-[$$-80A]#,##0"/>
    <numFmt numFmtId="169" formatCode="[$$-80A]#,##0.0000;\-[$$-80A]#,##0.0000"/>
    <numFmt numFmtId="170" formatCode="_-* #,##0_-;\-* #,##0_-;_-* &quot;-&quot;??_-;_-@_-"/>
    <numFmt numFmtId="171" formatCode="&quot;£&quot;#,##0"/>
    <numFmt numFmtId="172" formatCode="_-[$$-409]* #,##0.00_ ;_-[$$-409]* \-#,##0.00\ ;_-[$$-409]* &quot;-&quot;??_ ;_-@_ "/>
    <numFmt numFmtId="173" formatCode="_-[$$-80A]* #,##0_-;\-[$$-80A]* #,##0_-;_-[$$-80A]* &quot;-&quot;??_-;_-@_-"/>
    <numFmt numFmtId="174" formatCode="[$$-80A]#,##0"/>
    <numFmt numFmtId="175" formatCode="0.00000"/>
    <numFmt numFmtId="176" formatCode="0.0000"/>
    <numFmt numFmtId="177" formatCode="_-* #,##0.000_-;\-* #,##0.000_-;_-* &quot;-&quot;??_-;_-@_-"/>
    <numFmt numFmtId="178" formatCode="0.000"/>
    <numFmt numFmtId="179" formatCode="_-* #,##0.0000_-;\-* #,##0.0000_-;_-* &quot;-&quot;??_-;_-@_-"/>
    <numFmt numFmtId="180" formatCode="[$$-80A]#,##0.00000;\-[$$-80A]#,##0.00000"/>
    <numFmt numFmtId="181" formatCode="_-* #,##0.00_-;\-* #,##0.00_-;_-* &quot;-&quot;_-;_-@_-"/>
    <numFmt numFmtId="182" formatCode="0.00000000"/>
  </numFmts>
  <fonts count="70" x14ac:knownFonts="1">
    <font>
      <sz val="10"/>
      <name val="Arial"/>
    </font>
    <font>
      <sz val="11"/>
      <color theme="1"/>
      <name val="Calibri"/>
      <family val="2"/>
      <scheme val="minor"/>
    </font>
    <font>
      <sz val="10"/>
      <name val="Arial"/>
      <family val="2"/>
    </font>
    <font>
      <sz val="10"/>
      <color indexed="12"/>
      <name val="Arial"/>
      <family val="2"/>
    </font>
    <font>
      <b/>
      <sz val="10"/>
      <color theme="6"/>
      <name val="Arial"/>
      <family val="2"/>
    </font>
    <font>
      <sz val="10"/>
      <color theme="3"/>
      <name val="Arial"/>
      <family val="2"/>
    </font>
    <font>
      <b/>
      <sz val="12"/>
      <color theme="1"/>
      <name val="Arial"/>
      <family val="2"/>
    </font>
    <font>
      <b/>
      <sz val="16"/>
      <color theme="0"/>
      <name val="Arial"/>
      <family val="2"/>
    </font>
    <font>
      <sz val="10"/>
      <name val="Arial"/>
      <family val="2"/>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0"/>
      <color theme="1"/>
      <name val="Arial"/>
      <family val="2"/>
    </font>
    <font>
      <b/>
      <sz val="10"/>
      <color rgb="FF007B87"/>
      <name val="Arial"/>
      <family val="2"/>
    </font>
    <font>
      <sz val="10"/>
      <color rgb="FF37424A"/>
      <name val="Arial"/>
      <family val="2"/>
    </font>
    <font>
      <sz val="10"/>
      <name val="Arial"/>
      <family val="2"/>
    </font>
    <font>
      <sz val="10"/>
      <color theme="1"/>
      <name val="Arial"/>
      <family val="2"/>
    </font>
    <font>
      <b/>
      <sz val="10"/>
      <color rgb="FF37424A"/>
      <name val="Arial"/>
      <family val="2"/>
    </font>
    <font>
      <sz val="11"/>
      <color theme="0"/>
      <name val="Calibri"/>
      <family val="2"/>
      <scheme val="minor"/>
    </font>
    <font>
      <u/>
      <sz val="10"/>
      <color theme="10"/>
      <name val="Arial"/>
      <family val="2"/>
    </font>
    <font>
      <b/>
      <sz val="22"/>
      <color theme="0"/>
      <name val="Arial"/>
      <family val="2"/>
    </font>
    <font>
      <sz val="10"/>
      <color indexed="8"/>
      <name val="Arial"/>
      <family val="2"/>
    </font>
    <font>
      <sz val="10"/>
      <color theme="0"/>
      <name val="Arial"/>
      <family val="2"/>
    </font>
    <font>
      <b/>
      <sz val="10"/>
      <color theme="0"/>
      <name val="Arial"/>
      <family val="2"/>
    </font>
    <font>
      <b/>
      <u/>
      <sz val="10"/>
      <color theme="0"/>
      <name val="Arial"/>
      <family val="2"/>
    </font>
    <font>
      <u/>
      <sz val="10"/>
      <color theme="1"/>
      <name val="Arial"/>
      <family val="2"/>
    </font>
    <font>
      <b/>
      <u/>
      <sz val="10"/>
      <color theme="1"/>
      <name val="Arial"/>
      <family val="2"/>
    </font>
    <font>
      <sz val="10"/>
      <color rgb="FF808080"/>
      <name val="Arial"/>
      <family val="2"/>
    </font>
    <font>
      <b/>
      <sz val="10"/>
      <name val="Arial"/>
      <family val="2"/>
    </font>
    <font>
      <sz val="10"/>
      <color indexed="23"/>
      <name val="Arial"/>
      <family val="2"/>
    </font>
    <font>
      <sz val="10"/>
      <color rgb="FF0000FF"/>
      <name val="Arial"/>
      <family val="2"/>
    </font>
    <font>
      <sz val="10"/>
      <color theme="6"/>
      <name val="Arial"/>
      <family val="2"/>
    </font>
    <font>
      <sz val="10"/>
      <color theme="4"/>
      <name val="Arial"/>
      <family val="2"/>
    </font>
    <font>
      <b/>
      <sz val="10"/>
      <color theme="8"/>
      <name val="Arial"/>
      <family val="2"/>
    </font>
    <font>
      <i/>
      <sz val="10"/>
      <name val="Arial"/>
      <family val="2"/>
    </font>
    <font>
      <sz val="10"/>
      <color rgb="FFE83F35"/>
      <name val="Arial"/>
      <family val="2"/>
    </font>
    <font>
      <b/>
      <sz val="10"/>
      <color theme="3"/>
      <name val="Arial"/>
      <family val="2"/>
    </font>
    <font>
      <b/>
      <sz val="10"/>
      <color theme="8" tint="-0.249977111117893"/>
      <name val="Arial"/>
      <family val="2"/>
    </font>
    <font>
      <b/>
      <sz val="10"/>
      <color rgb="FF808080"/>
      <name val="Arial"/>
      <family val="2"/>
    </font>
    <font>
      <b/>
      <sz val="10"/>
      <color rgb="FF683C5B"/>
      <name val="Arial"/>
      <family val="2"/>
    </font>
    <font>
      <b/>
      <sz val="10"/>
      <color theme="4"/>
      <name val="Arial"/>
      <family val="2"/>
    </font>
    <font>
      <sz val="12"/>
      <name val="Calibri"/>
      <family val="2"/>
    </font>
    <font>
      <b/>
      <i/>
      <sz val="10"/>
      <color theme="3"/>
      <name val="Arial"/>
      <family val="2"/>
    </font>
    <font>
      <i/>
      <sz val="10"/>
      <color theme="3"/>
      <name val="Arial"/>
      <family val="2"/>
    </font>
    <font>
      <sz val="10"/>
      <name val="Arial"/>
      <family val="2"/>
    </font>
    <font>
      <b/>
      <sz val="10"/>
      <color indexed="8"/>
      <name val="Arial"/>
      <family val="2"/>
    </font>
    <font>
      <b/>
      <sz val="10"/>
      <color rgb="FFFF0000"/>
      <name val="Arial"/>
      <family val="2"/>
    </font>
    <font>
      <sz val="10"/>
      <color rgb="FFFF0000"/>
      <name val="Arial"/>
      <family val="2"/>
    </font>
    <font>
      <sz val="10"/>
      <name val="Calibri"/>
      <family val="2"/>
    </font>
    <font>
      <sz val="8.5"/>
      <name val="Arial"/>
      <family val="2"/>
    </font>
    <font>
      <b/>
      <sz val="10"/>
      <color rgb="FF808080"/>
      <name val="Calibri"/>
      <family val="2"/>
    </font>
    <font>
      <b/>
      <i/>
      <sz val="10"/>
      <name val="Arial"/>
      <family val="2"/>
    </font>
    <font>
      <u/>
      <sz val="10"/>
      <color theme="0"/>
      <name val="Arial"/>
      <family val="2"/>
    </font>
    <font>
      <b/>
      <u/>
      <sz val="10"/>
      <color theme="3"/>
      <name val="Arial"/>
      <family val="2"/>
    </font>
    <font>
      <i/>
      <sz val="10"/>
      <color rgb="FF37424A"/>
      <name val="Arial"/>
      <family val="2"/>
    </font>
    <font>
      <i/>
      <sz val="10"/>
      <color theme="0" tint="-0.249977111117893"/>
      <name val="Arial"/>
      <family val="2"/>
    </font>
    <font>
      <i/>
      <sz val="10"/>
      <color theme="4"/>
      <name val="Arial"/>
      <family val="2"/>
    </font>
    <font>
      <sz val="8"/>
      <name val="Arial"/>
      <family val="2"/>
    </font>
    <font>
      <sz val="10"/>
      <color theme="0" tint="-0.34998626667073579"/>
      <name val="Calibri"/>
      <family val="2"/>
      <scheme val="minor"/>
    </font>
    <font>
      <i/>
      <sz val="10"/>
      <name val="Calibri"/>
      <family val="2"/>
      <scheme val="minor"/>
    </font>
    <font>
      <sz val="10"/>
      <color theme="0" tint="-0.499984740745262"/>
      <name val="Arial"/>
      <family val="2"/>
    </font>
    <font>
      <b/>
      <sz val="7"/>
      <color theme="0" tint="-0.499984740745262"/>
      <name val="Arial"/>
      <family val="2"/>
    </font>
    <font>
      <sz val="8"/>
      <name val="Arial"/>
    </font>
  </fonts>
  <fills count="33">
    <fill>
      <patternFill patternType="none"/>
    </fill>
    <fill>
      <patternFill patternType="gray125"/>
    </fill>
    <fill>
      <patternFill patternType="solid">
        <fgColor theme="2"/>
        <bgColor indexed="64"/>
      </patternFill>
    </fill>
    <fill>
      <patternFill patternType="solid">
        <fgColor theme="4"/>
        <bgColor indexed="64"/>
      </patternFill>
    </fill>
    <fill>
      <patternFill patternType="solid">
        <fgColor theme="7" tint="0.79998168889431442"/>
        <bgColor indexed="64"/>
      </patternFill>
    </fill>
    <fill>
      <patternFill patternType="solid">
        <fgColor rgb="FFFFFFFF"/>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0"/>
        <bgColor indexed="64"/>
      </patternFill>
    </fill>
    <fill>
      <patternFill patternType="solid">
        <fgColor theme="6"/>
      </patternFill>
    </fill>
    <fill>
      <patternFill patternType="solid">
        <fgColor theme="5"/>
        <bgColor indexed="64"/>
      </patternFill>
    </fill>
    <fill>
      <patternFill patternType="solid">
        <fgColor theme="9"/>
        <bgColor indexed="64"/>
      </patternFill>
    </fill>
    <fill>
      <patternFill patternType="solid">
        <fgColor theme="6"/>
        <bgColor indexed="64"/>
      </patternFill>
    </fill>
    <fill>
      <patternFill patternType="solid">
        <fgColor theme="7"/>
        <bgColor indexed="64"/>
      </patternFill>
    </fill>
    <fill>
      <patternFill patternType="solid">
        <fgColor theme="8"/>
        <bgColor indexed="64"/>
      </patternFill>
    </fill>
    <fill>
      <patternFill patternType="solid">
        <fgColor theme="2" tint="-9.9978637043366805E-2"/>
        <bgColor indexed="64"/>
      </patternFill>
    </fill>
    <fill>
      <patternFill patternType="solid">
        <fgColor theme="5" tint="0.39997558519241921"/>
        <bgColor indexed="64"/>
      </patternFill>
    </fill>
    <fill>
      <patternFill patternType="solid">
        <fgColor theme="8" tint="0.79998168889431442"/>
        <bgColor indexed="64"/>
      </patternFill>
    </fill>
    <fill>
      <patternFill patternType="solid">
        <fgColor theme="5" tint="0.79998168889431442"/>
        <bgColor indexed="64"/>
      </patternFill>
    </fill>
    <fill>
      <patternFill patternType="solid">
        <fgColor theme="4" tint="0.79998168889431442"/>
        <bgColor indexed="64"/>
      </patternFill>
    </fill>
    <fill>
      <patternFill patternType="solid">
        <fgColor theme="0" tint="-4.9989318521683403E-2"/>
        <bgColor indexed="64"/>
      </patternFill>
    </fill>
    <fill>
      <patternFill patternType="solid">
        <fgColor theme="9" tint="0.79998168889431442"/>
        <bgColor indexed="64"/>
      </patternFill>
    </fill>
    <fill>
      <patternFill patternType="solid">
        <fgColor theme="3"/>
        <bgColor indexed="64"/>
      </patternFill>
    </fill>
    <fill>
      <patternFill patternType="solid">
        <fgColor rgb="FFFFFF00"/>
        <bgColor indexed="64"/>
      </patternFill>
    </fill>
    <fill>
      <patternFill patternType="solid">
        <fgColor theme="4" tint="0.39997558519241921"/>
        <bgColor indexed="64"/>
      </patternFill>
    </fill>
    <fill>
      <patternFill patternType="solid">
        <fgColor theme="1" tint="0.79998168889431442"/>
        <bgColor indexed="64"/>
      </patternFill>
    </fill>
    <fill>
      <patternFill patternType="solid">
        <fgColor theme="4" tint="-0.249977111117893"/>
        <bgColor indexed="64"/>
      </patternFill>
    </fill>
    <fill>
      <patternFill patternType="solid">
        <fgColor theme="1" tint="-0.499984740745262"/>
        <bgColor indexed="64"/>
      </patternFill>
    </fill>
  </fills>
  <borders count="82">
    <border>
      <left/>
      <right/>
      <top/>
      <bottom/>
      <diagonal/>
    </border>
    <border>
      <left/>
      <right/>
      <top/>
      <bottom style="thick">
        <color theme="4"/>
      </bottom>
      <diagonal/>
    </border>
    <border>
      <left/>
      <right/>
      <top style="medium">
        <color rgb="FF007B87"/>
      </top>
      <bottom style="medium">
        <color rgb="FF007B87"/>
      </bottom>
      <diagonal/>
    </border>
    <border>
      <left/>
      <right/>
      <top style="thin">
        <color rgb="FF707276"/>
      </top>
      <bottom style="thin">
        <color rgb="FF707276"/>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thin">
        <color theme="4"/>
      </bottom>
      <diagonal/>
    </border>
    <border>
      <left/>
      <right/>
      <top style="thin">
        <color indexed="64"/>
      </top>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left/>
      <right/>
      <top style="thin">
        <color rgb="FF007B87"/>
      </top>
      <bottom style="thin">
        <color rgb="FF007B87"/>
      </bottom>
      <diagonal/>
    </border>
    <border>
      <left/>
      <right/>
      <top/>
      <bottom style="thin">
        <color theme="1"/>
      </bottom>
      <diagonal/>
    </border>
    <border>
      <left/>
      <right/>
      <top style="thin">
        <color theme="1"/>
      </top>
      <bottom style="thin">
        <color theme="1"/>
      </bottom>
      <diagonal/>
    </border>
    <border>
      <left/>
      <right/>
      <top style="thin">
        <color theme="1"/>
      </top>
      <bottom/>
      <diagonal/>
    </border>
    <border>
      <left style="thin">
        <color theme="3"/>
      </left>
      <right/>
      <top style="thin">
        <color theme="3"/>
      </top>
      <bottom style="thin">
        <color theme="3"/>
      </bottom>
      <diagonal/>
    </border>
    <border>
      <left/>
      <right/>
      <top style="thin">
        <color theme="3"/>
      </top>
      <bottom style="thin">
        <color theme="3"/>
      </bottom>
      <diagonal/>
    </border>
    <border>
      <left/>
      <right style="thin">
        <color theme="3"/>
      </right>
      <top style="thin">
        <color theme="3"/>
      </top>
      <bottom style="thin">
        <color theme="3"/>
      </bottom>
      <diagonal/>
    </border>
    <border>
      <left/>
      <right/>
      <top/>
      <bottom style="thin">
        <color indexed="64"/>
      </bottom>
      <diagonal/>
    </border>
    <border>
      <left/>
      <right/>
      <top style="thin">
        <color indexed="64"/>
      </top>
      <bottom style="thin">
        <color indexed="64"/>
      </bottom>
      <diagonal/>
    </border>
    <border>
      <left/>
      <right style="thin">
        <color theme="0" tint="-0.249977111117893"/>
      </right>
      <top/>
      <bottom/>
      <diagonal/>
    </border>
    <border>
      <left style="thin">
        <color theme="0" tint="-0.249977111117893"/>
      </left>
      <right/>
      <top style="thin">
        <color theme="0" tint="-0.249977111117893"/>
      </top>
      <bottom style="thin">
        <color theme="0" tint="-0.249977111117893"/>
      </bottom>
      <diagonal/>
    </border>
    <border>
      <left/>
      <right/>
      <top style="thin">
        <color theme="0" tint="-0.249977111117893"/>
      </top>
      <bottom style="thin">
        <color theme="0" tint="-0.249977111117893"/>
      </bottom>
      <diagonal/>
    </border>
    <border>
      <left/>
      <right style="thin">
        <color theme="0" tint="-0.249977111117893"/>
      </right>
      <top style="thin">
        <color theme="0" tint="-0.249977111117893"/>
      </top>
      <bottom style="thin">
        <color theme="0" tint="-0.249977111117893"/>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top/>
      <bottom/>
      <diagonal/>
    </border>
    <border>
      <left/>
      <right style="medium">
        <color indexed="64"/>
      </right>
      <top/>
      <bottom/>
      <diagonal/>
    </border>
    <border>
      <left/>
      <right/>
      <top/>
      <bottom style="thin">
        <color rgb="FF007B87"/>
      </bottom>
      <diagonal/>
    </border>
    <border>
      <left/>
      <right/>
      <top style="thin">
        <color indexed="64"/>
      </top>
      <bottom style="thin">
        <color rgb="FF007B87"/>
      </bottom>
      <diagonal/>
    </border>
    <border>
      <left/>
      <right/>
      <top style="thin">
        <color rgb="FF707276"/>
      </top>
      <bottom style="thin">
        <color indexed="64"/>
      </bottom>
      <diagonal/>
    </border>
    <border>
      <left/>
      <right/>
      <top style="medium">
        <color rgb="FF007B87"/>
      </top>
      <bottom style="thin">
        <color indexed="64"/>
      </bottom>
      <diagonal/>
    </border>
    <border>
      <left/>
      <right style="thin">
        <color indexed="64"/>
      </right>
      <top style="thin">
        <color indexed="64"/>
      </top>
      <bottom style="thin">
        <color indexed="64"/>
      </bottom>
      <diagonal/>
    </border>
    <border>
      <left/>
      <right/>
      <top style="medium">
        <color rgb="FF007B87"/>
      </top>
      <bottom/>
      <diagonal/>
    </border>
    <border>
      <left style="hair">
        <color auto="1"/>
      </left>
      <right/>
      <top style="hair">
        <color auto="1"/>
      </top>
      <bottom/>
      <diagonal/>
    </border>
    <border>
      <left/>
      <right/>
      <top style="hair">
        <color auto="1"/>
      </top>
      <bottom/>
      <diagonal/>
    </border>
    <border>
      <left/>
      <right style="hair">
        <color auto="1"/>
      </right>
      <top style="hair">
        <color auto="1"/>
      </top>
      <bottom/>
      <diagonal/>
    </border>
    <border>
      <left style="hair">
        <color auto="1"/>
      </left>
      <right/>
      <top/>
      <bottom/>
      <diagonal/>
    </border>
    <border>
      <left/>
      <right style="hair">
        <color auto="1"/>
      </right>
      <top/>
      <bottom/>
      <diagonal/>
    </border>
    <border>
      <left style="hair">
        <color auto="1"/>
      </left>
      <right/>
      <top/>
      <bottom style="hair">
        <color auto="1"/>
      </bottom>
      <diagonal/>
    </border>
    <border>
      <left/>
      <right/>
      <top/>
      <bottom style="hair">
        <color auto="1"/>
      </bottom>
      <diagonal/>
    </border>
    <border>
      <left/>
      <right style="hair">
        <color auto="1"/>
      </right>
      <top/>
      <bottom style="hair">
        <color auto="1"/>
      </bottom>
      <diagonal/>
    </border>
    <border>
      <left style="hair">
        <color theme="0" tint="-0.499984740745262"/>
      </left>
      <right/>
      <top style="hair">
        <color theme="0" tint="-0.499984740745262"/>
      </top>
      <bottom style="hair">
        <color theme="0" tint="-0.499984740745262"/>
      </bottom>
      <diagonal/>
    </border>
    <border>
      <left/>
      <right/>
      <top style="hair">
        <color theme="0" tint="-0.499984740745262"/>
      </top>
      <bottom style="hair">
        <color theme="0" tint="-0.499984740745262"/>
      </bottom>
      <diagonal/>
    </border>
    <border>
      <left/>
      <right style="hair">
        <color theme="0" tint="-0.499984740745262"/>
      </right>
      <top style="hair">
        <color theme="0" tint="-0.499984740745262"/>
      </top>
      <bottom style="hair">
        <color theme="0" tint="-0.499984740745262"/>
      </bottom>
      <diagonal/>
    </border>
    <border>
      <left/>
      <right/>
      <top style="hair">
        <color indexed="64"/>
      </top>
      <bottom style="hair">
        <color indexed="64"/>
      </bottom>
      <diagonal/>
    </border>
    <border>
      <left style="hair">
        <color theme="3"/>
      </left>
      <right/>
      <top style="hair">
        <color theme="3"/>
      </top>
      <bottom style="hair">
        <color theme="3"/>
      </bottom>
      <diagonal/>
    </border>
    <border>
      <left/>
      <right/>
      <top style="hair">
        <color theme="3"/>
      </top>
      <bottom style="hair">
        <color theme="3"/>
      </bottom>
      <diagonal/>
    </border>
    <border>
      <left/>
      <right style="hair">
        <color theme="3"/>
      </right>
      <top style="hair">
        <color theme="3"/>
      </top>
      <bottom style="hair">
        <color theme="3"/>
      </bottom>
      <diagonal/>
    </border>
    <border>
      <left style="hair">
        <color theme="3"/>
      </left>
      <right/>
      <top style="hair">
        <color theme="3"/>
      </top>
      <bottom/>
      <diagonal/>
    </border>
    <border>
      <left/>
      <right/>
      <top style="hair">
        <color theme="3"/>
      </top>
      <bottom/>
      <diagonal/>
    </border>
    <border>
      <left/>
      <right style="hair">
        <color theme="3"/>
      </right>
      <top style="hair">
        <color theme="3"/>
      </top>
      <bottom/>
      <diagonal/>
    </border>
    <border>
      <left style="hair">
        <color theme="3"/>
      </left>
      <right/>
      <top/>
      <bottom/>
      <diagonal/>
    </border>
    <border>
      <left/>
      <right style="hair">
        <color theme="3"/>
      </right>
      <top/>
      <bottom/>
      <diagonal/>
    </border>
    <border>
      <left style="hair">
        <color theme="3"/>
      </left>
      <right/>
      <top/>
      <bottom style="hair">
        <color theme="3"/>
      </bottom>
      <diagonal/>
    </border>
    <border>
      <left/>
      <right/>
      <top/>
      <bottom style="hair">
        <color theme="3"/>
      </bottom>
      <diagonal/>
    </border>
    <border>
      <left/>
      <right style="hair">
        <color theme="3"/>
      </right>
      <top/>
      <bottom style="hair">
        <color theme="3"/>
      </bottom>
      <diagonal/>
    </border>
    <border>
      <left style="thin">
        <color indexed="64"/>
      </left>
      <right/>
      <top style="thin">
        <color rgb="FF007B87"/>
      </top>
      <bottom/>
      <diagonal/>
    </border>
    <border>
      <left style="thin">
        <color indexed="64"/>
      </left>
      <right/>
      <top/>
      <bottom style="thin">
        <color indexed="64"/>
      </bottom>
      <diagonal/>
    </border>
    <border>
      <left style="thin">
        <color indexed="64"/>
      </left>
      <right/>
      <top/>
      <bottom/>
      <diagonal/>
    </border>
    <border>
      <left/>
      <right style="thin">
        <color indexed="64"/>
      </right>
      <top style="thin">
        <color rgb="FF007B87"/>
      </top>
      <bottom style="thin">
        <color rgb="FF007B87"/>
      </bottom>
      <diagonal/>
    </border>
    <border>
      <left/>
      <right style="thin">
        <color indexed="64"/>
      </right>
      <top/>
      <bottom style="thin">
        <color indexed="64"/>
      </bottom>
      <diagonal/>
    </border>
    <border>
      <left/>
      <right style="thin">
        <color indexed="64"/>
      </right>
      <top/>
      <bottom/>
      <diagonal/>
    </border>
    <border>
      <left style="dotted">
        <color auto="1"/>
      </left>
      <right/>
      <top/>
      <bottom/>
      <diagonal/>
    </border>
    <border>
      <left style="dotted">
        <color auto="1"/>
      </left>
      <right/>
      <top style="dotted">
        <color auto="1"/>
      </top>
      <bottom style="dotted">
        <color auto="1"/>
      </bottom>
      <diagonal/>
    </border>
    <border>
      <left/>
      <right/>
      <top style="dotted">
        <color auto="1"/>
      </top>
      <bottom style="dotted">
        <color auto="1"/>
      </bottom>
      <diagonal/>
    </border>
    <border>
      <left/>
      <right style="dotted">
        <color auto="1"/>
      </right>
      <top style="dotted">
        <color auto="1"/>
      </top>
      <bottom style="dotted">
        <color auto="1"/>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style="thin">
        <color rgb="FF007B87"/>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s>
  <cellStyleXfs count="32">
    <xf numFmtId="0" fontId="0" fillId="0" borderId="0"/>
    <xf numFmtId="0" fontId="7" fillId="3" borderId="0" applyNumberFormat="0" applyAlignment="0" applyProtection="0"/>
    <xf numFmtId="0" fontId="7" fillId="3" borderId="0" applyNumberFormat="0" applyAlignment="0" applyProtection="0"/>
    <xf numFmtId="0" fontId="6" fillId="2" borderId="1" applyNumberFormat="0" applyAlignment="0" applyProtection="0"/>
    <xf numFmtId="0" fontId="19" fillId="2" borderId="9" applyNumberFormat="0" applyAlignment="0" applyProtection="0"/>
    <xf numFmtId="0" fontId="19" fillId="0" borderId="10" applyNumberFormat="0" applyAlignment="0" applyProtection="0"/>
    <xf numFmtId="0" fontId="9" fillId="6" borderId="0" applyNumberFormat="0" applyBorder="0" applyAlignment="0" applyProtection="0"/>
    <xf numFmtId="0" fontId="10" fillId="7" borderId="0" applyNumberFormat="0" applyBorder="0" applyAlignment="0" applyProtection="0"/>
    <xf numFmtId="0" fontId="11" fillId="8" borderId="0" applyNumberFormat="0" applyBorder="0" applyAlignment="0" applyProtection="0"/>
    <xf numFmtId="0" fontId="12" fillId="9" borderId="4" applyNumberFormat="0" applyAlignment="0" applyProtection="0"/>
    <xf numFmtId="0" fontId="13" fillId="10" borderId="5" applyNumberFormat="0" applyAlignment="0" applyProtection="0"/>
    <xf numFmtId="0" fontId="14" fillId="10" borderId="4" applyNumberFormat="0" applyAlignment="0" applyProtection="0"/>
    <xf numFmtId="0" fontId="15" fillId="0" borderId="6" applyNumberFormat="0" applyFill="0" applyAlignment="0" applyProtection="0"/>
    <xf numFmtId="0" fontId="16" fillId="11" borderId="7" applyNumberFormat="0" applyAlignment="0" applyProtection="0"/>
    <xf numFmtId="0" fontId="17" fillId="0" borderId="0" applyNumberFormat="0" applyFill="0" applyBorder="0" applyAlignment="0" applyProtection="0"/>
    <xf numFmtId="0" fontId="8" fillId="12" borderId="8" applyNumberFormat="0" applyFont="0" applyAlignment="0" applyProtection="0"/>
    <xf numFmtId="0" fontId="18" fillId="0" borderId="0" applyNumberFormat="0" applyFill="0" applyBorder="0" applyAlignment="0" applyProtection="0"/>
    <xf numFmtId="43" fontId="3" fillId="4" borderId="0"/>
    <xf numFmtId="43" fontId="4" fillId="0" borderId="0"/>
    <xf numFmtId="43" fontId="5" fillId="0" borderId="0"/>
    <xf numFmtId="43" fontId="2" fillId="0" borderId="0"/>
    <xf numFmtId="164" fontId="3" fillId="0" borderId="0"/>
    <xf numFmtId="0" fontId="2" fillId="0" borderId="0"/>
    <xf numFmtId="9" fontId="2" fillId="0" borderId="0" applyFont="0" applyFill="0" applyBorder="0" applyAlignment="0" applyProtection="0"/>
    <xf numFmtId="43" fontId="2" fillId="0" borderId="0" applyFont="0" applyFill="0" applyBorder="0" applyAlignment="0" applyProtection="0"/>
    <xf numFmtId="9" fontId="22" fillId="0" borderId="0" applyFont="0" applyFill="0" applyBorder="0" applyAlignment="0" applyProtection="0"/>
    <xf numFmtId="0" fontId="1" fillId="0" borderId="0"/>
    <xf numFmtId="0" fontId="25" fillId="14" borderId="0" applyNumberFormat="0" applyBorder="0" applyAlignment="0" applyProtection="0"/>
    <xf numFmtId="0" fontId="26" fillId="0" borderId="0" applyNumberFormat="0" applyFill="0" applyBorder="0" applyAlignment="0" applyProtection="0"/>
    <xf numFmtId="0" fontId="7" fillId="16" borderId="0" applyNumberFormat="0" applyAlignment="0" applyProtection="0"/>
    <xf numFmtId="0" fontId="2" fillId="0" borderId="0"/>
    <xf numFmtId="43" fontId="51" fillId="0" borderId="0" applyFont="0" applyFill="0" applyBorder="0" applyAlignment="0" applyProtection="0"/>
  </cellStyleXfs>
  <cellXfs count="585">
    <xf numFmtId="0" fontId="0" fillId="0" borderId="0" xfId="0"/>
    <xf numFmtId="0" fontId="7" fillId="3" borderId="0" xfId="2"/>
    <xf numFmtId="0" fontId="0" fillId="13" borderId="0" xfId="0" applyFill="1"/>
    <xf numFmtId="0" fontId="2" fillId="13" borderId="0" xfId="0" applyFont="1" applyFill="1"/>
    <xf numFmtId="0" fontId="2" fillId="15" borderId="0" xfId="22" applyFill="1"/>
    <xf numFmtId="0" fontId="2" fillId="0" borderId="0" xfId="22"/>
    <xf numFmtId="0" fontId="2" fillId="13" borderId="0" xfId="22" applyFill="1"/>
    <xf numFmtId="0" fontId="27" fillId="17" borderId="0" xfId="22" applyFont="1" applyFill="1"/>
    <xf numFmtId="0" fontId="2" fillId="17" borderId="0" xfId="22" applyFill="1"/>
    <xf numFmtId="0" fontId="7" fillId="18" borderId="0" xfId="29" applyFill="1"/>
    <xf numFmtId="0" fontId="27" fillId="18" borderId="0" xfId="22" applyFont="1" applyFill="1"/>
    <xf numFmtId="0" fontId="28" fillId="18" borderId="0" xfId="22" applyFont="1" applyFill="1"/>
    <xf numFmtId="0" fontId="27" fillId="19" borderId="0" xfId="22" applyFont="1" applyFill="1"/>
    <xf numFmtId="0" fontId="2" fillId="19" borderId="0" xfId="22" applyFill="1"/>
    <xf numFmtId="0" fontId="31" fillId="3" borderId="0" xfId="28" applyFont="1" applyFill="1" applyAlignment="1">
      <alignment horizontal="left" vertical="center" wrapText="1"/>
    </xf>
    <xf numFmtId="0" fontId="2" fillId="0" borderId="0" xfId="0" applyFont="1"/>
    <xf numFmtId="0" fontId="35" fillId="0" borderId="0" xfId="0" applyFont="1"/>
    <xf numFmtId="0" fontId="36" fillId="13" borderId="0" xfId="0" applyFont="1" applyFill="1"/>
    <xf numFmtId="0" fontId="30" fillId="14" borderId="0" xfId="27" applyFont="1" applyAlignment="1">
      <alignment vertical="center"/>
    </xf>
    <xf numFmtId="0" fontId="20" fillId="13" borderId="0" xfId="0" applyFont="1" applyFill="1"/>
    <xf numFmtId="0" fontId="35" fillId="0" borderId="0" xfId="0" applyFont="1" applyAlignment="1">
      <alignment horizontal="left"/>
    </xf>
    <xf numFmtId="0" fontId="35" fillId="13" borderId="0" xfId="0" applyFont="1" applyFill="1"/>
    <xf numFmtId="0" fontId="0" fillId="0" borderId="0" xfId="0" applyAlignment="1">
      <alignment wrapText="1"/>
    </xf>
    <xf numFmtId="0" fontId="19" fillId="0" borderId="0" xfId="0" applyFont="1" applyAlignment="1">
      <alignment horizontal="center" vertical="center" wrapText="1"/>
    </xf>
    <xf numFmtId="0" fontId="20" fillId="0" borderId="0" xfId="0" applyFont="1" applyAlignment="1">
      <alignment horizontal="left" vertical="top" wrapText="1"/>
    </xf>
    <xf numFmtId="0" fontId="23" fillId="13" borderId="0" xfId="0" applyFont="1" applyFill="1" applyAlignment="1">
      <alignment wrapText="1"/>
    </xf>
    <xf numFmtId="43" fontId="37" fillId="23" borderId="0" xfId="17" applyFont="1" applyFill="1" applyAlignment="1">
      <alignment vertical="center"/>
    </xf>
    <xf numFmtId="43" fontId="39" fillId="0" borderId="0" xfId="17" applyFont="1" applyFill="1" applyAlignment="1">
      <alignment vertical="center"/>
    </xf>
    <xf numFmtId="43" fontId="2" fillId="13" borderId="0" xfId="20" applyFill="1" applyAlignment="1">
      <alignment vertical="center"/>
    </xf>
    <xf numFmtId="43" fontId="38" fillId="4" borderId="0" xfId="17" applyFont="1" applyAlignment="1">
      <alignment vertical="center"/>
    </xf>
    <xf numFmtId="43" fontId="35" fillId="13" borderId="0" xfId="20" applyFont="1" applyFill="1" applyAlignment="1">
      <alignment vertical="center"/>
    </xf>
    <xf numFmtId="43" fontId="41" fillId="13" borderId="0" xfId="20" applyFont="1" applyFill="1" applyAlignment="1">
      <alignment vertical="center"/>
    </xf>
    <xf numFmtId="0" fontId="19" fillId="13" borderId="0" xfId="30" applyFont="1" applyFill="1"/>
    <xf numFmtId="0" fontId="24" fillId="0" borderId="14" xfId="0" applyFont="1" applyBorder="1" applyAlignment="1">
      <alignment horizontal="left" vertical="top"/>
    </xf>
    <xf numFmtId="165" fontId="24" fillId="0" borderId="14" xfId="0" applyNumberFormat="1" applyFont="1" applyBorder="1" applyAlignment="1">
      <alignment vertical="top"/>
    </xf>
    <xf numFmtId="0" fontId="23" fillId="13" borderId="0" xfId="0" applyFont="1" applyFill="1" applyAlignment="1">
      <alignment vertical="center" wrapText="1"/>
    </xf>
    <xf numFmtId="0" fontId="23" fillId="0" borderId="0" xfId="0" applyFont="1" applyAlignment="1">
      <alignment vertical="center" wrapText="1"/>
    </xf>
    <xf numFmtId="0" fontId="41" fillId="0" borderId="0" xfId="0" applyFont="1" applyAlignment="1">
      <alignment horizontal="left" indent="2"/>
    </xf>
    <xf numFmtId="0" fontId="41" fillId="0" borderId="0" xfId="0" applyFont="1" applyAlignment="1">
      <alignment horizontal="center"/>
    </xf>
    <xf numFmtId="0" fontId="20" fillId="13" borderId="0" xfId="0" applyFont="1" applyFill="1" applyAlignment="1">
      <alignment vertical="center"/>
    </xf>
    <xf numFmtId="0" fontId="20" fillId="13" borderId="0" xfId="0" applyFont="1" applyFill="1" applyAlignment="1">
      <alignment horizontal="left" vertical="center"/>
    </xf>
    <xf numFmtId="14" fontId="19" fillId="0" borderId="0" xfId="0" applyNumberFormat="1" applyFont="1" applyAlignment="1">
      <alignment horizontal="center"/>
    </xf>
    <xf numFmtId="41" fontId="39" fillId="0" borderId="0" xfId="24" applyNumberFormat="1" applyFont="1" applyBorder="1" applyProtection="1">
      <protection locked="0"/>
    </xf>
    <xf numFmtId="41" fontId="39" fillId="0" borderId="0" xfId="0" applyNumberFormat="1" applyFont="1" applyProtection="1">
      <protection locked="0"/>
    </xf>
    <xf numFmtId="41" fontId="2" fillId="0" borderId="0" xfId="0" applyNumberFormat="1" applyFont="1"/>
    <xf numFmtId="3" fontId="24" fillId="0" borderId="14" xfId="0" applyNumberFormat="1" applyFont="1" applyBorder="1" applyAlignment="1">
      <alignment horizontal="right" vertical="top"/>
    </xf>
    <xf numFmtId="0" fontId="30" fillId="13" borderId="0" xfId="27" applyFont="1" applyFill="1" applyAlignment="1">
      <alignment vertical="center"/>
    </xf>
    <xf numFmtId="0" fontId="5" fillId="13" borderId="0" xfId="0" applyFont="1" applyFill="1" applyAlignment="1">
      <alignment horizontal="center"/>
    </xf>
    <xf numFmtId="0" fontId="24" fillId="0" borderId="14" xfId="0" applyFont="1" applyBorder="1" applyAlignment="1">
      <alignment horizontal="center" vertical="top"/>
    </xf>
    <xf numFmtId="49" fontId="19" fillId="0" borderId="0" xfId="0" applyNumberFormat="1" applyFont="1" applyAlignment="1">
      <alignment horizontal="left"/>
    </xf>
    <xf numFmtId="0" fontId="29" fillId="13" borderId="0" xfId="22" applyFont="1" applyFill="1"/>
    <xf numFmtId="0" fontId="23" fillId="13" borderId="0" xfId="22" applyFont="1" applyFill="1"/>
    <xf numFmtId="49" fontId="37" fillId="13" borderId="0" xfId="0" applyNumberFormat="1" applyFont="1" applyFill="1" applyAlignment="1">
      <alignment horizontal="center"/>
    </xf>
    <xf numFmtId="3" fontId="23" fillId="13" borderId="0" xfId="0" applyNumberFormat="1" applyFont="1" applyFill="1" applyAlignment="1">
      <alignment horizontal="center"/>
    </xf>
    <xf numFmtId="10" fontId="23" fillId="13" borderId="0" xfId="25" applyNumberFormat="1" applyFont="1" applyFill="1" applyAlignment="1">
      <alignment horizontal="center"/>
    </xf>
    <xf numFmtId="0" fontId="2" fillId="0" borderId="17" xfId="0" applyFont="1" applyBorder="1"/>
    <xf numFmtId="0" fontId="5" fillId="13" borderId="16" xfId="0" applyFont="1" applyFill="1" applyBorder="1" applyAlignment="1">
      <alignment horizontal="center" vertical="center"/>
    </xf>
    <xf numFmtId="0" fontId="5" fillId="13" borderId="0" xfId="0" applyFont="1" applyFill="1" applyAlignment="1">
      <alignment horizontal="center" vertical="center"/>
    </xf>
    <xf numFmtId="0" fontId="5" fillId="13" borderId="17" xfId="0" applyFont="1" applyFill="1" applyBorder="1" applyAlignment="1">
      <alignment horizontal="center" vertical="center"/>
    </xf>
    <xf numFmtId="0" fontId="5" fillId="13" borderId="15" xfId="0" applyFont="1" applyFill="1" applyBorder="1" applyAlignment="1">
      <alignment horizontal="center" vertical="center"/>
    </xf>
    <xf numFmtId="166" fontId="37" fillId="23" borderId="0" xfId="25" applyNumberFormat="1" applyFont="1" applyFill="1"/>
    <xf numFmtId="0" fontId="20" fillId="13" borderId="15" xfId="0" applyFont="1" applyFill="1" applyBorder="1"/>
    <xf numFmtId="0" fontId="31" fillId="13" borderId="0" xfId="28" applyFont="1" applyFill="1" applyAlignment="1">
      <alignment horizontal="left" vertical="center" wrapText="1"/>
    </xf>
    <xf numFmtId="0" fontId="32" fillId="0" borderId="0" xfId="28" applyFont="1" applyFill="1" applyAlignment="1">
      <alignment vertical="center"/>
    </xf>
    <xf numFmtId="0" fontId="35" fillId="0" borderId="0" xfId="22" applyFont="1"/>
    <xf numFmtId="0" fontId="4" fillId="13" borderId="0" xfId="0" applyFont="1" applyFill="1" applyAlignment="1" applyProtection="1">
      <alignment horizontal="center"/>
      <protection locked="0"/>
    </xf>
    <xf numFmtId="0" fontId="38" fillId="0" borderId="0" xfId="22" applyFont="1"/>
    <xf numFmtId="0" fontId="38" fillId="0" borderId="0" xfId="22" applyFont="1" applyAlignment="1">
      <alignment horizontal="center"/>
    </xf>
    <xf numFmtId="0" fontId="38" fillId="13" borderId="0" xfId="0" applyFont="1" applyFill="1" applyAlignment="1" applyProtection="1">
      <alignment horizontal="center" vertical="center" wrapText="1"/>
      <protection locked="0"/>
    </xf>
    <xf numFmtId="0" fontId="19" fillId="13" borderId="0" xfId="0" applyFont="1" applyFill="1" applyAlignment="1" applyProtection="1">
      <alignment horizontal="center" vertical="center" wrapText="1"/>
      <protection locked="0"/>
    </xf>
    <xf numFmtId="165" fontId="23" fillId="0" borderId="0" xfId="0" applyNumberFormat="1" applyFont="1"/>
    <xf numFmtId="0" fontId="2" fillId="0" borderId="0" xfId="22" applyAlignment="1">
      <alignment horizontal="center"/>
    </xf>
    <xf numFmtId="165" fontId="2" fillId="0" borderId="0" xfId="22" applyNumberFormat="1"/>
    <xf numFmtId="0" fontId="41" fillId="0" borderId="0" xfId="22" applyFont="1" applyAlignment="1">
      <alignment horizontal="right"/>
    </xf>
    <xf numFmtId="0" fontId="19" fillId="15" borderId="0" xfId="22" applyFont="1" applyFill="1"/>
    <xf numFmtId="165" fontId="19" fillId="15" borderId="0" xfId="22" applyNumberFormat="1" applyFont="1" applyFill="1"/>
    <xf numFmtId="0" fontId="23" fillId="15" borderId="0" xfId="22" applyFont="1" applyFill="1"/>
    <xf numFmtId="168" fontId="19" fillId="15" borderId="0" xfId="22" applyNumberFormat="1" applyFont="1" applyFill="1"/>
    <xf numFmtId="168" fontId="23" fillId="0" borderId="0" xfId="24" applyNumberFormat="1" applyFont="1" applyFill="1" applyProtection="1"/>
    <xf numFmtId="169" fontId="37" fillId="23" borderId="0" xfId="24" applyNumberFormat="1" applyFont="1" applyFill="1" applyProtection="1"/>
    <xf numFmtId="0" fontId="41" fillId="0" borderId="0" xfId="22" applyFont="1"/>
    <xf numFmtId="165" fontId="2" fillId="0" borderId="0" xfId="0" applyNumberFormat="1" applyFont="1"/>
    <xf numFmtId="0" fontId="2" fillId="13" borderId="0" xfId="0" applyFont="1" applyFill="1" applyAlignment="1">
      <alignment horizontal="left" indent="1"/>
    </xf>
    <xf numFmtId="0" fontId="37" fillId="23" borderId="0" xfId="0" applyFont="1" applyFill="1" applyAlignment="1" applyProtection="1">
      <alignment horizontal="center" vertical="center" wrapText="1"/>
      <protection locked="0"/>
    </xf>
    <xf numFmtId="0" fontId="19" fillId="0" borderId="0" xfId="0" applyFont="1" applyAlignment="1">
      <alignment horizontal="left"/>
    </xf>
    <xf numFmtId="14" fontId="23" fillId="23" borderId="0" xfId="0" applyNumberFormat="1" applyFont="1" applyFill="1" applyAlignment="1">
      <alignment horizontal="center"/>
    </xf>
    <xf numFmtId="166" fontId="37" fillId="13" borderId="0" xfId="25" applyNumberFormat="1" applyFont="1" applyFill="1"/>
    <xf numFmtId="0" fontId="32" fillId="2" borderId="0" xfId="28" applyFont="1" applyFill="1" applyAlignment="1">
      <alignment vertical="center"/>
    </xf>
    <xf numFmtId="0" fontId="36" fillId="13" borderId="0" xfId="0" applyFont="1" applyFill="1" applyAlignment="1">
      <alignment horizontal="center"/>
    </xf>
    <xf numFmtId="14" fontId="23" fillId="13" borderId="0" xfId="0" applyNumberFormat="1" applyFont="1" applyFill="1" applyAlignment="1">
      <alignment horizontal="center"/>
    </xf>
    <xf numFmtId="0" fontId="23" fillId="0" borderId="0" xfId="22" applyFont="1" applyAlignment="1">
      <alignment horizontal="center"/>
    </xf>
    <xf numFmtId="168" fontId="24" fillId="0" borderId="14" xfId="0" applyNumberFormat="1" applyFont="1" applyBorder="1" applyAlignment="1">
      <alignment vertical="top"/>
    </xf>
    <xf numFmtId="0" fontId="40" fillId="22" borderId="0" xfId="0" applyFont="1" applyFill="1"/>
    <xf numFmtId="10" fontId="46" fillId="22" borderId="0" xfId="23" applyNumberFormat="1" applyFont="1" applyFill="1"/>
    <xf numFmtId="43" fontId="40" fillId="22" borderId="0" xfId="20" applyFont="1" applyFill="1" applyAlignment="1">
      <alignment vertical="center"/>
    </xf>
    <xf numFmtId="0" fontId="40" fillId="22" borderId="0" xfId="0" applyFont="1" applyFill="1" applyAlignment="1">
      <alignment horizontal="right" vertical="center" wrapText="1"/>
    </xf>
    <xf numFmtId="0" fontId="40" fillId="13" borderId="0" xfId="0" applyFont="1" applyFill="1" applyAlignment="1">
      <alignment horizontal="right" vertical="center" wrapText="1"/>
    </xf>
    <xf numFmtId="1" fontId="37" fillId="23" borderId="0" xfId="0" applyNumberFormat="1" applyFont="1" applyFill="1" applyAlignment="1">
      <alignment horizontal="center"/>
    </xf>
    <xf numFmtId="1" fontId="23" fillId="13" borderId="0" xfId="0" applyNumberFormat="1" applyFont="1" applyFill="1" applyAlignment="1">
      <alignment horizontal="center"/>
    </xf>
    <xf numFmtId="0" fontId="23" fillId="0" borderId="0" xfId="0" applyFont="1" applyAlignment="1">
      <alignment horizontal="left" vertical="center" wrapText="1"/>
    </xf>
    <xf numFmtId="0" fontId="19" fillId="0" borderId="21" xfId="0" applyFont="1" applyBorder="1" applyAlignment="1">
      <alignment horizontal="center" vertical="center" wrapText="1"/>
    </xf>
    <xf numFmtId="0" fontId="23" fillId="13" borderId="0" xfId="0" applyFont="1" applyFill="1" applyAlignment="1">
      <alignment horizontal="left" vertical="center"/>
    </xf>
    <xf numFmtId="14" fontId="38" fillId="13" borderId="0" xfId="0" applyNumberFormat="1" applyFont="1" applyFill="1" applyAlignment="1" applyProtection="1">
      <alignment horizontal="center" vertical="center" wrapText="1"/>
      <protection locked="0"/>
    </xf>
    <xf numFmtId="3" fontId="47" fillId="0" borderId="14" xfId="0" applyNumberFormat="1" applyFont="1" applyBorder="1" applyAlignment="1">
      <alignment horizontal="right" vertical="top"/>
    </xf>
    <xf numFmtId="9" fontId="5" fillId="0" borderId="0" xfId="25" applyFont="1"/>
    <xf numFmtId="3" fontId="24" fillId="0" borderId="14" xfId="0" applyNumberFormat="1" applyFont="1" applyBorder="1" applyAlignment="1">
      <alignment horizontal="center" vertical="top"/>
    </xf>
    <xf numFmtId="3" fontId="24" fillId="0" borderId="0" xfId="0" applyNumberFormat="1" applyFont="1" applyAlignment="1">
      <alignment horizontal="right" vertical="top"/>
    </xf>
    <xf numFmtId="3" fontId="24" fillId="0" borderId="0" xfId="0" applyNumberFormat="1" applyFont="1" applyAlignment="1">
      <alignment horizontal="center" vertical="top"/>
    </xf>
    <xf numFmtId="9" fontId="5" fillId="0" borderId="0" xfId="25" applyFont="1" applyBorder="1"/>
    <xf numFmtId="41" fontId="5" fillId="0" borderId="0" xfId="0" applyNumberFormat="1" applyFont="1"/>
    <xf numFmtId="0" fontId="43" fillId="13" borderId="0" xfId="0" applyFont="1" applyFill="1" applyAlignment="1" applyProtection="1">
      <alignment horizontal="center" vertical="center" wrapText="1"/>
      <protection locked="0"/>
    </xf>
    <xf numFmtId="3" fontId="43" fillId="0" borderId="0" xfId="0" applyNumberFormat="1" applyFont="1" applyAlignment="1">
      <alignment horizontal="center" vertical="top"/>
    </xf>
    <xf numFmtId="3" fontId="43" fillId="0" borderId="0" xfId="0" applyNumberFormat="1" applyFont="1" applyAlignment="1">
      <alignment horizontal="right" vertical="top"/>
    </xf>
    <xf numFmtId="0" fontId="5" fillId="0" borderId="0" xfId="0" applyFont="1"/>
    <xf numFmtId="3" fontId="47" fillId="0" borderId="0" xfId="0" applyNumberFormat="1" applyFont="1" applyAlignment="1">
      <alignment horizontal="right" vertical="top"/>
    </xf>
    <xf numFmtId="0" fontId="4" fillId="13" borderId="0" xfId="0" applyFont="1" applyFill="1" applyAlignment="1" applyProtection="1">
      <alignment horizontal="center" wrapText="1"/>
      <protection locked="0"/>
    </xf>
    <xf numFmtId="0" fontId="19" fillId="13" borderId="0" xfId="0" applyFont="1" applyFill="1" applyAlignment="1" applyProtection="1">
      <alignment horizontal="center" wrapText="1"/>
      <protection locked="0"/>
    </xf>
    <xf numFmtId="0" fontId="19" fillId="13" borderId="0" xfId="0" applyFont="1" applyFill="1" applyAlignment="1">
      <alignment horizontal="center" vertical="center" wrapText="1"/>
    </xf>
    <xf numFmtId="10" fontId="46" fillId="13" borderId="0" xfId="23" applyNumberFormat="1" applyFont="1" applyFill="1" applyBorder="1"/>
    <xf numFmtId="168" fontId="24" fillId="13" borderId="0" xfId="0" applyNumberFormat="1" applyFont="1" applyFill="1" applyAlignment="1">
      <alignment vertical="top"/>
    </xf>
    <xf numFmtId="0" fontId="30" fillId="13" borderId="0" xfId="0" applyFont="1" applyFill="1" applyAlignment="1" applyProtection="1">
      <alignment horizontal="center"/>
      <protection locked="0"/>
    </xf>
    <xf numFmtId="0" fontId="0" fillId="0" borderId="23" xfId="0" applyBorder="1"/>
    <xf numFmtId="0" fontId="48" fillId="0" borderId="0" xfId="0" applyFont="1"/>
    <xf numFmtId="41" fontId="2" fillId="13" borderId="0" xfId="0" applyNumberFormat="1" applyFont="1" applyFill="1"/>
    <xf numFmtId="0" fontId="30" fillId="0" borderId="0" xfId="27" applyFont="1" applyFill="1" applyAlignment="1">
      <alignment vertical="center"/>
    </xf>
    <xf numFmtId="0" fontId="23" fillId="13" borderId="0" xfId="0" applyFont="1" applyFill="1"/>
    <xf numFmtId="0" fontId="49" fillId="13" borderId="0" xfId="0" applyFont="1" applyFill="1" applyAlignment="1" applyProtection="1">
      <alignment horizontal="center" vertical="center" wrapText="1"/>
      <protection locked="0"/>
    </xf>
    <xf numFmtId="3" fontId="49" fillId="0" borderId="0" xfId="0" applyNumberFormat="1" applyFont="1" applyAlignment="1">
      <alignment horizontal="center" vertical="top"/>
    </xf>
    <xf numFmtId="41" fontId="50" fillId="0" borderId="0" xfId="0" applyNumberFormat="1" applyFont="1"/>
    <xf numFmtId="9" fontId="50" fillId="0" borderId="0" xfId="25" applyFont="1" applyBorder="1"/>
    <xf numFmtId="0" fontId="50" fillId="0" borderId="0" xfId="0" applyFont="1"/>
    <xf numFmtId="9" fontId="50" fillId="13" borderId="0" xfId="25" applyFont="1" applyFill="1" applyBorder="1"/>
    <xf numFmtId="0" fontId="41" fillId="0" borderId="0" xfId="0" applyFont="1"/>
    <xf numFmtId="43" fontId="50" fillId="13" borderId="0" xfId="19" applyFont="1" applyFill="1" applyAlignment="1">
      <alignment vertical="center"/>
    </xf>
    <xf numFmtId="0" fontId="20" fillId="13" borderId="0" xfId="0" applyFont="1" applyFill="1" applyAlignment="1">
      <alignment horizontal="center" vertical="center"/>
    </xf>
    <xf numFmtId="167" fontId="37" fillId="0" borderId="0" xfId="24" applyNumberFormat="1" applyFont="1" applyFill="1" applyProtection="1"/>
    <xf numFmtId="43" fontId="40" fillId="0" borderId="0" xfId="20" applyFont="1" applyAlignment="1">
      <alignment vertical="center"/>
    </xf>
    <xf numFmtId="170" fontId="40" fillId="0" borderId="0" xfId="20" applyNumberFormat="1" applyFont="1" applyAlignment="1">
      <alignment vertical="center"/>
    </xf>
    <xf numFmtId="0" fontId="0" fillId="4" borderId="0" xfId="0" applyFill="1"/>
    <xf numFmtId="0" fontId="24" fillId="5" borderId="0" xfId="0" applyFont="1" applyFill="1" applyAlignment="1">
      <alignment horizontal="left" vertical="top" wrapText="1" indent="1"/>
    </xf>
    <xf numFmtId="0" fontId="21" fillId="5" borderId="0" xfId="0" applyFont="1" applyFill="1" applyAlignment="1">
      <alignment horizontal="right" vertical="top"/>
    </xf>
    <xf numFmtId="0" fontId="21" fillId="5" borderId="0" xfId="0" applyFont="1" applyFill="1" applyAlignment="1">
      <alignment horizontal="left" vertical="top" wrapText="1" indent="2"/>
    </xf>
    <xf numFmtId="0" fontId="21" fillId="0" borderId="0" xfId="0" applyFont="1" applyAlignment="1">
      <alignment horizontal="left" vertical="top" wrapText="1" indent="1"/>
    </xf>
    <xf numFmtId="0" fontId="35" fillId="0" borderId="0" xfId="0" applyFont="1" applyAlignment="1">
      <alignment horizontal="right" vertical="center"/>
    </xf>
    <xf numFmtId="167" fontId="37" fillId="0" borderId="0" xfId="24" applyNumberFormat="1" applyFont="1" applyFill="1" applyBorder="1" applyProtection="1"/>
    <xf numFmtId="167" fontId="0" fillId="0" borderId="0" xfId="0" applyNumberFormat="1"/>
    <xf numFmtId="170" fontId="0" fillId="0" borderId="0" xfId="31" applyNumberFormat="1" applyFont="1" applyFill="1" applyBorder="1"/>
    <xf numFmtId="0" fontId="28" fillId="0" borderId="0" xfId="0" applyFont="1" applyAlignment="1">
      <alignment vertical="center" wrapText="1"/>
    </xf>
    <xf numFmtId="0" fontId="36" fillId="13" borderId="29" xfId="0" applyFont="1" applyFill="1" applyBorder="1"/>
    <xf numFmtId="0" fontId="36" fillId="13" borderId="32" xfId="0" applyFont="1" applyFill="1" applyBorder="1"/>
    <xf numFmtId="0" fontId="4" fillId="0" borderId="0" xfId="24" applyNumberFormat="1" applyFont="1" applyFill="1" applyBorder="1" applyProtection="1"/>
    <xf numFmtId="0" fontId="28" fillId="2" borderId="17" xfId="0" applyFont="1" applyFill="1" applyBorder="1" applyAlignment="1">
      <alignment vertical="center" wrapText="1"/>
    </xf>
    <xf numFmtId="0" fontId="0" fillId="0" borderId="29" xfId="0" applyBorder="1"/>
    <xf numFmtId="0" fontId="0" fillId="4" borderId="27" xfId="0" applyFill="1" applyBorder="1"/>
    <xf numFmtId="0" fontId="21" fillId="0" borderId="0" xfId="0" applyFont="1" applyAlignment="1">
      <alignment horizontal="left" vertical="top" wrapText="1" indent="2"/>
    </xf>
    <xf numFmtId="0" fontId="2" fillId="0" borderId="21" xfId="22" applyBorder="1" applyAlignment="1">
      <alignment wrapText="1"/>
    </xf>
    <xf numFmtId="0" fontId="0" fillId="13" borderId="0" xfId="0" applyFill="1" applyAlignment="1">
      <alignment wrapText="1"/>
    </xf>
    <xf numFmtId="0" fontId="0" fillId="13" borderId="11" xfId="0" applyFill="1" applyBorder="1" applyAlignment="1">
      <alignment wrapText="1"/>
    </xf>
    <xf numFmtId="43" fontId="37" fillId="0" borderId="0" xfId="17" applyFont="1" applyFill="1" applyAlignment="1">
      <alignment vertical="center"/>
    </xf>
    <xf numFmtId="0" fontId="4" fillId="5" borderId="21" xfId="0" applyFont="1" applyFill="1" applyBorder="1" applyAlignment="1">
      <alignment horizontal="left" vertical="top" wrapText="1"/>
    </xf>
    <xf numFmtId="0" fontId="4" fillId="13" borderId="21" xfId="0" applyFont="1" applyFill="1" applyBorder="1" applyAlignment="1">
      <alignment horizontal="left"/>
    </xf>
    <xf numFmtId="0" fontId="4" fillId="13" borderId="21" xfId="0" applyFont="1" applyFill="1" applyBorder="1" applyAlignment="1">
      <alignment horizontal="center"/>
    </xf>
    <xf numFmtId="170" fontId="37" fillId="0" borderId="0" xfId="17" applyNumberFormat="1" applyFont="1" applyFill="1" applyAlignment="1">
      <alignment vertical="center"/>
    </xf>
    <xf numFmtId="0" fontId="45" fillId="0" borderId="0" xfId="0" applyFont="1" applyAlignment="1">
      <alignment horizontal="left" vertical="center" wrapText="1"/>
    </xf>
    <xf numFmtId="0" fontId="30" fillId="17" borderId="0" xfId="0" applyFont="1" applyFill="1" applyAlignment="1">
      <alignment horizontal="left" vertical="center"/>
    </xf>
    <xf numFmtId="0" fontId="29" fillId="17" borderId="0" xfId="0" applyFont="1" applyFill="1"/>
    <xf numFmtId="0" fontId="30" fillId="17" borderId="0" xfId="27" applyFont="1" applyFill="1" applyAlignment="1">
      <alignment vertical="center"/>
    </xf>
    <xf numFmtId="167" fontId="37" fillId="17" borderId="0" xfId="24" applyNumberFormat="1" applyFont="1" applyFill="1" applyBorder="1" applyProtection="1"/>
    <xf numFmtId="167" fontId="0" fillId="17" borderId="0" xfId="0" applyNumberFormat="1" applyFill="1"/>
    <xf numFmtId="170" fontId="0" fillId="17" borderId="0" xfId="31" applyNumberFormat="1" applyFont="1" applyFill="1" applyBorder="1"/>
    <xf numFmtId="0" fontId="0" fillId="17" borderId="0" xfId="0" applyFill="1"/>
    <xf numFmtId="0" fontId="19" fillId="4" borderId="0" xfId="0" applyFont="1" applyFill="1" applyAlignment="1">
      <alignment horizontal="left"/>
    </xf>
    <xf numFmtId="0" fontId="20" fillId="4" borderId="0" xfId="0" applyFont="1" applyFill="1"/>
    <xf numFmtId="0" fontId="20" fillId="4" borderId="15" xfId="0" applyFont="1" applyFill="1" applyBorder="1"/>
    <xf numFmtId="0" fontId="19" fillId="4" borderId="15" xfId="0" applyFont="1" applyFill="1" applyBorder="1" applyAlignment="1">
      <alignment horizontal="right"/>
    </xf>
    <xf numFmtId="0" fontId="2" fillId="4" borderId="11" xfId="0" applyFont="1" applyFill="1" applyBorder="1"/>
    <xf numFmtId="0" fontId="5" fillId="4" borderId="0" xfId="0" applyFont="1" applyFill="1" applyAlignment="1">
      <alignment horizontal="center" vertical="center"/>
    </xf>
    <xf numFmtId="166" fontId="39" fillId="4" borderId="0" xfId="25" applyNumberFormat="1" applyFont="1" applyFill="1"/>
    <xf numFmtId="0" fontId="2" fillId="4" borderId="0" xfId="0" applyFont="1" applyFill="1"/>
    <xf numFmtId="0" fontId="35" fillId="13" borderId="0" xfId="0" applyFont="1" applyFill="1" applyAlignment="1">
      <alignment horizontal="center" wrapText="1"/>
    </xf>
    <xf numFmtId="0" fontId="0" fillId="0" borderId="11" xfId="0" applyBorder="1" applyAlignment="1">
      <alignment wrapText="1"/>
    </xf>
    <xf numFmtId="171" fontId="37" fillId="0" borderId="0" xfId="24" applyNumberFormat="1" applyFont="1" applyFill="1" applyProtection="1"/>
    <xf numFmtId="41" fontId="0" fillId="0" borderId="30" xfId="0" applyNumberFormat="1" applyBorder="1"/>
    <xf numFmtId="41" fontId="0" fillId="0" borderId="35" xfId="0" applyNumberFormat="1" applyBorder="1"/>
    <xf numFmtId="0" fontId="0" fillId="0" borderId="0" xfId="0" applyAlignment="1">
      <alignment horizontal="center"/>
    </xf>
    <xf numFmtId="0" fontId="21" fillId="0" borderId="0" xfId="0" applyFont="1" applyAlignment="1">
      <alignment horizontal="right" vertical="top"/>
    </xf>
    <xf numFmtId="0" fontId="20" fillId="0" borderId="2" xfId="0" applyFont="1" applyBorder="1" applyAlignment="1">
      <alignment horizontal="left" vertical="top" wrapText="1"/>
    </xf>
    <xf numFmtId="0" fontId="20" fillId="0" borderId="2" xfId="0" applyFont="1" applyBorder="1" applyAlignment="1">
      <alignment horizontal="center" vertical="top" wrapText="1"/>
    </xf>
    <xf numFmtId="0" fontId="20" fillId="0" borderId="0" xfId="0" applyFont="1" applyAlignment="1">
      <alignment horizontal="left" vertical="center"/>
    </xf>
    <xf numFmtId="170" fontId="21" fillId="0" borderId="0" xfId="24" applyNumberFormat="1" applyFont="1" applyFill="1" applyBorder="1" applyAlignment="1">
      <alignment horizontal="right" vertical="center"/>
    </xf>
    <xf numFmtId="167" fontId="23" fillId="0" borderId="0" xfId="24" applyNumberFormat="1" applyFont="1" applyFill="1" applyBorder="1" applyAlignment="1" applyProtection="1">
      <alignment vertical="center"/>
    </xf>
    <xf numFmtId="167" fontId="23" fillId="0" borderId="0" xfId="24" applyNumberFormat="1" applyFont="1" applyFill="1" applyBorder="1" applyProtection="1"/>
    <xf numFmtId="0" fontId="52" fillId="0" borderId="0" xfId="0" applyFont="1" applyAlignment="1">
      <alignment vertical="center" wrapText="1"/>
    </xf>
    <xf numFmtId="0" fontId="44" fillId="13" borderId="0" xfId="0" applyFont="1" applyFill="1" applyAlignment="1">
      <alignment vertical="center" wrapText="1"/>
    </xf>
    <xf numFmtId="172" fontId="37" fillId="0" borderId="0" xfId="24" applyNumberFormat="1" applyFont="1" applyFill="1" applyProtection="1"/>
    <xf numFmtId="172" fontId="37" fillId="0" borderId="0" xfId="17" applyNumberFormat="1" applyFont="1" applyFill="1" applyAlignment="1">
      <alignment vertical="center"/>
    </xf>
    <xf numFmtId="170" fontId="37" fillId="0" borderId="0" xfId="31" applyNumberFormat="1" applyFont="1" applyFill="1" applyProtection="1"/>
    <xf numFmtId="0" fontId="2" fillId="17" borderId="0" xfId="0" applyFont="1" applyFill="1"/>
    <xf numFmtId="0" fontId="36" fillId="17" borderId="0" xfId="0" applyFont="1" applyFill="1"/>
    <xf numFmtId="41" fontId="39" fillId="17" borderId="0" xfId="0" applyNumberFormat="1" applyFont="1" applyFill="1" applyProtection="1">
      <protection locked="0"/>
    </xf>
    <xf numFmtId="0" fontId="36" fillId="0" borderId="0" xfId="0" applyFont="1"/>
    <xf numFmtId="0" fontId="4" fillId="5" borderId="21" xfId="0" applyFont="1" applyFill="1" applyBorder="1" applyAlignment="1">
      <alignment horizontal="left" vertical="top"/>
    </xf>
    <xf numFmtId="0" fontId="24" fillId="0" borderId="0" xfId="0" applyFont="1" applyAlignment="1">
      <alignment horizontal="left" vertical="top" wrapText="1" indent="1"/>
    </xf>
    <xf numFmtId="170" fontId="0" fillId="0" borderId="0" xfId="0" applyNumberFormat="1"/>
    <xf numFmtId="168" fontId="35" fillId="15" borderId="0" xfId="22" applyNumberFormat="1" applyFont="1" applyFill="1"/>
    <xf numFmtId="0" fontId="35" fillId="0" borderId="35" xfId="0" applyFont="1" applyBorder="1"/>
    <xf numFmtId="0" fontId="30" fillId="17" borderId="0" xfId="0" applyFont="1" applyFill="1" applyAlignment="1">
      <alignment horizontal="center" vertical="center"/>
    </xf>
    <xf numFmtId="172" fontId="37" fillId="23" borderId="0" xfId="24" applyNumberFormat="1" applyFont="1" applyFill="1" applyProtection="1"/>
    <xf numFmtId="0" fontId="0" fillId="0" borderId="21" xfId="0" applyBorder="1"/>
    <xf numFmtId="41" fontId="2" fillId="0" borderId="0" xfId="22" applyNumberFormat="1"/>
    <xf numFmtId="0" fontId="53" fillId="13" borderId="0" xfId="0" applyFont="1" applyFill="1" applyAlignment="1">
      <alignment horizontal="left" vertical="center"/>
    </xf>
    <xf numFmtId="0" fontId="53" fillId="13" borderId="0" xfId="0" applyFont="1" applyFill="1" applyAlignment="1">
      <alignment horizontal="center" vertical="center" wrapText="1"/>
    </xf>
    <xf numFmtId="0" fontId="54" fillId="0" borderId="0" xfId="0" applyFont="1"/>
    <xf numFmtId="0" fontId="53" fillId="13" borderId="0" xfId="0" applyFont="1" applyFill="1"/>
    <xf numFmtId="10" fontId="53" fillId="13" borderId="0" xfId="23" applyNumberFormat="1" applyFont="1" applyFill="1" applyBorder="1"/>
    <xf numFmtId="0" fontId="35" fillId="13" borderId="0" xfId="0" applyFont="1" applyFill="1" applyAlignment="1">
      <alignment horizontal="left" vertical="center"/>
    </xf>
    <xf numFmtId="0" fontId="35" fillId="13" borderId="0" xfId="0" applyFont="1" applyFill="1" applyAlignment="1">
      <alignment horizontal="center" vertical="center" wrapText="1"/>
    </xf>
    <xf numFmtId="10" fontId="0" fillId="0" borderId="0" xfId="0" applyNumberFormat="1"/>
    <xf numFmtId="165" fontId="19" fillId="0" borderId="0" xfId="0" applyNumberFormat="1" applyFont="1"/>
    <xf numFmtId="0" fontId="5" fillId="13" borderId="21" xfId="0" applyFont="1" applyFill="1" applyBorder="1" applyAlignment="1">
      <alignment horizontal="center" vertical="center"/>
    </xf>
    <xf numFmtId="0" fontId="4" fillId="0" borderId="27" xfId="24" applyNumberFormat="1" applyFont="1" applyFill="1" applyBorder="1" applyAlignment="1" applyProtection="1">
      <alignment horizontal="center"/>
    </xf>
    <xf numFmtId="0" fontId="36" fillId="13" borderId="22" xfId="0" applyFont="1" applyFill="1" applyBorder="1"/>
    <xf numFmtId="0" fontId="2" fillId="0" borderId="28" xfId="0" applyFont="1" applyBorder="1"/>
    <xf numFmtId="0" fontId="2" fillId="0" borderId="34" xfId="0" applyFont="1" applyBorder="1"/>
    <xf numFmtId="0" fontId="2" fillId="0" borderId="31" xfId="0" applyFont="1" applyBorder="1"/>
    <xf numFmtId="41" fontId="2" fillId="0" borderId="40" xfId="0" applyNumberFormat="1" applyFont="1" applyBorder="1" applyProtection="1">
      <protection locked="0"/>
    </xf>
    <xf numFmtId="0" fontId="35" fillId="0" borderId="21" xfId="0" applyFont="1" applyBorder="1" applyAlignment="1">
      <alignment horizontal="center"/>
    </xf>
    <xf numFmtId="0" fontId="20" fillId="13" borderId="21" xfId="0" applyFont="1" applyFill="1" applyBorder="1"/>
    <xf numFmtId="0" fontId="35" fillId="13" borderId="21" xfId="0" applyFont="1" applyFill="1" applyBorder="1" applyAlignment="1">
      <alignment horizontal="left" wrapText="1"/>
    </xf>
    <xf numFmtId="0" fontId="2" fillId="13" borderId="0" xfId="0" applyFont="1" applyFill="1" applyAlignment="1">
      <alignment wrapText="1"/>
    </xf>
    <xf numFmtId="0" fontId="2" fillId="0" borderId="0" xfId="0" applyFont="1" applyAlignment="1">
      <alignment vertical="center"/>
    </xf>
    <xf numFmtId="0" fontId="2" fillId="13" borderId="0" xfId="0" applyFont="1" applyFill="1" applyAlignment="1">
      <alignment vertical="center" wrapText="1"/>
    </xf>
    <xf numFmtId="43" fontId="0" fillId="0" borderId="0" xfId="31" applyFont="1"/>
    <xf numFmtId="0" fontId="2" fillId="0" borderId="32" xfId="0" applyFont="1" applyBorder="1" applyAlignment="1">
      <alignment vertical="center"/>
    </xf>
    <xf numFmtId="43" fontId="0" fillId="0" borderId="0" xfId="0" applyNumberFormat="1"/>
    <xf numFmtId="170" fontId="0" fillId="0" borderId="0" xfId="31" applyNumberFormat="1" applyFont="1"/>
    <xf numFmtId="0" fontId="2" fillId="0" borderId="0" xfId="0" applyFont="1" applyAlignment="1">
      <alignment wrapText="1"/>
    </xf>
    <xf numFmtId="0" fontId="58" fillId="0" borderId="0" xfId="0" applyFont="1"/>
    <xf numFmtId="169" fontId="23" fillId="0" borderId="0" xfId="24" applyNumberFormat="1" applyFont="1" applyFill="1" applyProtection="1"/>
    <xf numFmtId="0" fontId="35" fillId="13" borderId="0" xfId="0" applyFont="1" applyFill="1" applyAlignment="1">
      <alignment horizontal="center" vertical="center"/>
    </xf>
    <xf numFmtId="0" fontId="2" fillId="13" borderId="0" xfId="0" applyFont="1" applyFill="1" applyAlignment="1">
      <alignment horizontal="center" vertical="center"/>
    </xf>
    <xf numFmtId="0" fontId="44" fillId="13" borderId="0" xfId="0" applyFont="1" applyFill="1" applyAlignment="1">
      <alignment horizontal="center" vertical="center" wrapText="1"/>
    </xf>
    <xf numFmtId="0" fontId="54" fillId="0" borderId="0" xfId="22" applyFont="1"/>
    <xf numFmtId="0" fontId="53" fillId="0" borderId="0" xfId="22" applyFont="1"/>
    <xf numFmtId="168" fontId="54" fillId="0" borderId="0" xfId="24" applyNumberFormat="1" applyFont="1" applyFill="1" applyProtection="1"/>
    <xf numFmtId="170" fontId="54" fillId="0" borderId="0" xfId="31" applyNumberFormat="1" applyFont="1"/>
    <xf numFmtId="175" fontId="2" fillId="0" borderId="0" xfId="22" applyNumberFormat="1"/>
    <xf numFmtId="0" fontId="24" fillId="0" borderId="0" xfId="0" applyFont="1" applyAlignment="1">
      <alignment horizontal="left" vertical="top"/>
    </xf>
    <xf numFmtId="0" fontId="4" fillId="0" borderId="21" xfId="0" applyFont="1" applyBorder="1" applyAlignment="1">
      <alignment horizontal="center"/>
    </xf>
    <xf numFmtId="0" fontId="4" fillId="0" borderId="0" xfId="0" applyFont="1" applyAlignment="1">
      <alignment wrapText="1"/>
    </xf>
    <xf numFmtId="0" fontId="21" fillId="5" borderId="21" xfId="0" applyFont="1" applyFill="1" applyBorder="1" applyAlignment="1">
      <alignment horizontal="left" vertical="top" wrapText="1" indent="2"/>
    </xf>
    <xf numFmtId="170" fontId="37" fillId="0" borderId="21" xfId="17" applyNumberFormat="1" applyFont="1" applyFill="1" applyBorder="1" applyAlignment="1">
      <alignment vertical="center"/>
    </xf>
    <xf numFmtId="43" fontId="37" fillId="0" borderId="21" xfId="17" applyFont="1" applyFill="1" applyBorder="1" applyAlignment="1">
      <alignment vertical="center"/>
    </xf>
    <xf numFmtId="0" fontId="26" fillId="0" borderId="0" xfId="28" applyFill="1" applyAlignment="1">
      <alignment wrapText="1"/>
    </xf>
    <xf numFmtId="0" fontId="2" fillId="0" borderId="0" xfId="0" applyFont="1" applyAlignment="1">
      <alignment horizontal="left" indent="1"/>
    </xf>
    <xf numFmtId="0" fontId="23" fillId="0" borderId="0" xfId="0" applyFont="1"/>
    <xf numFmtId="0" fontId="29" fillId="13" borderId="0" xfId="22" applyFont="1" applyFill="1" applyAlignment="1">
      <alignment wrapText="1"/>
    </xf>
    <xf numFmtId="9" fontId="5" fillId="13" borderId="0" xfId="25" applyFont="1" applyFill="1" applyBorder="1"/>
    <xf numFmtId="43" fontId="50" fillId="13" borderId="0" xfId="19" applyFont="1" applyFill="1" applyAlignment="1">
      <alignment vertical="center" wrapText="1"/>
    </xf>
    <xf numFmtId="0" fontId="4" fillId="0" borderId="0" xfId="0" applyFont="1" applyAlignment="1" applyProtection="1">
      <alignment horizontal="center" wrapText="1"/>
      <protection locked="0"/>
    </xf>
    <xf numFmtId="0" fontId="23" fillId="13" borderId="0" xfId="0" applyFont="1" applyFill="1" applyAlignment="1">
      <alignment vertical="center"/>
    </xf>
    <xf numFmtId="0" fontId="0" fillId="16" borderId="0" xfId="0" applyFill="1"/>
    <xf numFmtId="0" fontId="27" fillId="16" borderId="0" xfId="22" applyFont="1" applyFill="1"/>
    <xf numFmtId="0" fontId="28" fillId="16" borderId="0" xfId="22" applyFont="1" applyFill="1"/>
    <xf numFmtId="0" fontId="31" fillId="3" borderId="0" xfId="28" applyFont="1" applyFill="1" applyAlignment="1">
      <alignment vertical="center" wrapText="1"/>
    </xf>
    <xf numFmtId="0" fontId="33" fillId="24" borderId="0" xfId="28" applyFont="1" applyFill="1" applyAlignment="1">
      <alignment vertical="center" wrapText="1"/>
    </xf>
    <xf numFmtId="0" fontId="31" fillId="17" borderId="0" xfId="28" applyFont="1" applyFill="1" applyAlignment="1">
      <alignment vertical="center" wrapText="1"/>
    </xf>
    <xf numFmtId="0" fontId="32" fillId="21" borderId="0" xfId="28" applyFont="1" applyFill="1" applyAlignment="1">
      <alignment vertical="center" wrapText="1"/>
    </xf>
    <xf numFmtId="0" fontId="31" fillId="19" borderId="0" xfId="28" applyFont="1" applyFill="1" applyAlignment="1">
      <alignment vertical="center" wrapText="1"/>
    </xf>
    <xf numFmtId="0" fontId="32" fillId="22" borderId="0" xfId="28" applyFont="1" applyFill="1" applyAlignment="1">
      <alignment vertical="center" wrapText="1"/>
    </xf>
    <xf numFmtId="0" fontId="33" fillId="18" borderId="0" xfId="28" applyFont="1" applyFill="1" applyAlignment="1">
      <alignment vertical="center" wrapText="1"/>
    </xf>
    <xf numFmtId="0" fontId="32" fillId="4" borderId="0" xfId="28" applyFont="1" applyFill="1" applyAlignment="1">
      <alignment vertical="center" wrapText="1"/>
    </xf>
    <xf numFmtId="0" fontId="33" fillId="16" borderId="0" xfId="28" applyFont="1" applyFill="1" applyAlignment="1">
      <alignment vertical="center" wrapText="1"/>
    </xf>
    <xf numFmtId="0" fontId="32" fillId="26" borderId="0" xfId="28" applyFont="1" applyFill="1" applyAlignment="1">
      <alignment vertical="center" wrapText="1"/>
    </xf>
    <xf numFmtId="0" fontId="59" fillId="27" borderId="0" xfId="28" applyFont="1" applyFill="1" applyAlignment="1"/>
    <xf numFmtId="0" fontId="59" fillId="27" borderId="0" xfId="28" applyFont="1" applyFill="1" applyAlignment="1">
      <alignment vertical="center" wrapText="1"/>
    </xf>
    <xf numFmtId="0" fontId="26" fillId="4" borderId="0" xfId="28" applyFill="1" applyAlignment="1">
      <alignment vertical="center"/>
    </xf>
    <xf numFmtId="0" fontId="43" fillId="25" borderId="42" xfId="0" applyFont="1" applyFill="1" applyBorder="1" applyAlignment="1">
      <alignment horizontal="right"/>
    </xf>
    <xf numFmtId="0" fontId="43" fillId="25" borderId="43" xfId="0" applyFont="1" applyFill="1" applyBorder="1"/>
    <xf numFmtId="0" fontId="43" fillId="25" borderId="44" xfId="0" applyFont="1" applyFill="1" applyBorder="1"/>
    <xf numFmtId="0" fontId="43" fillId="25" borderId="45" xfId="0" applyFont="1" applyFill="1" applyBorder="1" applyAlignment="1">
      <alignment horizontal="right"/>
    </xf>
    <xf numFmtId="0" fontId="43" fillId="25" borderId="0" xfId="0" applyFont="1" applyFill="1"/>
    <xf numFmtId="0" fontId="43" fillId="25" borderId="46" xfId="0" applyFont="1" applyFill="1" applyBorder="1"/>
    <xf numFmtId="0" fontId="43" fillId="25" borderId="47" xfId="0" applyFont="1" applyFill="1" applyBorder="1" applyAlignment="1">
      <alignment horizontal="right"/>
    </xf>
    <xf numFmtId="0" fontId="43" fillId="25" borderId="48" xfId="0" applyFont="1" applyFill="1" applyBorder="1"/>
    <xf numFmtId="0" fontId="43" fillId="25" borderId="49" xfId="0" applyFont="1" applyFill="1" applyBorder="1"/>
    <xf numFmtId="0" fontId="43" fillId="25" borderId="42" xfId="0" applyFont="1" applyFill="1" applyBorder="1" applyAlignment="1">
      <alignment vertical="center"/>
    </xf>
    <xf numFmtId="0" fontId="43" fillId="25" borderId="47" xfId="0" applyFont="1" applyFill="1" applyBorder="1" applyAlignment="1">
      <alignment vertical="center"/>
    </xf>
    <xf numFmtId="0" fontId="43" fillId="25" borderId="48" xfId="0" applyFont="1" applyFill="1" applyBorder="1" applyAlignment="1">
      <alignment horizontal="left"/>
    </xf>
    <xf numFmtId="0" fontId="45" fillId="13" borderId="0" xfId="0" applyFont="1" applyFill="1" applyAlignment="1">
      <alignment horizontal="center" vertical="center" wrapText="1"/>
    </xf>
    <xf numFmtId="0" fontId="23" fillId="0" borderId="3" xfId="0" applyFont="1" applyBorder="1" applyAlignment="1">
      <alignment horizontal="center" vertical="center"/>
    </xf>
    <xf numFmtId="0" fontId="23" fillId="0" borderId="38" xfId="0" applyFont="1" applyBorder="1" applyAlignment="1">
      <alignment horizontal="center"/>
    </xf>
    <xf numFmtId="0" fontId="23" fillId="0" borderId="22" xfId="0" applyFont="1" applyBorder="1" applyAlignment="1">
      <alignment horizontal="center"/>
    </xf>
    <xf numFmtId="0" fontId="23" fillId="0" borderId="39" xfId="0" applyFont="1" applyBorder="1" applyAlignment="1">
      <alignment horizontal="center"/>
    </xf>
    <xf numFmtId="0" fontId="0" fillId="0" borderId="67" xfId="0" applyBorder="1"/>
    <xf numFmtId="0" fontId="35" fillId="0" borderId="69" xfId="0" applyFont="1" applyBorder="1" applyAlignment="1">
      <alignment horizontal="center"/>
    </xf>
    <xf numFmtId="0" fontId="0" fillId="0" borderId="70" xfId="0" applyBorder="1"/>
    <xf numFmtId="0" fontId="0" fillId="0" borderId="66" xfId="0" applyBorder="1"/>
    <xf numFmtId="0" fontId="0" fillId="0" borderId="69" xfId="0" applyBorder="1"/>
    <xf numFmtId="0" fontId="0" fillId="2" borderId="0" xfId="0" applyFill="1"/>
    <xf numFmtId="0" fontId="35" fillId="2" borderId="0" xfId="0" applyFont="1" applyFill="1"/>
    <xf numFmtId="0" fontId="2" fillId="0" borderId="0" xfId="0" applyFont="1" applyAlignment="1">
      <alignment horizontal="center"/>
    </xf>
    <xf numFmtId="0" fontId="39" fillId="0" borderId="0" xfId="0" applyFont="1"/>
    <xf numFmtId="0" fontId="35" fillId="0" borderId="0" xfId="0" applyFont="1" applyAlignment="1">
      <alignment vertical="center"/>
    </xf>
    <xf numFmtId="41" fontId="2" fillId="0" borderId="0" xfId="0" applyNumberFormat="1" applyFont="1" applyAlignment="1">
      <alignment vertical="center"/>
    </xf>
    <xf numFmtId="41" fontId="0" fillId="0" borderId="0" xfId="0" applyNumberFormat="1"/>
    <xf numFmtId="41" fontId="0" fillId="0" borderId="29" xfId="0" applyNumberFormat="1" applyBorder="1"/>
    <xf numFmtId="41" fontId="2" fillId="0" borderId="32" xfId="0" applyNumberFormat="1" applyFont="1" applyBorder="1" applyAlignment="1">
      <alignment vertical="center"/>
    </xf>
    <xf numFmtId="0" fontId="35" fillId="0" borderId="28" xfId="0" applyFont="1" applyBorder="1" applyAlignment="1">
      <alignment wrapText="1"/>
    </xf>
    <xf numFmtId="0" fontId="35" fillId="0" borderId="34" xfId="0" applyFont="1" applyBorder="1" applyAlignment="1">
      <alignment wrapText="1"/>
    </xf>
    <xf numFmtId="0" fontId="35" fillId="0" borderId="34" xfId="0" applyFont="1" applyBorder="1" applyAlignment="1">
      <alignment vertical="center" wrapText="1"/>
    </xf>
    <xf numFmtId="0" fontId="35" fillId="0" borderId="31" xfId="0" applyFont="1" applyBorder="1" applyAlignment="1">
      <alignment vertical="center" wrapText="1"/>
    </xf>
    <xf numFmtId="0" fontId="20" fillId="0" borderId="0" xfId="0" applyFont="1" applyAlignment="1">
      <alignment horizontal="left" vertical="center" wrapText="1"/>
    </xf>
    <xf numFmtId="0" fontId="0" fillId="0" borderId="0" xfId="0" applyAlignment="1">
      <alignment vertical="center"/>
    </xf>
    <xf numFmtId="41" fontId="0" fillId="0" borderId="0" xfId="0" applyNumberFormat="1" applyAlignment="1">
      <alignment vertical="center"/>
    </xf>
    <xf numFmtId="41" fontId="0" fillId="0" borderId="35" xfId="0" applyNumberFormat="1" applyBorder="1" applyAlignment="1">
      <alignment vertical="center"/>
    </xf>
    <xf numFmtId="170" fontId="0" fillId="0" borderId="0" xfId="31" applyNumberFormat="1" applyFont="1" applyFill="1"/>
    <xf numFmtId="0" fontId="30" fillId="17" borderId="0" xfId="27" applyFont="1" applyFill="1" applyAlignment="1">
      <alignment horizontal="center" vertical="center"/>
    </xf>
    <xf numFmtId="9" fontId="0" fillId="0" borderId="0" xfId="25" applyFont="1" applyFill="1"/>
    <xf numFmtId="170" fontId="2" fillId="0" borderId="0" xfId="31" applyNumberFormat="1" applyFont="1" applyFill="1"/>
    <xf numFmtId="170" fontId="39" fillId="0" borderId="0" xfId="31" applyNumberFormat="1" applyFont="1" applyFill="1"/>
    <xf numFmtId="41" fontId="2" fillId="0" borderId="0" xfId="0" applyNumberFormat="1" applyFont="1" applyProtection="1">
      <protection locked="0"/>
    </xf>
    <xf numFmtId="0" fontId="61" fillId="0" borderId="0" xfId="0" applyFont="1" applyAlignment="1">
      <alignment vertical="top" wrapText="1"/>
    </xf>
    <xf numFmtId="0" fontId="2" fillId="0" borderId="22" xfId="0" applyFont="1" applyBorder="1"/>
    <xf numFmtId="0" fontId="24" fillId="25" borderId="72" xfId="0" applyFont="1" applyFill="1" applyBorder="1" applyAlignment="1">
      <alignment horizontal="left" vertical="top" indent="1"/>
    </xf>
    <xf numFmtId="0" fontId="0" fillId="25" borderId="73" xfId="0" applyFill="1" applyBorder="1"/>
    <xf numFmtId="0" fontId="0" fillId="25" borderId="74" xfId="0" applyFill="1" applyBorder="1"/>
    <xf numFmtId="174" fontId="2" fillId="0" borderId="0" xfId="17" applyNumberFormat="1" applyFont="1" applyFill="1" applyAlignment="1">
      <alignment vertical="center"/>
    </xf>
    <xf numFmtId="174" fontId="0" fillId="0" borderId="0" xfId="0" applyNumberFormat="1"/>
    <xf numFmtId="170" fontId="2" fillId="0" borderId="0" xfId="0" applyNumberFormat="1" applyFont="1"/>
    <xf numFmtId="0" fontId="30" fillId="17" borderId="0" xfId="0" applyFont="1" applyFill="1" applyAlignment="1">
      <alignment vertical="center" wrapText="1"/>
    </xf>
    <xf numFmtId="43" fontId="54" fillId="0" borderId="0" xfId="17" applyFont="1" applyFill="1" applyAlignment="1">
      <alignment vertical="center"/>
    </xf>
    <xf numFmtId="0" fontId="54" fillId="0" borderId="0" xfId="0" applyFont="1" applyAlignment="1">
      <alignment wrapText="1"/>
    </xf>
    <xf numFmtId="0" fontId="62" fillId="0" borderId="0" xfId="0" applyFont="1" applyAlignment="1">
      <alignment horizontal="left" vertical="center"/>
    </xf>
    <xf numFmtId="0" fontId="62" fillId="0" borderId="0" xfId="0" applyFont="1"/>
    <xf numFmtId="177" fontId="0" fillId="0" borderId="0" xfId="0" applyNumberFormat="1"/>
    <xf numFmtId="0" fontId="35" fillId="0" borderId="41" xfId="0" applyFont="1" applyBorder="1" applyAlignment="1">
      <alignment horizontal="center" vertical="center" wrapText="1"/>
    </xf>
    <xf numFmtId="170" fontId="2" fillId="0" borderId="0" xfId="31" applyNumberFormat="1" applyFont="1"/>
    <xf numFmtId="170" fontId="35" fillId="0" borderId="0" xfId="31" applyNumberFormat="1" applyFont="1"/>
    <xf numFmtId="170" fontId="35" fillId="0" borderId="0" xfId="31" applyNumberFormat="1" applyFont="1" applyFill="1"/>
    <xf numFmtId="176" fontId="0" fillId="0" borderId="0" xfId="0" applyNumberFormat="1"/>
    <xf numFmtId="170" fontId="24" fillId="0" borderId="0" xfId="31" applyNumberFormat="1" applyFont="1" applyFill="1" applyBorder="1" applyAlignment="1">
      <alignment horizontal="left" vertical="top" wrapText="1" indent="1"/>
    </xf>
    <xf numFmtId="0" fontId="43" fillId="0" borderId="0" xfId="0" applyFont="1"/>
    <xf numFmtId="0" fontId="31" fillId="0" borderId="0" xfId="28" applyFont="1" applyFill="1" applyAlignment="1">
      <alignment horizontal="left" vertical="center" wrapText="1"/>
    </xf>
    <xf numFmtId="0" fontId="35" fillId="2" borderId="28" xfId="0" applyFont="1" applyFill="1" applyBorder="1"/>
    <xf numFmtId="0" fontId="0" fillId="2" borderId="30" xfId="0" applyFill="1" applyBorder="1"/>
    <xf numFmtId="0" fontId="0" fillId="0" borderId="34" xfId="0" applyBorder="1"/>
    <xf numFmtId="0" fontId="0" fillId="0" borderId="35" xfId="0" applyBorder="1"/>
    <xf numFmtId="0" fontId="35" fillId="2" borderId="34" xfId="0" applyFont="1" applyFill="1" applyBorder="1"/>
    <xf numFmtId="0" fontId="58" fillId="0" borderId="34" xfId="0" applyFont="1" applyBorder="1"/>
    <xf numFmtId="0" fontId="24" fillId="0" borderId="34" xfId="0" applyFont="1" applyBorder="1" applyAlignment="1">
      <alignment horizontal="left" vertical="top" wrapText="1" indent="1"/>
    </xf>
    <xf numFmtId="43" fontId="40" fillId="22" borderId="35" xfId="20" applyFont="1" applyFill="1" applyBorder="1" applyAlignment="1">
      <alignment vertical="center"/>
    </xf>
    <xf numFmtId="178" fontId="0" fillId="0" borderId="35" xfId="0" applyNumberFormat="1" applyBorder="1"/>
    <xf numFmtId="0" fontId="58" fillId="0" borderId="31" xfId="0" applyFont="1" applyBorder="1"/>
    <xf numFmtId="43" fontId="40" fillId="22" borderId="33" xfId="20" applyFont="1" applyFill="1" applyBorder="1" applyAlignment="1">
      <alignment vertical="center"/>
    </xf>
    <xf numFmtId="0" fontId="35" fillId="2" borderId="35" xfId="0" applyFont="1" applyFill="1" applyBorder="1"/>
    <xf numFmtId="43" fontId="40" fillId="0" borderId="35" xfId="20" applyFont="1" applyBorder="1" applyAlignment="1">
      <alignment vertical="center"/>
    </xf>
    <xf numFmtId="43" fontId="40" fillId="0" borderId="34" xfId="20" applyFont="1" applyBorder="1" applyAlignment="1">
      <alignment vertical="center"/>
    </xf>
    <xf numFmtId="177" fontId="0" fillId="0" borderId="0" xfId="31" applyNumberFormat="1" applyFont="1"/>
    <xf numFmtId="177" fontId="2" fillId="0" borderId="0" xfId="31" applyNumberFormat="1" applyFont="1"/>
    <xf numFmtId="179" fontId="0" fillId="0" borderId="0" xfId="31" applyNumberFormat="1" applyFont="1"/>
    <xf numFmtId="179" fontId="2" fillId="0" borderId="0" xfId="31" applyNumberFormat="1" applyFont="1"/>
    <xf numFmtId="0" fontId="24" fillId="0" borderId="0" xfId="0" applyFont="1" applyAlignment="1">
      <alignment vertical="center" wrapText="1"/>
    </xf>
    <xf numFmtId="174" fontId="2" fillId="0" borderId="11" xfId="17" applyNumberFormat="1" applyFont="1" applyFill="1" applyBorder="1" applyAlignment="1">
      <alignment vertical="center"/>
    </xf>
    <xf numFmtId="0" fontId="24" fillId="25" borderId="0" xfId="0" applyFont="1" applyFill="1" applyAlignment="1">
      <alignment horizontal="center" vertical="center" wrapText="1"/>
    </xf>
    <xf numFmtId="0" fontId="35" fillId="0" borderId="0" xfId="0" applyFont="1" applyAlignment="1">
      <alignment horizontal="center" vertical="top" wrapText="1"/>
    </xf>
    <xf numFmtId="0" fontId="35" fillId="0" borderId="0" xfId="0" applyFont="1" applyAlignment="1">
      <alignment horizontal="center"/>
    </xf>
    <xf numFmtId="0" fontId="35" fillId="0" borderId="0" xfId="0" applyFont="1" applyAlignment="1">
      <alignment horizontal="center" vertical="center" wrapText="1"/>
    </xf>
    <xf numFmtId="0" fontId="2" fillId="2" borderId="17" xfId="0" applyFont="1" applyFill="1" applyBorder="1" applyAlignment="1">
      <alignment vertical="center" wrapText="1"/>
    </xf>
    <xf numFmtId="0" fontId="2" fillId="0" borderId="22" xfId="0" applyFont="1" applyBorder="1" applyAlignment="1">
      <alignment wrapText="1"/>
    </xf>
    <xf numFmtId="165" fontId="2" fillId="0" borderId="22" xfId="24" applyNumberFormat="1" applyFont="1" applyFill="1" applyBorder="1" applyProtection="1"/>
    <xf numFmtId="165" fontId="2" fillId="0" borderId="0" xfId="24" applyNumberFormat="1" applyFont="1" applyFill="1" applyBorder="1" applyProtection="1"/>
    <xf numFmtId="0" fontId="2" fillId="0" borderId="0" xfId="0" applyFont="1" applyAlignment="1">
      <alignment vertical="center" wrapText="1"/>
    </xf>
    <xf numFmtId="14" fontId="54" fillId="23" borderId="0" xfId="0" applyNumberFormat="1" applyFont="1" applyFill="1" applyAlignment="1">
      <alignment horizontal="center"/>
    </xf>
    <xf numFmtId="14" fontId="54" fillId="23" borderId="0" xfId="0" applyNumberFormat="1" applyFont="1" applyFill="1" applyAlignment="1">
      <alignment horizontal="center" wrapText="1"/>
    </xf>
    <xf numFmtId="3" fontId="35" fillId="0" borderId="14" xfId="0" applyNumberFormat="1" applyFont="1" applyBorder="1" applyAlignment="1">
      <alignment horizontal="right" vertical="top"/>
    </xf>
    <xf numFmtId="0" fontId="29" fillId="13" borderId="0" xfId="22" applyFont="1" applyFill="1" applyAlignment="1">
      <alignment vertical="center"/>
    </xf>
    <xf numFmtId="0" fontId="23" fillId="0" borderId="0" xfId="0" applyFont="1" applyAlignment="1">
      <alignment vertical="center"/>
    </xf>
    <xf numFmtId="0" fontId="29" fillId="13" borderId="0" xfId="22" applyFont="1" applyFill="1" applyAlignment="1">
      <alignment horizontal="right" vertical="center"/>
    </xf>
    <xf numFmtId="0" fontId="27" fillId="13" borderId="0" xfId="22" applyFont="1" applyFill="1" applyAlignment="1">
      <alignment horizontal="right" vertical="center"/>
    </xf>
    <xf numFmtId="0" fontId="28" fillId="2" borderId="0" xfId="0" applyFont="1" applyFill="1" applyAlignment="1">
      <alignment vertical="center" wrapText="1"/>
    </xf>
    <xf numFmtId="170" fontId="37" fillId="29" borderId="0" xfId="31" applyNumberFormat="1" applyFont="1" applyFill="1" applyProtection="1"/>
    <xf numFmtId="43" fontId="37" fillId="13" borderId="0" xfId="17" applyFont="1" applyFill="1" applyAlignment="1">
      <alignment vertical="center"/>
    </xf>
    <xf numFmtId="173" fontId="37" fillId="13" borderId="0" xfId="24" applyNumberFormat="1" applyFont="1" applyFill="1" applyProtection="1"/>
    <xf numFmtId="0" fontId="2" fillId="13" borderId="17" xfId="22" applyFill="1" applyBorder="1"/>
    <xf numFmtId="0" fontId="2" fillId="13" borderId="15" xfId="22" applyFill="1" applyBorder="1"/>
    <xf numFmtId="0" fontId="2" fillId="13" borderId="11" xfId="22" applyFill="1" applyBorder="1"/>
    <xf numFmtId="0" fontId="2" fillId="13" borderId="37" xfId="22" applyFill="1" applyBorder="1"/>
    <xf numFmtId="177" fontId="37" fillId="0" borderId="0" xfId="17" applyNumberFormat="1" applyFont="1" applyFill="1" applyAlignment="1">
      <alignment vertical="center"/>
    </xf>
    <xf numFmtId="179" fontId="40" fillId="22" borderId="35" xfId="20" applyNumberFormat="1" applyFont="1" applyFill="1" applyBorder="1" applyAlignment="1">
      <alignment vertical="center"/>
    </xf>
    <xf numFmtId="167" fontId="2" fillId="0" borderId="22" xfId="24" applyNumberFormat="1" applyFont="1" applyFill="1" applyBorder="1" applyProtection="1"/>
    <xf numFmtId="166" fontId="0" fillId="0" borderId="0" xfId="25" applyNumberFormat="1" applyFont="1" applyFill="1"/>
    <xf numFmtId="180" fontId="37" fillId="23" borderId="0" xfId="24" applyNumberFormat="1" applyFont="1" applyFill="1" applyBorder="1" applyProtection="1"/>
    <xf numFmtId="165" fontId="0" fillId="0" borderId="0" xfId="0" applyNumberFormat="1"/>
    <xf numFmtId="179" fontId="37" fillId="28" borderId="0" xfId="17" applyNumberFormat="1" applyFont="1" applyFill="1" applyAlignment="1">
      <alignment vertical="center"/>
    </xf>
    <xf numFmtId="179" fontId="37" fillId="0" borderId="0" xfId="17" applyNumberFormat="1" applyFont="1" applyFill="1" applyAlignment="1">
      <alignment vertical="center"/>
    </xf>
    <xf numFmtId="41" fontId="39" fillId="0" borderId="32" xfId="0" applyNumberFormat="1" applyFont="1" applyBorder="1" applyProtection="1">
      <protection locked="0"/>
    </xf>
    <xf numFmtId="41" fontId="63" fillId="0" borderId="0" xfId="0" applyNumberFormat="1" applyFont="1" applyProtection="1">
      <protection locked="0"/>
    </xf>
    <xf numFmtId="168" fontId="0" fillId="0" borderId="0" xfId="0" applyNumberFormat="1"/>
    <xf numFmtId="41" fontId="39" fillId="0" borderId="0" xfId="24" applyNumberFormat="1" applyFont="1" applyFill="1" applyBorder="1" applyProtection="1">
      <protection locked="0"/>
    </xf>
    <xf numFmtId="0" fontId="23" fillId="0" borderId="0" xfId="0" applyFont="1" applyAlignment="1">
      <alignment horizontal="left" vertical="center"/>
    </xf>
    <xf numFmtId="43" fontId="39" fillId="0" borderId="0" xfId="31" applyFont="1" applyFill="1" applyBorder="1" applyProtection="1">
      <protection locked="0"/>
    </xf>
    <xf numFmtId="165" fontId="39" fillId="0" borderId="0" xfId="0" applyNumberFormat="1" applyFont="1"/>
    <xf numFmtId="165" fontId="39" fillId="0" borderId="17" xfId="0" applyNumberFormat="1" applyFont="1" applyBorder="1"/>
    <xf numFmtId="165" fontId="39" fillId="0" borderId="15" xfId="0" applyNumberFormat="1" applyFont="1" applyBorder="1"/>
    <xf numFmtId="165" fontId="39" fillId="0" borderId="11" xfId="0" applyNumberFormat="1" applyFont="1" applyBorder="1"/>
    <xf numFmtId="165" fontId="39" fillId="0" borderId="21" xfId="0" applyNumberFormat="1" applyFont="1" applyBorder="1"/>
    <xf numFmtId="165" fontId="39" fillId="0" borderId="36" xfId="0" applyNumberFormat="1" applyFont="1" applyBorder="1"/>
    <xf numFmtId="41" fontId="50" fillId="13" borderId="0" xfId="25" applyNumberFormat="1" applyFont="1" applyFill="1" applyBorder="1"/>
    <xf numFmtId="0" fontId="0" fillId="4" borderId="27" xfId="0" applyFill="1" applyBorder="1" applyAlignment="1">
      <alignment horizontal="center"/>
    </xf>
    <xf numFmtId="0" fontId="0" fillId="24" borderId="0" xfId="0" applyFill="1" applyAlignment="1">
      <alignment horizontal="center" vertical="center"/>
    </xf>
    <xf numFmtId="43" fontId="35" fillId="0" borderId="0" xfId="0" applyNumberFormat="1" applyFont="1"/>
    <xf numFmtId="181" fontId="0" fillId="0" borderId="35" xfId="0" applyNumberFormat="1" applyBorder="1"/>
    <xf numFmtId="41" fontId="47" fillId="0" borderId="0" xfId="24" applyNumberFormat="1" applyFont="1" applyFill="1" applyBorder="1" applyProtection="1">
      <protection locked="0"/>
    </xf>
    <xf numFmtId="41" fontId="39" fillId="0" borderId="29" xfId="0" applyNumberFormat="1" applyFont="1" applyBorder="1" applyProtection="1">
      <protection locked="0"/>
    </xf>
    <xf numFmtId="41" fontId="39" fillId="0" borderId="30" xfId="0" applyNumberFormat="1" applyFont="1" applyBorder="1" applyProtection="1">
      <protection locked="0"/>
    </xf>
    <xf numFmtId="9" fontId="5" fillId="0" borderId="0" xfId="25" applyFont="1" applyFill="1"/>
    <xf numFmtId="179" fontId="0" fillId="0" borderId="35" xfId="0" applyNumberFormat="1" applyBorder="1"/>
    <xf numFmtId="179" fontId="40" fillId="22" borderId="33" xfId="20" applyNumberFormat="1" applyFont="1" applyFill="1" applyBorder="1" applyAlignment="1">
      <alignment vertical="center"/>
    </xf>
    <xf numFmtId="43" fontId="65" fillId="13" borderId="0" xfId="0" applyNumberFormat="1" applyFont="1" applyFill="1"/>
    <xf numFmtId="0" fontId="66" fillId="13" borderId="0" xfId="0" applyFont="1" applyFill="1"/>
    <xf numFmtId="10" fontId="43" fillId="0" borderId="0" xfId="25" applyNumberFormat="1" applyFont="1" applyBorder="1" applyAlignment="1">
      <alignment horizontal="center" vertical="top"/>
    </xf>
    <xf numFmtId="0" fontId="7" fillId="13" borderId="0" xfId="2" applyFill="1"/>
    <xf numFmtId="0" fontId="6" fillId="13" borderId="0" xfId="3" applyFill="1" applyBorder="1"/>
    <xf numFmtId="0" fontId="6" fillId="30" borderId="32" xfId="3" applyFill="1" applyBorder="1"/>
    <xf numFmtId="0" fontId="27" fillId="31" borderId="0" xfId="22" applyFont="1" applyFill="1"/>
    <xf numFmtId="0" fontId="2" fillId="31" borderId="0" xfId="22" applyFill="1"/>
    <xf numFmtId="0" fontId="7" fillId="32" borderId="0" xfId="2" applyFill="1"/>
    <xf numFmtId="9" fontId="0" fillId="0" borderId="0" xfId="25" applyFont="1"/>
    <xf numFmtId="0" fontId="24" fillId="30" borderId="14" xfId="0" applyFont="1" applyFill="1" applyBorder="1" applyAlignment="1">
      <alignment horizontal="left" vertical="top"/>
    </xf>
    <xf numFmtId="0" fontId="0" fillId="0" borderId="79" xfId="0" applyBorder="1"/>
    <xf numFmtId="0" fontId="0" fillId="0" borderId="80" xfId="0" applyBorder="1"/>
    <xf numFmtId="0" fontId="0" fillId="0" borderId="81" xfId="0" applyBorder="1"/>
    <xf numFmtId="0" fontId="35" fillId="0" borderId="76" xfId="0" applyFont="1" applyBorder="1" applyAlignment="1">
      <alignment horizontal="center"/>
    </xf>
    <xf numFmtId="41" fontId="35" fillId="0" borderId="0" xfId="0" applyNumberFormat="1" applyFont="1"/>
    <xf numFmtId="168" fontId="19" fillId="15" borderId="0" xfId="22" applyNumberFormat="1" applyFont="1" applyFill="1" applyAlignment="1">
      <alignment horizontal="center"/>
    </xf>
    <xf numFmtId="0" fontId="30" fillId="17" borderId="0" xfId="0" applyFont="1" applyFill="1" applyAlignment="1" applyProtection="1">
      <alignment horizontal="center"/>
      <protection locked="0"/>
    </xf>
    <xf numFmtId="169" fontId="67" fillId="0" borderId="0" xfId="24" applyNumberFormat="1" applyFont="1" applyFill="1" applyProtection="1"/>
    <xf numFmtId="10" fontId="2" fillId="0" borderId="0" xfId="25" applyNumberFormat="1" applyFont="1"/>
    <xf numFmtId="165" fontId="23" fillId="0" borderId="0" xfId="24" applyNumberFormat="1" applyFont="1" applyFill="1" applyProtection="1"/>
    <xf numFmtId="0" fontId="68" fillId="0" borderId="0" xfId="22" applyFont="1" applyAlignment="1">
      <alignment horizontal="center" wrapText="1"/>
    </xf>
    <xf numFmtId="41" fontId="2" fillId="13" borderId="0" xfId="22" applyNumberFormat="1" applyFill="1"/>
    <xf numFmtId="168" fontId="23" fillId="0" borderId="0" xfId="0" applyNumberFormat="1" applyFont="1"/>
    <xf numFmtId="0" fontId="43" fillId="25" borderId="0" xfId="0" applyFont="1" applyFill="1" applyAlignment="1">
      <alignment horizontal="left" vertical="center" wrapText="1"/>
    </xf>
    <xf numFmtId="0" fontId="19" fillId="13" borderId="0" xfId="0" applyFont="1" applyFill="1" applyAlignment="1">
      <alignment horizontal="left"/>
    </xf>
    <xf numFmtId="0" fontId="24" fillId="13" borderId="14" xfId="0" applyFont="1" applyFill="1" applyBorder="1" applyAlignment="1">
      <alignment horizontal="left" vertical="top"/>
    </xf>
    <xf numFmtId="0" fontId="24" fillId="13" borderId="14" xfId="0" applyFont="1" applyFill="1" applyBorder="1" applyAlignment="1">
      <alignment horizontal="center" vertical="top"/>
    </xf>
    <xf numFmtId="165" fontId="24" fillId="13" borderId="14" xfId="0" applyNumberFormat="1" applyFont="1" applyFill="1" applyBorder="1" applyAlignment="1">
      <alignment vertical="top"/>
    </xf>
    <xf numFmtId="0" fontId="2" fillId="13" borderId="0" xfId="0" applyFont="1" applyFill="1" applyAlignment="1">
      <alignment horizontal="left" indent="2"/>
    </xf>
    <xf numFmtId="165" fontId="42" fillId="13" borderId="0" xfId="0" applyNumberFormat="1" applyFont="1" applyFill="1" applyProtection="1">
      <protection locked="0"/>
    </xf>
    <xf numFmtId="0" fontId="19" fillId="13" borderId="21" xfId="0" applyFont="1" applyFill="1" applyBorder="1" applyAlignment="1">
      <alignment horizontal="center" vertical="center" wrapText="1"/>
    </xf>
    <xf numFmtId="0" fontId="28" fillId="13" borderId="17" xfId="0" applyFont="1" applyFill="1" applyBorder="1" applyAlignment="1">
      <alignment horizontal="center" vertical="center" wrapText="1"/>
    </xf>
    <xf numFmtId="165" fontId="39" fillId="13" borderId="0" xfId="0" applyNumberFormat="1" applyFont="1" applyFill="1"/>
    <xf numFmtId="3" fontId="35" fillId="13" borderId="14" xfId="0" applyNumberFormat="1" applyFont="1" applyFill="1" applyBorder="1" applyAlignment="1">
      <alignment horizontal="right" vertical="top"/>
    </xf>
    <xf numFmtId="3" fontId="24" fillId="13" borderId="14" xfId="0" applyNumberFormat="1" applyFont="1" applyFill="1" applyBorder="1" applyAlignment="1">
      <alignment horizontal="right" vertical="top"/>
    </xf>
    <xf numFmtId="10" fontId="43" fillId="13" borderId="0" xfId="25" applyNumberFormat="1" applyFont="1" applyFill="1" applyBorder="1" applyAlignment="1">
      <alignment horizontal="center" vertical="top"/>
    </xf>
    <xf numFmtId="3" fontId="43" fillId="13" borderId="0" xfId="0" applyNumberFormat="1" applyFont="1" applyFill="1" applyAlignment="1">
      <alignment horizontal="center" vertical="top"/>
    </xf>
    <xf numFmtId="3" fontId="49" fillId="13" borderId="0" xfId="0" applyNumberFormat="1" applyFont="1" applyFill="1" applyAlignment="1">
      <alignment horizontal="center" vertical="top"/>
    </xf>
    <xf numFmtId="3" fontId="47" fillId="13" borderId="14" xfId="0" applyNumberFormat="1" applyFont="1" applyFill="1" applyBorder="1" applyAlignment="1">
      <alignment horizontal="right" vertical="top"/>
    </xf>
    <xf numFmtId="3" fontId="24" fillId="13" borderId="14" xfId="0" applyNumberFormat="1" applyFont="1" applyFill="1" applyBorder="1" applyAlignment="1">
      <alignment horizontal="center" vertical="top"/>
    </xf>
    <xf numFmtId="3" fontId="47" fillId="13" borderId="0" xfId="0" applyNumberFormat="1" applyFont="1" applyFill="1" applyAlignment="1">
      <alignment horizontal="right" vertical="top"/>
    </xf>
    <xf numFmtId="3" fontId="24" fillId="13" borderId="0" xfId="0" applyNumberFormat="1" applyFont="1" applyFill="1" applyAlignment="1">
      <alignment horizontal="center" vertical="top"/>
    </xf>
    <xf numFmtId="0" fontId="41" fillId="13" borderId="0" xfId="0" applyFont="1" applyFill="1"/>
    <xf numFmtId="41" fontId="39" fillId="13" borderId="0" xfId="24" applyNumberFormat="1" applyFont="1" applyFill="1" applyBorder="1" applyProtection="1">
      <protection locked="0"/>
    </xf>
    <xf numFmtId="41" fontId="5" fillId="13" borderId="0" xfId="0" applyNumberFormat="1" applyFont="1" applyFill="1"/>
    <xf numFmtId="170" fontId="39" fillId="13" borderId="0" xfId="31" applyNumberFormat="1" applyFont="1" applyFill="1" applyBorder="1" applyProtection="1">
      <protection locked="0"/>
    </xf>
    <xf numFmtId="9" fontId="0" fillId="13" borderId="0" xfId="25" applyFont="1" applyFill="1"/>
    <xf numFmtId="41" fontId="50" fillId="13" borderId="0" xfId="0" applyNumberFormat="1" applyFont="1" applyFill="1"/>
    <xf numFmtId="3" fontId="43" fillId="13" borderId="0" xfId="0" applyNumberFormat="1" applyFont="1" applyFill="1" applyAlignment="1">
      <alignment horizontal="right" vertical="top"/>
    </xf>
    <xf numFmtId="3" fontId="24" fillId="13" borderId="0" xfId="0" applyNumberFormat="1" applyFont="1" applyFill="1" applyAlignment="1">
      <alignment horizontal="right" vertical="top"/>
    </xf>
    <xf numFmtId="0" fontId="35" fillId="13" borderId="0" xfId="0" applyFont="1" applyFill="1" applyAlignment="1">
      <alignment horizontal="left"/>
    </xf>
    <xf numFmtId="9" fontId="5" fillId="13" borderId="0" xfId="25" applyFont="1" applyFill="1"/>
    <xf numFmtId="0" fontId="50" fillId="13" borderId="0" xfId="0" applyFont="1" applyFill="1"/>
    <xf numFmtId="0" fontId="41" fillId="13" borderId="0" xfId="22" applyFont="1" applyFill="1" applyAlignment="1">
      <alignment horizontal="right"/>
    </xf>
    <xf numFmtId="0" fontId="5" fillId="13" borderId="0" xfId="0" applyFont="1" applyFill="1"/>
    <xf numFmtId="41" fontId="0" fillId="13" borderId="0" xfId="0" applyNumberFormat="1" applyFill="1"/>
    <xf numFmtId="0" fontId="41" fillId="13" borderId="0" xfId="0" applyFont="1" applyFill="1" applyAlignment="1">
      <alignment horizontal="center"/>
    </xf>
    <xf numFmtId="10" fontId="5" fillId="13" borderId="0" xfId="25" applyNumberFormat="1" applyFont="1" applyFill="1" applyBorder="1"/>
    <xf numFmtId="10" fontId="5" fillId="13" borderId="0" xfId="25" applyNumberFormat="1" applyFont="1" applyFill="1"/>
    <xf numFmtId="10" fontId="49" fillId="13" borderId="0" xfId="25" applyNumberFormat="1" applyFont="1" applyFill="1" applyAlignment="1">
      <alignment horizontal="center" vertical="top"/>
    </xf>
    <xf numFmtId="10" fontId="0" fillId="13" borderId="0" xfId="25" applyNumberFormat="1" applyFont="1" applyFill="1"/>
    <xf numFmtId="41" fontId="39" fillId="13" borderId="0" xfId="24" applyNumberFormat="1" applyFont="1" applyFill="1" applyBorder="1" applyProtection="1"/>
    <xf numFmtId="9" fontId="5" fillId="13" borderId="0" xfId="23" applyFont="1" applyFill="1"/>
    <xf numFmtId="9" fontId="5" fillId="13" borderId="0" xfId="23" applyFont="1" applyFill="1" applyBorder="1"/>
    <xf numFmtId="182" fontId="0" fillId="13" borderId="0" xfId="0" applyNumberFormat="1" applyFill="1"/>
    <xf numFmtId="166" fontId="39" fillId="13" borderId="0" xfId="25" applyNumberFormat="1" applyFont="1" applyFill="1" applyBorder="1" applyProtection="1">
      <protection locked="0"/>
    </xf>
    <xf numFmtId="168" fontId="23" fillId="13" borderId="0" xfId="0" applyNumberFormat="1" applyFont="1" applyFill="1"/>
    <xf numFmtId="0" fontId="0" fillId="0" borderId="0" xfId="0"/>
    <xf numFmtId="0" fontId="43" fillId="25" borderId="43" xfId="0" applyFont="1" applyFill="1" applyBorder="1" applyAlignment="1">
      <alignment horizontal="left" wrapText="1"/>
    </xf>
    <xf numFmtId="0" fontId="43" fillId="25" borderId="44" xfId="0" applyFont="1" applyFill="1" applyBorder="1" applyAlignment="1">
      <alignment horizontal="left" wrapText="1"/>
    </xf>
    <xf numFmtId="0" fontId="19" fillId="20" borderId="0" xfId="0" applyFont="1" applyFill="1" applyAlignment="1" applyProtection="1">
      <alignment horizontal="center" wrapText="1"/>
      <protection locked="0"/>
    </xf>
    <xf numFmtId="0" fontId="30" fillId="17" borderId="0" xfId="0" applyFont="1" applyFill="1" applyAlignment="1" applyProtection="1">
      <alignment horizontal="center"/>
      <protection locked="0"/>
    </xf>
    <xf numFmtId="0" fontId="43" fillId="25" borderId="24" xfId="0" applyFont="1" applyFill="1" applyBorder="1" applyAlignment="1">
      <alignment horizontal="left" vertical="center" wrapText="1"/>
    </xf>
    <xf numFmtId="0" fontId="43" fillId="25" borderId="25" xfId="0" applyFont="1" applyFill="1" applyBorder="1" applyAlignment="1">
      <alignment horizontal="left" vertical="center" wrapText="1"/>
    </xf>
    <xf numFmtId="0" fontId="43" fillId="25" borderId="26" xfId="0" applyFont="1" applyFill="1" applyBorder="1" applyAlignment="1">
      <alignment horizontal="left" vertical="center" wrapText="1"/>
    </xf>
    <xf numFmtId="0" fontId="2" fillId="0" borderId="75" xfId="22" applyBorder="1" applyAlignment="1">
      <alignment horizontal="center"/>
    </xf>
    <xf numFmtId="0" fontId="2" fillId="0" borderId="22" xfId="22" applyBorder="1" applyAlignment="1">
      <alignment horizontal="center"/>
    </xf>
    <xf numFmtId="0" fontId="2" fillId="0" borderId="40" xfId="22" applyBorder="1" applyAlignment="1">
      <alignment horizontal="center"/>
    </xf>
    <xf numFmtId="0" fontId="45" fillId="25" borderId="18" xfId="0" applyFont="1" applyFill="1" applyBorder="1" applyAlignment="1">
      <alignment horizontal="left" vertical="center" wrapText="1"/>
    </xf>
    <xf numFmtId="0" fontId="45" fillId="25" borderId="19" xfId="0" applyFont="1" applyFill="1" applyBorder="1" applyAlignment="1">
      <alignment horizontal="left" vertical="center" wrapText="1"/>
    </xf>
    <xf numFmtId="0" fontId="45" fillId="25" borderId="20" xfId="0" applyFont="1" applyFill="1" applyBorder="1" applyAlignment="1">
      <alignment horizontal="left" vertical="center" wrapText="1"/>
    </xf>
    <xf numFmtId="0" fontId="2" fillId="25" borderId="42" xfId="22" applyFill="1" applyBorder="1" applyAlignment="1">
      <alignment horizontal="center" vertical="center" wrapText="1"/>
    </xf>
    <xf numFmtId="0" fontId="2" fillId="25" borderId="43" xfId="22" applyFill="1" applyBorder="1" applyAlignment="1">
      <alignment horizontal="center" vertical="center" wrapText="1"/>
    </xf>
    <xf numFmtId="0" fontId="2" fillId="25" borderId="44" xfId="22" applyFill="1" applyBorder="1" applyAlignment="1">
      <alignment horizontal="center" vertical="center" wrapText="1"/>
    </xf>
    <xf numFmtId="0" fontId="2" fillId="25" borderId="45" xfId="22" applyFill="1" applyBorder="1" applyAlignment="1">
      <alignment horizontal="center" vertical="center" wrapText="1"/>
    </xf>
    <xf numFmtId="0" fontId="2" fillId="25" borderId="0" xfId="22" applyFill="1" applyAlignment="1">
      <alignment horizontal="center" vertical="center" wrapText="1"/>
    </xf>
    <xf numFmtId="0" fontId="2" fillId="25" borderId="46" xfId="22" applyFill="1" applyBorder="1" applyAlignment="1">
      <alignment horizontal="center" vertical="center" wrapText="1"/>
    </xf>
    <xf numFmtId="0" fontId="2" fillId="25" borderId="47" xfId="22" applyFill="1" applyBorder="1" applyAlignment="1">
      <alignment horizontal="center" vertical="center" wrapText="1"/>
    </xf>
    <xf numFmtId="0" fontId="2" fillId="25" borderId="48" xfId="22" applyFill="1" applyBorder="1" applyAlignment="1">
      <alignment horizontal="center" vertical="center" wrapText="1"/>
    </xf>
    <xf numFmtId="0" fontId="2" fillId="25" borderId="49" xfId="22" applyFill="1" applyBorder="1" applyAlignment="1">
      <alignment horizontal="center" vertical="center" wrapText="1"/>
    </xf>
    <xf numFmtId="0" fontId="45" fillId="25" borderId="50" xfId="0" applyFont="1" applyFill="1" applyBorder="1" applyAlignment="1">
      <alignment horizontal="left" vertical="top" wrapText="1"/>
    </xf>
    <xf numFmtId="0" fontId="45" fillId="25" borderId="51" xfId="0" applyFont="1" applyFill="1" applyBorder="1" applyAlignment="1">
      <alignment horizontal="left" vertical="top" wrapText="1"/>
    </xf>
    <xf numFmtId="0" fontId="45" fillId="25" borderId="52" xfId="0" applyFont="1" applyFill="1" applyBorder="1" applyAlignment="1">
      <alignment horizontal="left" vertical="top" wrapText="1"/>
    </xf>
    <xf numFmtId="0" fontId="45" fillId="25" borderId="50" xfId="0" applyFont="1" applyFill="1" applyBorder="1" applyAlignment="1">
      <alignment horizontal="center" vertical="top" wrapText="1"/>
    </xf>
    <xf numFmtId="0" fontId="45" fillId="25" borderId="51" xfId="0" applyFont="1" applyFill="1" applyBorder="1" applyAlignment="1">
      <alignment horizontal="center" vertical="top" wrapText="1"/>
    </xf>
    <xf numFmtId="0" fontId="45" fillId="25" borderId="52" xfId="0" applyFont="1" applyFill="1" applyBorder="1" applyAlignment="1">
      <alignment horizontal="center" vertical="top" wrapText="1"/>
    </xf>
    <xf numFmtId="0" fontId="24" fillId="0" borderId="37" xfId="0" applyFont="1" applyBorder="1" applyAlignment="1">
      <alignment horizontal="center" vertical="top"/>
    </xf>
    <xf numFmtId="0" fontId="24" fillId="0" borderId="78" xfId="0" applyFont="1" applyBorder="1" applyAlignment="1">
      <alignment horizontal="center" vertical="top"/>
    </xf>
    <xf numFmtId="0" fontId="24" fillId="0" borderId="77" xfId="0" applyFont="1" applyBorder="1" applyAlignment="1">
      <alignment horizontal="center" vertical="center"/>
    </xf>
    <xf numFmtId="0" fontId="24" fillId="0" borderId="66" xfId="0" applyFont="1" applyBorder="1" applyAlignment="1">
      <alignment horizontal="center" vertical="center"/>
    </xf>
    <xf numFmtId="0" fontId="30" fillId="17" borderId="0" xfId="27" applyFont="1" applyFill="1" applyAlignment="1">
      <alignment horizontal="center" vertical="center"/>
    </xf>
    <xf numFmtId="0" fontId="45" fillId="25" borderId="50" xfId="0" applyFont="1" applyFill="1" applyBorder="1" applyAlignment="1">
      <alignment horizontal="left" vertical="center" wrapText="1"/>
    </xf>
    <xf numFmtId="0" fontId="45" fillId="25" borderId="51" xfId="0" applyFont="1" applyFill="1" applyBorder="1" applyAlignment="1">
      <alignment horizontal="left" vertical="center" wrapText="1"/>
    </xf>
    <xf numFmtId="0" fontId="45" fillId="25" borderId="52" xfId="0" applyFont="1" applyFill="1" applyBorder="1" applyAlignment="1">
      <alignment horizontal="left" vertical="center" wrapText="1"/>
    </xf>
    <xf numFmtId="0" fontId="24" fillId="0" borderId="14" xfId="0" applyFont="1" applyBorder="1" applyAlignment="1">
      <alignment horizontal="center" vertical="top"/>
    </xf>
    <xf numFmtId="0" fontId="24" fillId="0" borderId="68" xfId="0" applyFont="1" applyBorder="1" applyAlignment="1">
      <alignment horizontal="center" vertical="top"/>
    </xf>
    <xf numFmtId="0" fontId="24" fillId="0" borderId="65" xfId="0" applyFont="1" applyBorder="1" applyAlignment="1">
      <alignment horizontal="center" vertical="center"/>
    </xf>
    <xf numFmtId="0" fontId="0" fillId="13" borderId="0" xfId="0" applyFill="1" applyAlignment="1">
      <alignment horizontal="center" wrapText="1"/>
    </xf>
    <xf numFmtId="0" fontId="35" fillId="13" borderId="75" xfId="0" applyFont="1" applyFill="1" applyBorder="1" applyAlignment="1">
      <alignment horizontal="center"/>
    </xf>
    <xf numFmtId="0" fontId="35" fillId="13" borderId="22" xfId="0" applyFont="1" applyFill="1" applyBorder="1" applyAlignment="1">
      <alignment horizontal="center"/>
    </xf>
    <xf numFmtId="0" fontId="35" fillId="13" borderId="40" xfId="0" applyFont="1" applyFill="1" applyBorder="1" applyAlignment="1">
      <alignment horizontal="center"/>
    </xf>
    <xf numFmtId="0" fontId="35" fillId="13" borderId="75" xfId="27" applyFont="1" applyFill="1" applyBorder="1" applyAlignment="1">
      <alignment horizontal="center" vertical="center"/>
    </xf>
    <xf numFmtId="0" fontId="35" fillId="13" borderId="22" xfId="27" applyFont="1" applyFill="1" applyBorder="1" applyAlignment="1">
      <alignment horizontal="center" vertical="center"/>
    </xf>
    <xf numFmtId="0" fontId="35" fillId="13" borderId="40" xfId="27" applyFont="1" applyFill="1" applyBorder="1" applyAlignment="1">
      <alignment horizontal="center" vertical="center"/>
    </xf>
    <xf numFmtId="0" fontId="28" fillId="2" borderId="0" xfId="0" applyFont="1" applyFill="1" applyAlignment="1">
      <alignment horizontal="center" vertical="center" wrapText="1"/>
    </xf>
    <xf numFmtId="0" fontId="28" fillId="2" borderId="17" xfId="0" applyFont="1" applyFill="1" applyBorder="1" applyAlignment="1">
      <alignment horizontal="center" vertical="center" wrapText="1"/>
    </xf>
    <xf numFmtId="0" fontId="28" fillId="2" borderId="15" xfId="0" applyFont="1" applyFill="1" applyBorder="1" applyAlignment="1">
      <alignment horizontal="center" vertical="center" wrapText="1"/>
    </xf>
    <xf numFmtId="0" fontId="43" fillId="25" borderId="57" xfId="0" applyFont="1" applyFill="1" applyBorder="1" applyAlignment="1">
      <alignment horizontal="center" vertical="center" wrapText="1"/>
    </xf>
    <xf numFmtId="0" fontId="43" fillId="25" borderId="58" xfId="0" applyFont="1" applyFill="1" applyBorder="1" applyAlignment="1">
      <alignment horizontal="center" vertical="center" wrapText="1"/>
    </xf>
    <xf numFmtId="0" fontId="43" fillId="25" borderId="59" xfId="0" applyFont="1" applyFill="1" applyBorder="1" applyAlignment="1">
      <alignment horizontal="center" vertical="center" wrapText="1"/>
    </xf>
    <xf numFmtId="0" fontId="43" fillId="25" borderId="60" xfId="0" applyFont="1" applyFill="1" applyBorder="1" applyAlignment="1">
      <alignment horizontal="center" vertical="center" wrapText="1"/>
    </xf>
    <xf numFmtId="0" fontId="43" fillId="25" borderId="0" xfId="0" applyFont="1" applyFill="1" applyAlignment="1">
      <alignment horizontal="center" vertical="center" wrapText="1"/>
    </xf>
    <xf numFmtId="0" fontId="43" fillId="25" borderId="61" xfId="0" applyFont="1" applyFill="1" applyBorder="1" applyAlignment="1">
      <alignment horizontal="center" vertical="center" wrapText="1"/>
    </xf>
    <xf numFmtId="0" fontId="43" fillId="25" borderId="62" xfId="0" applyFont="1" applyFill="1" applyBorder="1" applyAlignment="1">
      <alignment horizontal="center" vertical="center" wrapText="1"/>
    </xf>
    <xf numFmtId="0" fontId="43" fillId="25" borderId="63" xfId="0" applyFont="1" applyFill="1" applyBorder="1" applyAlignment="1">
      <alignment horizontal="center" vertical="center" wrapText="1"/>
    </xf>
    <xf numFmtId="0" fontId="43" fillId="25" borderId="64" xfId="0" applyFont="1" applyFill="1" applyBorder="1" applyAlignment="1">
      <alignment horizontal="center" vertical="center" wrapText="1"/>
    </xf>
    <xf numFmtId="0" fontId="34" fillId="25" borderId="54" xfId="0" applyFont="1" applyFill="1" applyBorder="1" applyAlignment="1">
      <alignment horizontal="left" vertical="center"/>
    </xf>
    <xf numFmtId="0" fontId="34" fillId="25" borderId="55" xfId="0" applyFont="1" applyFill="1" applyBorder="1" applyAlignment="1">
      <alignment horizontal="left" vertical="center"/>
    </xf>
    <xf numFmtId="0" fontId="34" fillId="25" borderId="56" xfId="0" applyFont="1" applyFill="1" applyBorder="1" applyAlignment="1">
      <alignment horizontal="left" vertical="center"/>
    </xf>
    <xf numFmtId="0" fontId="45" fillId="25" borderId="12" xfId="0" applyFont="1" applyFill="1" applyBorder="1" applyAlignment="1">
      <alignment horizontal="center" vertical="center" wrapText="1"/>
    </xf>
    <xf numFmtId="0" fontId="45" fillId="25" borderId="53" xfId="0" applyFont="1" applyFill="1" applyBorder="1" applyAlignment="1">
      <alignment horizontal="center" vertical="center" wrapText="1"/>
    </xf>
    <xf numFmtId="0" fontId="45" fillId="25" borderId="13" xfId="0" applyFont="1" applyFill="1" applyBorder="1" applyAlignment="1">
      <alignment horizontal="center" vertical="center" wrapText="1"/>
    </xf>
    <xf numFmtId="0" fontId="45" fillId="25" borderId="42" xfId="0" applyFont="1" applyFill="1" applyBorder="1" applyAlignment="1">
      <alignment horizontal="center" vertical="center" wrapText="1"/>
    </xf>
    <xf numFmtId="0" fontId="45" fillId="25" borderId="43" xfId="0" applyFont="1" applyFill="1" applyBorder="1" applyAlignment="1">
      <alignment horizontal="center" vertical="center" wrapText="1"/>
    </xf>
    <xf numFmtId="0" fontId="45" fillId="25" borderId="44" xfId="0" applyFont="1" applyFill="1" applyBorder="1" applyAlignment="1">
      <alignment horizontal="center" vertical="center" wrapText="1"/>
    </xf>
    <xf numFmtId="0" fontId="45" fillId="25" borderId="47" xfId="0" applyFont="1" applyFill="1" applyBorder="1" applyAlignment="1">
      <alignment horizontal="center" vertical="center" wrapText="1"/>
    </xf>
    <xf numFmtId="0" fontId="45" fillId="25" borderId="48" xfId="0" applyFont="1" applyFill="1" applyBorder="1" applyAlignment="1">
      <alignment horizontal="center" vertical="center" wrapText="1"/>
    </xf>
    <xf numFmtId="0" fontId="45" fillId="25" borderId="49" xfId="0" applyFont="1" applyFill="1" applyBorder="1" applyAlignment="1">
      <alignment horizontal="center" vertical="center" wrapText="1"/>
    </xf>
    <xf numFmtId="0" fontId="35" fillId="15" borderId="0" xfId="27" applyFont="1" applyFill="1" applyAlignment="1">
      <alignment horizontal="center" vertical="center"/>
    </xf>
    <xf numFmtId="0" fontId="35" fillId="15" borderId="0" xfId="0" applyFont="1" applyFill="1" applyAlignment="1">
      <alignment horizontal="center"/>
    </xf>
    <xf numFmtId="0" fontId="53" fillId="0" borderId="0" xfId="0" applyFont="1" applyAlignment="1">
      <alignment horizontal="center" wrapText="1"/>
    </xf>
    <xf numFmtId="0" fontId="45" fillId="25" borderId="12" xfId="0" applyFont="1" applyFill="1" applyBorder="1" applyAlignment="1">
      <alignment horizontal="center" vertical="top"/>
    </xf>
    <xf numFmtId="0" fontId="45" fillId="25" borderId="53" xfId="0" applyFont="1" applyFill="1" applyBorder="1" applyAlignment="1">
      <alignment horizontal="center" vertical="top"/>
    </xf>
    <xf numFmtId="0" fontId="45" fillId="25" borderId="13" xfId="0" applyFont="1" applyFill="1" applyBorder="1" applyAlignment="1">
      <alignment horizontal="center" vertical="top"/>
    </xf>
    <xf numFmtId="0" fontId="24" fillId="25" borderId="71" xfId="0" applyFont="1" applyFill="1" applyBorder="1" applyAlignment="1">
      <alignment horizontal="center" vertical="center"/>
    </xf>
    <xf numFmtId="0" fontId="24" fillId="25" borderId="0" xfId="0" applyFont="1" applyFill="1" applyAlignment="1">
      <alignment horizontal="center" vertical="center"/>
    </xf>
    <xf numFmtId="0" fontId="24" fillId="25" borderId="71" xfId="0" applyFont="1" applyFill="1" applyBorder="1" applyAlignment="1">
      <alignment horizontal="center" vertical="center" wrapText="1"/>
    </xf>
    <xf numFmtId="0" fontId="24" fillId="25" borderId="0" xfId="0" applyFont="1" applyFill="1" applyAlignment="1">
      <alignment horizontal="center" vertical="center" wrapText="1"/>
    </xf>
    <xf numFmtId="0" fontId="20" fillId="0" borderId="41" xfId="0" applyFont="1" applyBorder="1" applyAlignment="1">
      <alignment horizontal="center" vertical="top" wrapText="1"/>
    </xf>
    <xf numFmtId="0" fontId="20" fillId="0" borderId="21" xfId="0" applyFont="1" applyBorder="1" applyAlignment="1">
      <alignment horizontal="center" vertical="top" wrapText="1"/>
    </xf>
    <xf numFmtId="0" fontId="35" fillId="0" borderId="41" xfId="0" applyFont="1" applyBorder="1" applyAlignment="1">
      <alignment horizontal="center" vertical="center" wrapText="1"/>
    </xf>
    <xf numFmtId="0" fontId="35" fillId="0" borderId="21" xfId="0" applyFont="1" applyBorder="1" applyAlignment="1">
      <alignment horizontal="center" vertical="center" wrapText="1"/>
    </xf>
    <xf numFmtId="0" fontId="30" fillId="17" borderId="0" xfId="0" applyFont="1" applyFill="1" applyAlignment="1">
      <alignment horizontal="center" vertical="center"/>
    </xf>
    <xf numFmtId="0" fontId="43" fillId="25" borderId="12" xfId="0" applyFont="1" applyFill="1" applyBorder="1" applyAlignment="1">
      <alignment horizontal="center"/>
    </xf>
    <xf numFmtId="0" fontId="43" fillId="25" borderId="53" xfId="0" applyFont="1" applyFill="1" applyBorder="1" applyAlignment="1">
      <alignment horizontal="center"/>
    </xf>
    <xf numFmtId="0" fontId="43" fillId="25" borderId="13" xfId="0" applyFont="1" applyFill="1" applyBorder="1" applyAlignment="1">
      <alignment horizontal="center"/>
    </xf>
    <xf numFmtId="0" fontId="45" fillId="25" borderId="57" xfId="0" applyFont="1" applyFill="1" applyBorder="1" applyAlignment="1">
      <alignment horizontal="center" vertical="center" wrapText="1"/>
    </xf>
    <xf numFmtId="0" fontId="45" fillId="25" borderId="58" xfId="0" applyFont="1" applyFill="1" applyBorder="1" applyAlignment="1">
      <alignment horizontal="center" vertical="center" wrapText="1"/>
    </xf>
    <xf numFmtId="0" fontId="45" fillId="25" borderId="59" xfId="0" applyFont="1" applyFill="1" applyBorder="1" applyAlignment="1">
      <alignment horizontal="center" vertical="center" wrapText="1"/>
    </xf>
    <xf numFmtId="0" fontId="45" fillId="25" borderId="60" xfId="0" applyFont="1" applyFill="1" applyBorder="1" applyAlignment="1">
      <alignment horizontal="center" vertical="center" wrapText="1"/>
    </xf>
    <xf numFmtId="0" fontId="45" fillId="25" borderId="0" xfId="0" applyFont="1" applyFill="1" applyAlignment="1">
      <alignment horizontal="center" vertical="center" wrapText="1"/>
    </xf>
    <xf numFmtId="0" fontId="45" fillId="25" borderId="61" xfId="0" applyFont="1" applyFill="1" applyBorder="1" applyAlignment="1">
      <alignment horizontal="center" vertical="center" wrapText="1"/>
    </xf>
    <xf numFmtId="0" fontId="45" fillId="25" borderId="62" xfId="0" applyFont="1" applyFill="1" applyBorder="1" applyAlignment="1">
      <alignment horizontal="center" vertical="center" wrapText="1"/>
    </xf>
    <xf numFmtId="0" fontId="45" fillId="25" borderId="63" xfId="0" applyFont="1" applyFill="1" applyBorder="1" applyAlignment="1">
      <alignment horizontal="center" vertical="center" wrapText="1"/>
    </xf>
    <xf numFmtId="0" fontId="45" fillId="25" borderId="64" xfId="0" applyFont="1" applyFill="1" applyBorder="1" applyAlignment="1">
      <alignment horizontal="center" vertical="center" wrapText="1"/>
    </xf>
  </cellXfs>
  <cellStyles count="32">
    <cellStyle name="Bueno" xfId="6" builtinId="26" hidden="1"/>
    <cellStyle name="Calculation cell" xfId="20" xr:uid="{00000000-0005-0000-0000-000001000000}"/>
    <cellStyle name="Cálculo" xfId="11" builtinId="22" hidden="1"/>
    <cellStyle name="Celda de comprobación" xfId="13" builtinId="23" hidden="1"/>
    <cellStyle name="Celda vinculada" xfId="12" builtinId="24" hidden="1"/>
    <cellStyle name="Comma 2" xfId="24" xr:uid="{00000000-0005-0000-0000-000005000000}"/>
    <cellStyle name="Encabezado 1" xfId="2" builtinId="16" customBuiltin="1"/>
    <cellStyle name="Encabezado 4" xfId="5" builtinId="19" customBuiltin="1"/>
    <cellStyle name="Énfasis3" xfId="27" builtinId="37"/>
    <cellStyle name="Entrada" xfId="9" builtinId="20" hidden="1"/>
    <cellStyle name="Heading 1 2" xfId="29" xr:uid="{00000000-0005-0000-0000-00000A000000}"/>
    <cellStyle name="Help cell" xfId="19" xr:uid="{00000000-0005-0000-0000-00000B000000}"/>
    <cellStyle name="Hipervínculo" xfId="28" builtinId="8"/>
    <cellStyle name="Incorrecto" xfId="7" builtinId="27" hidden="1"/>
    <cellStyle name="Input cell" xfId="21" xr:uid="{00000000-0005-0000-0000-00000E000000}"/>
    <cellStyle name="Millares" xfId="31" builtinId="3"/>
    <cellStyle name="Neutral" xfId="8" builtinId="28" hidden="1"/>
    <cellStyle name="Normal" xfId="0" builtinId="0"/>
    <cellStyle name="Normal 2" xfId="22" xr:uid="{00000000-0005-0000-0000-000013000000}"/>
    <cellStyle name="Normal 3" xfId="26" xr:uid="{00000000-0005-0000-0000-000014000000}"/>
    <cellStyle name="Normal 4" xfId="30" xr:uid="{00000000-0005-0000-0000-000015000000}"/>
    <cellStyle name="Notas" xfId="15" builtinId="10" hidden="1"/>
    <cellStyle name="Percent 2" xfId="23" xr:uid="{00000000-0005-0000-0000-000017000000}"/>
    <cellStyle name="Porcentaje" xfId="25" builtinId="5"/>
    <cellStyle name="Result" xfId="18" xr:uid="{00000000-0005-0000-0000-000019000000}"/>
    <cellStyle name="Salida" xfId="10" builtinId="21" hidden="1"/>
    <cellStyle name="Texto de advertencia" xfId="14" builtinId="11" hidden="1"/>
    <cellStyle name="Texto explicativo" xfId="16" builtinId="53" hidden="1"/>
    <cellStyle name="Título" xfId="1" builtinId="15" customBuiltin="1"/>
    <cellStyle name="Título 2" xfId="3" builtinId="17" customBuiltin="1"/>
    <cellStyle name="Título 3" xfId="4" builtinId="18" customBuiltin="1"/>
    <cellStyle name="User input" xfId="17" xr:uid="{00000000-0005-0000-0000-000020000000}"/>
  </cellStyles>
  <dxfs count="227">
    <dxf>
      <font>
        <color rgb="FF006100"/>
      </font>
      <fill>
        <patternFill>
          <bgColor rgb="FFC6EFCE"/>
        </patternFill>
      </fill>
    </dxf>
    <dxf>
      <font>
        <color rgb="FF0000FF"/>
      </font>
      <fill>
        <patternFill>
          <bgColor theme="5" tint="0.79998168889431442"/>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00FF"/>
      </font>
      <fill>
        <patternFill>
          <bgColor theme="5" tint="0.79998168889431442"/>
        </patternFill>
      </fill>
    </dxf>
    <dxf>
      <font>
        <color rgb="FF0000FF"/>
      </font>
      <fill>
        <patternFill>
          <bgColor theme="5" tint="0.79998168889431442"/>
        </patternFill>
      </fill>
    </dxf>
    <dxf>
      <fill>
        <patternFill>
          <bgColor theme="5" tint="0.79998168889431442"/>
        </patternFill>
      </fill>
    </dxf>
    <dxf>
      <font>
        <color rgb="FF0000FF"/>
      </font>
      <fill>
        <patternFill>
          <bgColor theme="5" tint="0.79998168889431442"/>
        </patternFill>
      </fill>
    </dxf>
    <dxf>
      <font>
        <color rgb="FF0000FF"/>
      </font>
      <fill>
        <patternFill>
          <bgColor theme="5" tint="0.79998168889431442"/>
        </patternFill>
      </fill>
    </dxf>
    <dxf>
      <font>
        <color rgb="FF0000FF"/>
      </font>
      <fill>
        <patternFill>
          <bgColor theme="5" tint="0.79998168889431442"/>
        </patternFill>
      </fill>
    </dxf>
    <dxf>
      <font>
        <color rgb="FF0000FF"/>
      </font>
      <fill>
        <patternFill>
          <bgColor theme="5" tint="0.79998168889431442"/>
        </patternFill>
      </fill>
    </dxf>
    <dxf>
      <font>
        <color rgb="FF0000FF"/>
      </font>
      <fill>
        <patternFill>
          <bgColor theme="5" tint="0.79998168889431442"/>
        </patternFill>
      </fill>
    </dxf>
    <dxf>
      <font>
        <color rgb="FF0000FF"/>
      </font>
      <fill>
        <patternFill>
          <bgColor theme="5" tint="0.79998168889431442"/>
        </patternFill>
      </fill>
    </dxf>
    <dxf>
      <font>
        <color theme="0"/>
      </font>
      <fill>
        <patternFill>
          <bgColor theme="6"/>
        </patternFill>
      </fill>
    </dxf>
    <dxf>
      <font>
        <color rgb="FF0000FF"/>
      </font>
      <fill>
        <patternFill>
          <bgColor theme="5" tint="0.79998168889431442"/>
        </patternFill>
      </fill>
    </dxf>
    <dxf>
      <font>
        <color theme="9"/>
      </font>
      <fill>
        <patternFill>
          <bgColor theme="9" tint="0.79998168889431442"/>
        </patternFill>
      </fill>
    </dxf>
    <dxf>
      <font>
        <color rgb="FF006100"/>
      </font>
      <fill>
        <patternFill>
          <bgColor rgb="FFC6EFCE"/>
        </patternFill>
      </fill>
    </dxf>
    <dxf>
      <font>
        <color rgb="FF9C0006"/>
      </font>
      <fill>
        <patternFill>
          <bgColor rgb="FFFFC7CE"/>
        </patternFill>
      </fill>
    </dxf>
    <dxf>
      <font>
        <color theme="9"/>
      </font>
      <fill>
        <patternFill>
          <bgColor theme="9" tint="0.79998168889431442"/>
        </patternFill>
      </fill>
    </dxf>
    <dxf>
      <font>
        <color rgb="FF006100"/>
      </font>
      <fill>
        <patternFill>
          <bgColor rgb="FFC6EFCE"/>
        </patternFill>
      </fill>
    </dxf>
    <dxf>
      <font>
        <color rgb="FF9C0006"/>
      </font>
      <fill>
        <patternFill>
          <bgColor rgb="FFFFC7CE"/>
        </patternFill>
      </fill>
    </dxf>
    <dxf>
      <font>
        <color theme="9"/>
      </font>
      <fill>
        <patternFill>
          <bgColor theme="9" tint="0.79998168889431442"/>
        </patternFill>
      </fill>
    </dxf>
    <dxf>
      <font>
        <color rgb="FF006100"/>
      </font>
      <fill>
        <patternFill>
          <bgColor rgb="FFC6EFCE"/>
        </patternFill>
      </fill>
    </dxf>
    <dxf>
      <font>
        <color rgb="FF9C0006"/>
      </font>
      <fill>
        <patternFill>
          <bgColor rgb="FFFFC7CE"/>
        </patternFill>
      </fill>
    </dxf>
    <dxf>
      <font>
        <color theme="9"/>
      </font>
      <fill>
        <patternFill>
          <bgColor theme="9" tint="0.79998168889431442"/>
        </patternFill>
      </fill>
    </dxf>
    <dxf>
      <font>
        <color rgb="FF006100"/>
      </font>
      <fill>
        <patternFill>
          <bgColor rgb="FFC6EFCE"/>
        </patternFill>
      </fill>
    </dxf>
    <dxf>
      <font>
        <color rgb="FF9C0006"/>
      </font>
      <fill>
        <patternFill>
          <bgColor rgb="FFFFC7CE"/>
        </patternFill>
      </fill>
    </dxf>
    <dxf>
      <font>
        <color theme="9"/>
      </font>
      <fill>
        <patternFill>
          <bgColor theme="9" tint="0.79998168889431442"/>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theme="9"/>
      </font>
      <fill>
        <patternFill>
          <bgColor theme="9" tint="0.79998168889431442"/>
        </patternFill>
      </fill>
    </dxf>
    <dxf>
      <font>
        <color rgb="FF006100"/>
      </font>
      <fill>
        <patternFill>
          <bgColor rgb="FFC6EFCE"/>
        </patternFill>
      </fill>
    </dxf>
    <dxf>
      <font>
        <color rgb="FF9C0006"/>
      </font>
      <fill>
        <patternFill>
          <bgColor rgb="FFFFC7CE"/>
        </patternFill>
      </fill>
    </dxf>
    <dxf>
      <font>
        <color theme="9"/>
      </font>
      <fill>
        <patternFill>
          <bgColor theme="9" tint="0.79998168889431442"/>
        </patternFill>
      </fill>
    </dxf>
    <dxf>
      <font>
        <color rgb="FF006100"/>
      </font>
      <fill>
        <patternFill>
          <bgColor rgb="FFC6EFCE"/>
        </patternFill>
      </fill>
    </dxf>
    <dxf>
      <font>
        <color rgb="FF9C0006"/>
      </font>
      <fill>
        <patternFill>
          <bgColor rgb="FFFFC7CE"/>
        </patternFill>
      </fill>
    </dxf>
    <dxf>
      <font>
        <color theme="9"/>
      </font>
      <fill>
        <patternFill>
          <bgColor theme="9" tint="0.79998168889431442"/>
        </patternFill>
      </fill>
    </dxf>
    <dxf>
      <font>
        <color rgb="FF006100"/>
      </font>
      <fill>
        <patternFill>
          <bgColor rgb="FFC6EFCE"/>
        </patternFill>
      </fill>
    </dxf>
    <dxf>
      <font>
        <color theme="9"/>
      </font>
      <fill>
        <patternFill>
          <bgColor theme="9" tint="0.79998168889431442"/>
        </patternFill>
      </fill>
    </dxf>
    <dxf>
      <font>
        <color rgb="FF006100"/>
      </font>
      <fill>
        <patternFill>
          <bgColor rgb="FFC6EFCE"/>
        </patternFill>
      </fill>
    </dxf>
    <dxf>
      <font>
        <color rgb="FF9C0006"/>
      </font>
      <fill>
        <patternFill>
          <bgColor rgb="FFFFC7CE"/>
        </patternFill>
      </fill>
    </dxf>
    <dxf>
      <font>
        <color theme="9"/>
      </font>
      <fill>
        <patternFill>
          <bgColor theme="9" tint="0.79998168889431442"/>
        </patternFill>
      </fill>
    </dxf>
    <dxf>
      <font>
        <color rgb="FF006100"/>
      </font>
      <fill>
        <patternFill>
          <bgColor rgb="FFC6EFCE"/>
        </patternFill>
      </fill>
    </dxf>
    <dxf>
      <font>
        <color rgb="FF9C0006"/>
      </font>
      <fill>
        <patternFill>
          <bgColor rgb="FFFFC7CE"/>
        </patternFill>
      </fill>
    </dxf>
    <dxf>
      <font>
        <color theme="9"/>
      </font>
      <fill>
        <patternFill>
          <bgColor theme="9" tint="0.79998168889431442"/>
        </patternFill>
      </fill>
    </dxf>
    <dxf>
      <font>
        <color rgb="FF006100"/>
      </font>
      <fill>
        <patternFill>
          <bgColor rgb="FFC6EFCE"/>
        </patternFill>
      </fill>
    </dxf>
    <dxf>
      <font>
        <color rgb="FF9C0006"/>
      </font>
      <fill>
        <patternFill>
          <bgColor rgb="FFFFC7CE"/>
        </patternFill>
      </fill>
    </dxf>
    <dxf>
      <font>
        <color theme="9"/>
      </font>
      <fill>
        <patternFill>
          <bgColor theme="9" tint="0.79998168889431442"/>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theme="9"/>
      </font>
      <fill>
        <patternFill>
          <bgColor theme="9" tint="0.79998168889431442"/>
        </patternFill>
      </fill>
    </dxf>
    <dxf>
      <font>
        <color rgb="FF9C0006"/>
      </font>
      <fill>
        <patternFill>
          <bgColor rgb="FFFFC7CE"/>
        </patternFill>
      </fill>
    </dxf>
    <dxf>
      <font>
        <color rgb="FF006100"/>
      </font>
      <fill>
        <patternFill>
          <bgColor rgb="FFC6EFCE"/>
        </patternFill>
      </fill>
    </dxf>
    <dxf>
      <font>
        <color theme="9"/>
      </font>
      <fill>
        <patternFill>
          <bgColor theme="9" tint="0.79998168889431442"/>
        </patternFill>
      </fill>
    </dxf>
    <dxf>
      <font>
        <color theme="9"/>
      </font>
      <fill>
        <patternFill>
          <bgColor theme="9" tint="0.79998168889431442"/>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theme="9"/>
      </font>
      <fill>
        <patternFill>
          <bgColor theme="9" tint="0.79998168889431442"/>
        </patternFill>
      </fill>
    </dxf>
    <dxf>
      <font>
        <color rgb="FF006100"/>
      </font>
      <fill>
        <patternFill>
          <bgColor rgb="FFC6EFCE"/>
        </patternFill>
      </fill>
    </dxf>
    <dxf>
      <font>
        <color theme="9"/>
      </font>
      <fill>
        <patternFill>
          <bgColor theme="9" tint="0.79998168889431442"/>
        </patternFill>
      </fill>
    </dxf>
    <dxf>
      <font>
        <color rgb="FF006100"/>
      </font>
      <fill>
        <patternFill>
          <bgColor rgb="FFC6EFCE"/>
        </patternFill>
      </fill>
    </dxf>
    <dxf>
      <font>
        <color rgb="FF9C0006"/>
      </font>
      <fill>
        <patternFill>
          <bgColor rgb="FFFFC7CE"/>
        </patternFill>
      </fill>
    </dxf>
    <dxf>
      <font>
        <color theme="9"/>
      </font>
      <fill>
        <patternFill>
          <bgColor theme="9" tint="0.79998168889431442"/>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theme="9"/>
      </font>
      <fill>
        <patternFill>
          <bgColor theme="9" tint="0.79998168889431442"/>
        </patternFill>
      </fill>
    </dxf>
    <dxf>
      <font>
        <color theme="9"/>
      </font>
      <fill>
        <patternFill>
          <bgColor theme="9" tint="0.79998168889431442"/>
        </patternFill>
      </fill>
    </dxf>
    <dxf>
      <font>
        <color rgb="FF006100"/>
      </font>
      <fill>
        <patternFill>
          <bgColor rgb="FFC6EFCE"/>
        </patternFill>
      </fill>
    </dxf>
    <dxf>
      <font>
        <color rgb="FF9C0006"/>
      </font>
      <fill>
        <patternFill>
          <bgColor rgb="FFFFC7CE"/>
        </patternFill>
      </fill>
    </dxf>
    <dxf>
      <font>
        <color theme="9"/>
      </font>
      <fill>
        <patternFill>
          <bgColor theme="9" tint="0.79998168889431442"/>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theme="9"/>
      </font>
      <fill>
        <patternFill>
          <bgColor theme="9" tint="0.79998168889431442"/>
        </patternFill>
      </fill>
    </dxf>
    <dxf>
      <font>
        <color rgb="FF9C0006"/>
      </font>
      <fill>
        <patternFill>
          <bgColor rgb="FFFFC7CE"/>
        </patternFill>
      </fill>
    </dxf>
    <dxf>
      <font>
        <color theme="9"/>
      </font>
      <fill>
        <patternFill>
          <bgColor theme="9" tint="0.79998168889431442"/>
        </patternFill>
      </fill>
    </dxf>
    <dxf>
      <font>
        <color rgb="FF006100"/>
      </font>
      <fill>
        <patternFill>
          <bgColor rgb="FFC6EFCE"/>
        </patternFill>
      </fill>
    </dxf>
    <dxf>
      <font>
        <color rgb="FF9C0006"/>
      </font>
      <fill>
        <patternFill>
          <bgColor rgb="FFFFC7CE"/>
        </patternFill>
      </fill>
    </dxf>
    <dxf>
      <font>
        <color theme="9"/>
      </font>
      <fill>
        <patternFill>
          <bgColor theme="9" tint="0.79998168889431442"/>
        </patternFill>
      </fill>
    </dxf>
    <dxf>
      <font>
        <color rgb="FF006100"/>
      </font>
      <fill>
        <patternFill>
          <bgColor rgb="FFC6EFCE"/>
        </patternFill>
      </fill>
    </dxf>
    <dxf>
      <font>
        <color rgb="FF9C0006"/>
      </font>
      <fill>
        <patternFill>
          <bgColor rgb="FFFFC7CE"/>
        </patternFill>
      </fill>
    </dxf>
    <dxf>
      <font>
        <color theme="9"/>
      </font>
      <fill>
        <patternFill>
          <bgColor theme="9" tint="0.79998168889431442"/>
        </patternFill>
      </fill>
    </dxf>
    <dxf>
      <font>
        <color rgb="FF006100"/>
      </font>
      <fill>
        <patternFill>
          <bgColor rgb="FFC6EFCE"/>
        </patternFill>
      </fill>
    </dxf>
    <dxf>
      <font>
        <color rgb="FF9C0006"/>
      </font>
      <fill>
        <patternFill>
          <bgColor rgb="FFFFC7CE"/>
        </patternFill>
      </fill>
    </dxf>
    <dxf>
      <font>
        <color theme="9"/>
      </font>
      <fill>
        <patternFill>
          <bgColor theme="9" tint="0.79998168889431442"/>
        </patternFill>
      </fill>
    </dxf>
    <dxf>
      <font>
        <color rgb="FF9C0006"/>
      </font>
      <fill>
        <patternFill>
          <bgColor rgb="FFFFC7CE"/>
        </patternFill>
      </fill>
    </dxf>
    <dxf>
      <font>
        <color rgb="FF006100"/>
      </font>
      <fill>
        <patternFill>
          <bgColor rgb="FFC6EFCE"/>
        </patternFill>
      </fill>
    </dxf>
    <dxf>
      <font>
        <color theme="9"/>
      </font>
      <fill>
        <patternFill>
          <bgColor theme="9" tint="0.79998168889431442"/>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theme="9"/>
      </font>
      <fill>
        <patternFill>
          <bgColor theme="9" tint="0.79998168889431442"/>
        </patternFill>
      </fill>
    </dxf>
    <dxf>
      <font>
        <color rgb="FF006100"/>
      </font>
      <fill>
        <patternFill>
          <bgColor rgb="FFC6EFCE"/>
        </patternFill>
      </fill>
    </dxf>
    <dxf>
      <font>
        <color theme="9"/>
      </font>
      <fill>
        <patternFill>
          <bgColor theme="9" tint="0.79998168889431442"/>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theme="9"/>
      </font>
      <fill>
        <patternFill>
          <bgColor theme="9" tint="0.79998168889431442"/>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theme="9"/>
      </font>
      <fill>
        <patternFill>
          <bgColor theme="9" tint="0.79998168889431442"/>
        </patternFill>
      </fill>
    </dxf>
    <dxf>
      <font>
        <color theme="9"/>
      </font>
      <fill>
        <patternFill>
          <bgColor theme="9" tint="0.79998168889431442"/>
        </patternFill>
      </fill>
    </dxf>
    <dxf>
      <font>
        <color rgb="FF9C0006"/>
      </font>
      <fill>
        <patternFill>
          <bgColor rgb="FFFFC7CE"/>
        </patternFill>
      </fill>
    </dxf>
    <dxf>
      <font>
        <color rgb="FF006100"/>
      </font>
      <fill>
        <patternFill>
          <bgColor rgb="FFC6EFCE"/>
        </patternFill>
      </fill>
    </dxf>
    <dxf>
      <font>
        <color theme="9"/>
      </font>
      <fill>
        <patternFill>
          <bgColor theme="9" tint="0.79998168889431442"/>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theme="9"/>
      </font>
      <fill>
        <patternFill>
          <bgColor theme="9" tint="0.79998168889431442"/>
        </patternFill>
      </fill>
    </dxf>
    <dxf>
      <font>
        <color rgb="FF9C0006"/>
      </font>
      <fill>
        <patternFill>
          <bgColor rgb="FFFFC7CE"/>
        </patternFill>
      </fill>
    </dxf>
    <dxf>
      <font>
        <color rgb="FF006100"/>
      </font>
      <fill>
        <patternFill>
          <bgColor rgb="FFC6EFCE"/>
        </patternFill>
      </fill>
    </dxf>
    <dxf>
      <font>
        <color theme="9"/>
      </font>
      <fill>
        <patternFill>
          <bgColor theme="9" tint="0.79998168889431442"/>
        </patternFill>
      </fill>
    </dxf>
    <dxf>
      <font>
        <color rgb="FF006100"/>
      </font>
      <fill>
        <patternFill>
          <bgColor rgb="FFC6EFCE"/>
        </patternFill>
      </fill>
    </dxf>
    <dxf>
      <font>
        <color rgb="FF9C0006"/>
      </font>
      <fill>
        <patternFill>
          <bgColor rgb="FFFFC7CE"/>
        </patternFill>
      </fill>
    </dxf>
    <dxf>
      <font>
        <color theme="9"/>
      </font>
      <fill>
        <patternFill>
          <bgColor theme="9" tint="0.79998168889431442"/>
        </patternFill>
      </fill>
    </dxf>
    <dxf>
      <font>
        <color rgb="FF9C0006"/>
      </font>
      <fill>
        <patternFill>
          <bgColor rgb="FFFFC7CE"/>
        </patternFill>
      </fill>
    </dxf>
    <dxf>
      <font>
        <color theme="9"/>
      </font>
      <fill>
        <patternFill>
          <bgColor theme="9" tint="0.79998168889431442"/>
        </patternFill>
      </fill>
    </dxf>
    <dxf>
      <font>
        <color rgb="FF006100"/>
      </font>
      <fill>
        <patternFill>
          <bgColor rgb="FFC6EFCE"/>
        </patternFill>
      </fill>
    </dxf>
    <dxf>
      <font>
        <color theme="9"/>
      </font>
      <fill>
        <patternFill>
          <bgColor theme="9" tint="0.79998168889431442"/>
        </patternFill>
      </fill>
    </dxf>
    <dxf>
      <font>
        <color rgb="FF9C0006"/>
      </font>
      <fill>
        <patternFill>
          <bgColor rgb="FFFFC7CE"/>
        </patternFill>
      </fill>
    </dxf>
    <dxf>
      <font>
        <color rgb="FF006100"/>
      </font>
      <fill>
        <patternFill>
          <bgColor rgb="FFC6EFCE"/>
        </patternFill>
      </fill>
    </dxf>
    <dxf>
      <font>
        <color theme="9"/>
      </font>
      <fill>
        <patternFill>
          <bgColor theme="9" tint="0.79998168889431442"/>
        </patternFill>
      </fill>
    </dxf>
    <dxf>
      <font>
        <color rgb="FF006100"/>
      </font>
      <fill>
        <patternFill>
          <bgColor rgb="FFC6EFCE"/>
        </patternFill>
      </fill>
    </dxf>
    <dxf>
      <font>
        <color rgb="FF9C0006"/>
      </font>
      <fill>
        <patternFill>
          <bgColor rgb="FFFFC7CE"/>
        </patternFill>
      </fill>
    </dxf>
    <dxf>
      <font>
        <color theme="9"/>
      </font>
      <fill>
        <patternFill>
          <bgColor theme="9" tint="0.79998168889431442"/>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theme="9"/>
      </font>
      <fill>
        <patternFill>
          <bgColor theme="9" tint="0.79998168889431442"/>
        </patternFill>
      </fill>
    </dxf>
    <dxf>
      <font>
        <color rgb="FF9C0006"/>
      </font>
      <fill>
        <patternFill>
          <bgColor rgb="FFFFC7CE"/>
        </patternFill>
      </fill>
    </dxf>
    <dxf>
      <font>
        <color rgb="FF006100"/>
      </font>
      <fill>
        <patternFill>
          <bgColor rgb="FFC6EFCE"/>
        </patternFill>
      </fill>
    </dxf>
    <dxf>
      <font>
        <color theme="9"/>
      </font>
      <fill>
        <patternFill>
          <bgColor theme="9" tint="0.79998168889431442"/>
        </patternFill>
      </fill>
    </dxf>
    <dxf>
      <font>
        <color rgb="FF9C0006"/>
      </font>
      <fill>
        <patternFill>
          <bgColor rgb="FFFFC7CE"/>
        </patternFill>
      </fill>
    </dxf>
    <dxf>
      <font>
        <color rgb="FF006100"/>
      </font>
      <fill>
        <patternFill>
          <bgColor rgb="FFC6EFCE"/>
        </patternFill>
      </fill>
    </dxf>
    <dxf>
      <font>
        <color theme="9"/>
      </font>
      <fill>
        <patternFill>
          <bgColor theme="9" tint="0.79998168889431442"/>
        </patternFill>
      </fill>
    </dxf>
    <dxf>
      <font>
        <color rgb="FF9C0006"/>
      </font>
      <fill>
        <patternFill>
          <bgColor rgb="FFFFC7CE"/>
        </patternFill>
      </fill>
    </dxf>
    <dxf>
      <font>
        <color theme="9"/>
      </font>
      <fill>
        <patternFill>
          <bgColor theme="9" tint="0.79998168889431442"/>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theme="9"/>
      </font>
      <fill>
        <patternFill>
          <bgColor theme="9" tint="0.79998168889431442"/>
        </patternFill>
      </fill>
    </dxf>
    <dxf>
      <font>
        <color rgb="FF9C0006"/>
      </font>
      <fill>
        <patternFill>
          <bgColor rgb="FFFFC7CE"/>
        </patternFill>
      </fill>
    </dxf>
    <dxf>
      <font>
        <color rgb="FF006100"/>
      </font>
      <fill>
        <patternFill>
          <bgColor rgb="FFC6EFCE"/>
        </patternFill>
      </fill>
    </dxf>
    <dxf>
      <font>
        <color theme="9"/>
      </font>
      <fill>
        <patternFill>
          <bgColor theme="9" tint="0.79998168889431442"/>
        </patternFill>
      </fill>
    </dxf>
    <dxf>
      <font>
        <color theme="9"/>
      </font>
      <fill>
        <patternFill>
          <bgColor theme="9" tint="0.79998168889431442"/>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theme="9"/>
      </font>
      <fill>
        <patternFill>
          <bgColor theme="9" tint="0.79998168889431442"/>
        </patternFill>
      </fill>
    </dxf>
    <dxf>
      <font>
        <color rgb="FF006100"/>
      </font>
      <fill>
        <patternFill>
          <bgColor rgb="FFC6EFCE"/>
        </patternFill>
      </fill>
    </dxf>
    <dxf>
      <font>
        <color rgb="FF9C0006"/>
      </font>
      <fill>
        <patternFill>
          <bgColor rgb="FFFFC7CE"/>
        </patternFill>
      </fill>
    </dxf>
    <dxf>
      <font>
        <color theme="9"/>
      </font>
      <fill>
        <patternFill>
          <bgColor theme="9" tint="0.79998168889431442"/>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theme="9"/>
      </font>
      <fill>
        <patternFill>
          <bgColor theme="9" tint="0.79998168889431442"/>
        </patternFill>
      </fill>
    </dxf>
    <dxf>
      <font>
        <color rgb="FF9C0006"/>
      </font>
      <fill>
        <patternFill>
          <bgColor rgb="FFFFC7CE"/>
        </patternFill>
      </fill>
    </dxf>
    <dxf>
      <font>
        <color theme="9"/>
      </font>
      <fill>
        <patternFill>
          <bgColor theme="9" tint="0.79998168889431442"/>
        </patternFill>
      </fill>
    </dxf>
    <dxf>
      <font>
        <color rgb="FF006100"/>
      </font>
      <fill>
        <patternFill>
          <bgColor rgb="FFC6EFCE"/>
        </patternFill>
      </fill>
    </dxf>
    <dxf>
      <font>
        <color theme="9"/>
      </font>
      <fill>
        <patternFill>
          <bgColor theme="9" tint="0.79998168889431442"/>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theme="9"/>
      </font>
      <fill>
        <patternFill>
          <bgColor theme="9" tint="0.79998168889431442"/>
        </patternFill>
      </fill>
    </dxf>
    <dxf>
      <font>
        <color theme="9"/>
      </font>
      <fill>
        <patternFill>
          <bgColor theme="9" tint="0.79998168889431442"/>
        </patternFill>
      </fill>
    </dxf>
    <dxf>
      <font>
        <color rgb="FF9C0006"/>
      </font>
      <fill>
        <patternFill>
          <bgColor rgb="FFFFC7CE"/>
        </patternFill>
      </fill>
    </dxf>
    <dxf>
      <font>
        <color rgb="FF006100"/>
      </font>
      <fill>
        <patternFill>
          <bgColor rgb="FFC6EFCE"/>
        </patternFill>
      </fill>
    </dxf>
    <dxf>
      <font>
        <color theme="9"/>
      </font>
      <fill>
        <patternFill>
          <bgColor theme="9" tint="0.79998168889431442"/>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theme="9"/>
      </font>
      <fill>
        <patternFill>
          <bgColor theme="9" tint="0.79998168889431442"/>
        </patternFill>
      </fill>
    </dxf>
    <dxf>
      <font>
        <color rgb="FF9C0006"/>
      </font>
      <fill>
        <patternFill>
          <bgColor rgb="FFFFC7CE"/>
        </patternFill>
      </fill>
    </dxf>
    <dxf>
      <font>
        <color theme="9"/>
      </font>
      <fill>
        <patternFill>
          <bgColor theme="9" tint="0.79998168889431442"/>
        </patternFill>
      </fill>
    </dxf>
    <dxf>
      <font>
        <color rgb="FF006100"/>
      </font>
      <fill>
        <patternFill>
          <bgColor rgb="FFC6EFCE"/>
        </patternFill>
      </fill>
    </dxf>
    <dxf>
      <font>
        <color theme="9"/>
      </font>
      <fill>
        <patternFill>
          <bgColor theme="9" tint="0.79998168889431442"/>
        </patternFill>
      </fill>
    </dxf>
    <dxf>
      <font>
        <color rgb="FF9C0006"/>
      </font>
      <fill>
        <patternFill>
          <bgColor rgb="FFFFC7CE"/>
        </patternFill>
      </fill>
    </dxf>
    <dxf>
      <font>
        <color rgb="FF006100"/>
      </font>
      <fill>
        <patternFill>
          <bgColor rgb="FFC6EFCE"/>
        </patternFill>
      </fill>
    </dxf>
    <dxf>
      <font>
        <color theme="9"/>
      </font>
      <fill>
        <patternFill>
          <bgColor theme="9" tint="0.79998168889431442"/>
        </patternFill>
      </fill>
    </dxf>
    <dxf>
      <font>
        <color rgb="FF006100"/>
      </font>
      <fill>
        <patternFill>
          <bgColor rgb="FFC6EFCE"/>
        </patternFill>
      </fill>
    </dxf>
    <dxf>
      <font>
        <color rgb="FF9C0006"/>
      </font>
      <fill>
        <patternFill>
          <bgColor rgb="FFFFC7CE"/>
        </patternFill>
      </fill>
    </dxf>
    <dxf>
      <font>
        <color theme="9"/>
      </font>
      <fill>
        <patternFill>
          <bgColor theme="9" tint="0.79998168889431442"/>
        </patternFill>
      </fill>
    </dxf>
    <dxf>
      <font>
        <color rgb="FF006100"/>
      </font>
      <fill>
        <patternFill>
          <bgColor rgb="FFC6EFCE"/>
        </patternFill>
      </fill>
    </dxf>
    <dxf>
      <font>
        <color rgb="FF9C0006"/>
      </font>
      <fill>
        <patternFill>
          <bgColor rgb="FFFFC7CE"/>
        </patternFill>
      </fill>
    </dxf>
    <dxf>
      <font>
        <color theme="9"/>
      </font>
      <fill>
        <patternFill>
          <bgColor theme="9" tint="0.79998168889431442"/>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theme="9"/>
      </font>
      <fill>
        <patternFill>
          <bgColor theme="9" tint="0.79998168889431442"/>
        </patternFill>
      </fill>
    </dxf>
    <dxf>
      <font>
        <color rgb="FF9C0006"/>
      </font>
      <fill>
        <patternFill>
          <bgColor rgb="FFFFC7CE"/>
        </patternFill>
      </fill>
    </dxf>
    <dxf>
      <font>
        <color rgb="FF006100"/>
      </font>
      <fill>
        <patternFill>
          <bgColor rgb="FFC6EFCE"/>
        </patternFill>
      </fill>
    </dxf>
    <dxf>
      <font>
        <color theme="9"/>
      </font>
      <fill>
        <patternFill>
          <bgColor theme="9" tint="0.79998168889431442"/>
        </patternFill>
      </fill>
    </dxf>
    <dxf>
      <font>
        <color rgb="FF9C0006"/>
      </font>
      <fill>
        <patternFill>
          <bgColor rgb="FFFFC7CE"/>
        </patternFill>
      </fill>
    </dxf>
    <dxf>
      <font>
        <color rgb="FF006100"/>
      </font>
      <fill>
        <patternFill>
          <bgColor rgb="FFC6EFCE"/>
        </patternFill>
      </fill>
    </dxf>
    <dxf>
      <font>
        <color theme="9"/>
      </font>
      <fill>
        <patternFill>
          <bgColor theme="9" tint="0.79998168889431442"/>
        </patternFill>
      </fill>
    </dxf>
    <dxf>
      <font>
        <color theme="9"/>
      </font>
      <fill>
        <patternFill>
          <bgColor theme="9" tint="0.79998168889431442"/>
        </patternFill>
      </fill>
    </dxf>
    <dxf>
      <font>
        <color rgb="FF006100"/>
      </font>
      <fill>
        <patternFill>
          <bgColor rgb="FFC6EFCE"/>
        </patternFill>
      </fill>
    </dxf>
    <dxf>
      <font>
        <color rgb="FF9C0006"/>
      </font>
      <fill>
        <patternFill>
          <bgColor rgb="FFFFC7CE"/>
        </patternFill>
      </fill>
    </dxf>
    <dxf>
      <font>
        <color theme="9"/>
      </font>
      <fill>
        <patternFill>
          <bgColor theme="9" tint="0.79998168889431442"/>
        </patternFill>
      </fill>
    </dxf>
    <dxf>
      <font>
        <color rgb="FF006100"/>
      </font>
      <fill>
        <patternFill>
          <bgColor rgb="FFC6EFCE"/>
        </patternFill>
      </fill>
    </dxf>
    <dxf>
      <font>
        <color rgb="FF9C0006"/>
      </font>
      <fill>
        <patternFill>
          <bgColor rgb="FFFFC7CE"/>
        </patternFill>
      </fill>
    </dxf>
    <dxf>
      <font>
        <color theme="9"/>
      </font>
      <fill>
        <patternFill>
          <bgColor theme="9" tint="0.79998168889431442"/>
        </patternFill>
      </fill>
    </dxf>
    <dxf>
      <font>
        <color rgb="FF006100"/>
      </font>
      <fill>
        <patternFill>
          <bgColor rgb="FFC6EFCE"/>
        </patternFill>
      </fill>
    </dxf>
    <dxf>
      <font>
        <color rgb="FF9C0006"/>
      </font>
      <fill>
        <patternFill>
          <bgColor rgb="FFFFC7CE"/>
        </patternFill>
      </fill>
    </dxf>
    <dxf>
      <font>
        <color rgb="FFE83F35"/>
      </font>
    </dxf>
    <dxf>
      <font>
        <color theme="0"/>
      </font>
      <fill>
        <patternFill>
          <bgColor theme="6"/>
        </patternFill>
      </fill>
    </dxf>
    <dxf>
      <font>
        <color theme="0"/>
      </font>
      <fill>
        <patternFill>
          <bgColor theme="6"/>
        </patternFill>
      </fill>
    </dxf>
    <dxf>
      <font>
        <color theme="0"/>
      </font>
      <fill>
        <patternFill>
          <bgColor theme="6"/>
        </patternFill>
      </fill>
    </dxf>
    <dxf>
      <font>
        <color theme="0"/>
      </font>
      <fill>
        <patternFill>
          <bgColor theme="6"/>
        </patternFill>
      </fill>
    </dxf>
    <dxf>
      <font>
        <color theme="0"/>
      </font>
      <fill>
        <patternFill>
          <bgColor theme="6"/>
        </patternFill>
      </fill>
    </dxf>
    <dxf>
      <font>
        <color theme="0"/>
      </font>
      <fill>
        <patternFill>
          <bgColor theme="6"/>
        </patternFill>
      </fill>
    </dxf>
    <dxf>
      <font>
        <color rgb="FFE83F35"/>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E83F35"/>
      <rgbColor rgb="0099BFC2"/>
      <rgbColor rgb="00156570"/>
      <rgbColor rgb="00B4A76C"/>
      <rgbColor rgb="00782327"/>
      <rgbColor rgb="00A5ACAF"/>
      <rgbColor rgb="0037424A"/>
      <rgbColor rgb="00E83F35"/>
      <rgbColor rgb="00E83F35"/>
      <rgbColor rgb="0099BFC2"/>
      <rgbColor rgb="00156570"/>
      <rgbColor rgb="00B4A76C"/>
      <rgbColor rgb="00782327"/>
      <rgbColor rgb="00A5ACAF"/>
      <rgbColor rgb="0037424A"/>
      <rgbColor rgb="00E83F35"/>
      <rgbColor rgb="0000CCFF"/>
      <rgbColor rgb="00CCFFFF"/>
      <rgbColor rgb="00CCFFCC"/>
      <rgbColor rgb="00FFFF99"/>
      <rgbColor rgb="0099CCFF"/>
      <rgbColor rgb="00E83F35"/>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mruColors>
      <color rgb="FF99CCFF"/>
      <color rgb="FF0000FF"/>
      <color rgb="FFE83F35"/>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customXml" Target="../customXml/item1.xml"/><Relationship Id="rId3" Type="http://schemas.openxmlformats.org/officeDocument/2006/relationships/worksheet" Target="worksheets/sheet3.xml"/><Relationship Id="rId21" Type="http://schemas.openxmlformats.org/officeDocument/2006/relationships/theme" Target="theme/theme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heetMetadata" Target="metadata.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haredStrings" Target="sharedStrings.xml"/><Relationship Id="rId28" Type="http://schemas.openxmlformats.org/officeDocument/2006/relationships/customXml" Target="../customXml/item3.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tyles" Target="styles.xml"/><Relationship Id="rId27" Type="http://schemas.openxmlformats.org/officeDocument/2006/relationships/customXml" Target="../customXml/item2.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overlay val="0"/>
      <c:spPr>
        <a:noFill/>
        <a:ln>
          <a:noFill/>
        </a:ln>
        <a:effectLst/>
      </c:spPr>
      <c:txPr>
        <a:bodyPr rot="0" spcFirstLastPara="1" vertOverflow="ellipsis" vert="horz" wrap="square" anchor="ctr" anchorCtr="1"/>
        <a:lstStyle/>
        <a:p>
          <a:pPr>
            <a:defRPr sz="1050" b="1" i="0" u="none" strike="noStrike" kern="1200" spc="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es-MX"/>
        </a:p>
      </c:txPr>
    </c:title>
    <c:autoTitleDeleted val="0"/>
    <c:plotArea>
      <c:layout/>
      <c:barChart>
        <c:barDir val="col"/>
        <c:grouping val="clustered"/>
        <c:varyColors val="0"/>
        <c:ser>
          <c:idx val="0"/>
          <c:order val="0"/>
          <c:tx>
            <c:strRef>
              <c:f>'Hoja auxiliar gráficos'!$D$9</c:f>
              <c:strCache>
                <c:ptCount val="1"/>
                <c:pt idx="0">
                  <c:v>Todos los segmentos 
(% ingresos)</c:v>
                </c:pt>
              </c:strCache>
            </c:strRef>
          </c:tx>
          <c:spPr>
            <a:solidFill>
              <a:schemeClr val="accent1"/>
            </a:solidFill>
            <a:ln>
              <a:noFill/>
            </a:ln>
            <a:effectLst/>
          </c:spPr>
          <c:invertIfNegative val="0"/>
          <c:dPt>
            <c:idx val="0"/>
            <c:invertIfNegative val="0"/>
            <c:bubble3D val="0"/>
            <c:spPr>
              <a:solidFill>
                <a:schemeClr val="accent3"/>
              </a:solidFill>
              <a:ln>
                <a:noFill/>
              </a:ln>
              <a:effectLst/>
            </c:spPr>
            <c:extLst>
              <c:ext xmlns:c16="http://schemas.microsoft.com/office/drawing/2014/chart" uri="{C3380CC4-5D6E-409C-BE32-E72D297353CC}">
                <c16:uniqueId val="{00000002-8BBE-4638-9EB6-40D353198355}"/>
              </c:ext>
            </c:extLst>
          </c:dPt>
          <c:dPt>
            <c:idx val="1"/>
            <c:invertIfNegative val="0"/>
            <c:bubble3D val="0"/>
            <c:spPr>
              <a:solidFill>
                <a:schemeClr val="accent2"/>
              </a:solidFill>
              <a:ln>
                <a:noFill/>
              </a:ln>
              <a:effectLst/>
            </c:spPr>
            <c:extLst>
              <c:ext xmlns:c16="http://schemas.microsoft.com/office/drawing/2014/chart" uri="{C3380CC4-5D6E-409C-BE32-E72D297353CC}">
                <c16:uniqueId val="{00000003-8BBE-4638-9EB6-40D353198355}"/>
              </c:ext>
            </c:extLst>
          </c:dPt>
          <c:dPt>
            <c:idx val="2"/>
            <c:invertIfNegative val="0"/>
            <c:bubble3D val="0"/>
            <c:spPr>
              <a:solidFill>
                <a:schemeClr val="bg2">
                  <a:lumMod val="90000"/>
                </a:schemeClr>
              </a:solidFill>
              <a:ln>
                <a:noFill/>
              </a:ln>
              <a:effectLst/>
            </c:spPr>
            <c:extLst>
              <c:ext xmlns:c16="http://schemas.microsoft.com/office/drawing/2014/chart" uri="{C3380CC4-5D6E-409C-BE32-E72D297353CC}">
                <c16:uniqueId val="{00000004-8BBE-4638-9EB6-40D353198355}"/>
              </c:ext>
            </c:extLst>
          </c:dPt>
          <c:dPt>
            <c:idx val="3"/>
            <c:invertIfNegative val="0"/>
            <c:bubble3D val="0"/>
            <c:spPr>
              <a:solidFill>
                <a:schemeClr val="bg2">
                  <a:lumMod val="90000"/>
                </a:schemeClr>
              </a:solidFill>
              <a:ln>
                <a:noFill/>
              </a:ln>
              <a:effectLst/>
            </c:spPr>
            <c:extLst>
              <c:ext xmlns:c16="http://schemas.microsoft.com/office/drawing/2014/chart" uri="{C3380CC4-5D6E-409C-BE32-E72D297353CC}">
                <c16:uniqueId val="{00000005-8BBE-4638-9EB6-40D353198355}"/>
              </c:ext>
            </c:extLst>
          </c:dPt>
          <c:dPt>
            <c:idx val="4"/>
            <c:invertIfNegative val="0"/>
            <c:bubble3D val="0"/>
            <c:spPr>
              <a:solidFill>
                <a:schemeClr val="bg2">
                  <a:lumMod val="90000"/>
                </a:schemeClr>
              </a:solidFill>
              <a:ln>
                <a:noFill/>
              </a:ln>
              <a:effectLst/>
            </c:spPr>
            <c:extLst>
              <c:ext xmlns:c16="http://schemas.microsoft.com/office/drawing/2014/chart" uri="{C3380CC4-5D6E-409C-BE32-E72D297353CC}">
                <c16:uniqueId val="{00000006-8BBE-4638-9EB6-40D353198355}"/>
              </c:ext>
            </c:extLst>
          </c:dPt>
          <c:cat>
            <c:strRef>
              <c:f>'Hoja auxiliar gráficos'!$B$10:$B$14</c:f>
              <c:strCache>
                <c:ptCount val="5"/>
                <c:pt idx="0">
                  <c:v>Margen</c:v>
                </c:pt>
                <c:pt idx="1">
                  <c:v>Ingresos minoristas</c:v>
                </c:pt>
                <c:pt idx="2">
                  <c:v>Costos</c:v>
                </c:pt>
                <c:pt idx="3">
                  <c:v>Pagos mayoristas</c:v>
                </c:pt>
                <c:pt idx="4">
                  <c:v>Costos totales ajustados </c:v>
                </c:pt>
              </c:strCache>
            </c:strRef>
          </c:cat>
          <c:val>
            <c:numRef>
              <c:f>'Hoja auxiliar gráficos'!$D$10:$D$14</c:f>
              <c:numCache>
                <c:formatCode>0.00%</c:formatCode>
                <c:ptCount val="5"/>
                <c:pt idx="0">
                  <c:v>0.17257783132530122</c:v>
                </c:pt>
                <c:pt idx="1">
                  <c:v>1</c:v>
                </c:pt>
                <c:pt idx="2">
                  <c:v>0.82742216867469875</c:v>
                </c:pt>
                <c:pt idx="3">
                  <c:v>0.13374024096385542</c:v>
                </c:pt>
                <c:pt idx="4">
                  <c:v>0.83836517073494632</c:v>
                </c:pt>
              </c:numCache>
            </c:numRef>
          </c:val>
          <c:extLst>
            <c:ext xmlns:c16="http://schemas.microsoft.com/office/drawing/2014/chart" uri="{C3380CC4-5D6E-409C-BE32-E72D297353CC}">
              <c16:uniqueId val="{00000000-8BBE-4638-9EB6-40D353198355}"/>
            </c:ext>
          </c:extLst>
        </c:ser>
        <c:dLbls>
          <c:showLegendKey val="0"/>
          <c:showVal val="0"/>
          <c:showCatName val="0"/>
          <c:showSerName val="0"/>
          <c:showPercent val="0"/>
          <c:showBubbleSize val="0"/>
        </c:dLbls>
        <c:gapWidth val="219"/>
        <c:overlap val="-27"/>
        <c:axId val="179565935"/>
        <c:axId val="179551791"/>
      </c:barChart>
      <c:catAx>
        <c:axId val="179565935"/>
        <c:scaling>
          <c:orientation val="minMax"/>
        </c:scaling>
        <c:delete val="0"/>
        <c:axPos val="b"/>
        <c:numFmt formatCode="General" sourceLinked="1"/>
        <c:majorTickMark val="out"/>
        <c:minorTickMark val="none"/>
        <c:tickLblPos val="nextTo"/>
        <c:spPr>
          <a:noFill/>
          <a:ln w="9525" cap="flat" cmpd="sng" algn="ctr">
            <a:solidFill>
              <a:schemeClr val="tx1"/>
            </a:solidFill>
            <a:round/>
          </a:ln>
          <a:effectLst/>
        </c:spPr>
        <c:txPr>
          <a:bodyPr rot="-60000000" spcFirstLastPara="1" vertOverflow="ellipsis" vert="horz" wrap="square" anchor="ctr" anchorCtr="1"/>
          <a:lstStyle/>
          <a:p>
            <a:pPr>
              <a:defRPr sz="900" b="0" i="0" u="none" strike="noStrike" kern="1200" baseline="0">
                <a:solidFill>
                  <a:schemeClr val="tx1"/>
                </a:solidFill>
                <a:latin typeface="Arial" panose="020B0604020202020204" pitchFamily="34" charset="0"/>
                <a:ea typeface="+mn-ea"/>
                <a:cs typeface="Arial" panose="020B0604020202020204" pitchFamily="34" charset="0"/>
              </a:defRPr>
            </a:pPr>
            <a:endParaRPr lang="es-MX"/>
          </a:p>
        </c:txPr>
        <c:crossAx val="179551791"/>
        <c:crosses val="autoZero"/>
        <c:auto val="1"/>
        <c:lblAlgn val="ctr"/>
        <c:lblOffset val="100"/>
        <c:noMultiLvlLbl val="0"/>
      </c:catAx>
      <c:valAx>
        <c:axId val="179551791"/>
        <c:scaling>
          <c:orientation val="minMax"/>
        </c:scaling>
        <c:delete val="0"/>
        <c:axPos val="l"/>
        <c:majorGridlines>
          <c:spPr>
            <a:ln w="9525" cap="flat" cmpd="sng" algn="ctr">
              <a:noFill/>
              <a:round/>
            </a:ln>
            <a:effectLst/>
          </c:spPr>
        </c:majorGridlines>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solidFill>
                <a:latin typeface="Arial" panose="020B0604020202020204" pitchFamily="34" charset="0"/>
                <a:ea typeface="+mn-ea"/>
                <a:cs typeface="Arial" panose="020B0604020202020204" pitchFamily="34" charset="0"/>
              </a:defRPr>
            </a:pPr>
            <a:endParaRPr lang="es-MX"/>
          </a:p>
        </c:txPr>
        <c:crossAx val="179565935"/>
        <c:crosses val="autoZero"/>
        <c:crossBetween val="between"/>
      </c:valAx>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noFill/>
    <a:ln w="9525" cap="flat" cmpd="sng" algn="ctr">
      <a:noFill/>
      <a:round/>
    </a:ln>
    <a:effectLst/>
  </c:spPr>
  <c:txPr>
    <a:bodyPr/>
    <a:lstStyle/>
    <a:p>
      <a:pPr>
        <a:defRPr>
          <a:latin typeface="Arial" panose="020B0604020202020204" pitchFamily="34" charset="0"/>
          <a:cs typeface="Arial" panose="020B0604020202020204" pitchFamily="34" charset="0"/>
        </a:defRPr>
      </a:pPr>
      <a:endParaRPr lang="es-MX"/>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overlay val="0"/>
      <c:spPr>
        <a:noFill/>
        <a:ln>
          <a:noFill/>
        </a:ln>
        <a:effectLst/>
      </c:spPr>
      <c:txPr>
        <a:bodyPr rot="0" spcFirstLastPara="1" vertOverflow="ellipsis" vert="horz" wrap="square" anchor="ctr" anchorCtr="1"/>
        <a:lstStyle/>
        <a:p>
          <a:pPr>
            <a:defRPr sz="1000" b="1" i="0" u="none" strike="noStrike" kern="1200" spc="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es-MX"/>
        </a:p>
      </c:txPr>
    </c:title>
    <c:autoTitleDeleted val="0"/>
    <c:plotArea>
      <c:layout/>
      <c:barChart>
        <c:barDir val="col"/>
        <c:grouping val="clustered"/>
        <c:varyColors val="0"/>
        <c:ser>
          <c:idx val="0"/>
          <c:order val="0"/>
          <c:tx>
            <c:strRef>
              <c:f>'Hoja auxiliar gráficos'!$E$9</c:f>
              <c:strCache>
                <c:ptCount val="1"/>
                <c:pt idx="0">
                  <c:v>Segmento Prepago
(% ingresos)</c:v>
                </c:pt>
              </c:strCache>
            </c:strRef>
          </c:tx>
          <c:spPr>
            <a:solidFill>
              <a:schemeClr val="accent1"/>
            </a:solidFill>
            <a:ln>
              <a:noFill/>
            </a:ln>
            <a:effectLst/>
          </c:spPr>
          <c:invertIfNegative val="0"/>
          <c:dPt>
            <c:idx val="0"/>
            <c:invertIfNegative val="0"/>
            <c:bubble3D val="0"/>
            <c:spPr>
              <a:solidFill>
                <a:schemeClr val="accent3"/>
              </a:solidFill>
              <a:ln>
                <a:noFill/>
              </a:ln>
              <a:effectLst/>
            </c:spPr>
            <c:extLst>
              <c:ext xmlns:c16="http://schemas.microsoft.com/office/drawing/2014/chart" uri="{C3380CC4-5D6E-409C-BE32-E72D297353CC}">
                <c16:uniqueId val="{00000001-DE55-4D3D-896B-1014775F6C50}"/>
              </c:ext>
            </c:extLst>
          </c:dPt>
          <c:dPt>
            <c:idx val="1"/>
            <c:invertIfNegative val="0"/>
            <c:bubble3D val="0"/>
            <c:spPr>
              <a:solidFill>
                <a:schemeClr val="accent2"/>
              </a:solidFill>
              <a:ln>
                <a:noFill/>
              </a:ln>
              <a:effectLst/>
            </c:spPr>
            <c:extLst>
              <c:ext xmlns:c16="http://schemas.microsoft.com/office/drawing/2014/chart" uri="{C3380CC4-5D6E-409C-BE32-E72D297353CC}">
                <c16:uniqueId val="{00000003-DE55-4D3D-896B-1014775F6C50}"/>
              </c:ext>
            </c:extLst>
          </c:dPt>
          <c:dPt>
            <c:idx val="2"/>
            <c:invertIfNegative val="0"/>
            <c:bubble3D val="0"/>
            <c:spPr>
              <a:solidFill>
                <a:schemeClr val="bg2">
                  <a:lumMod val="90000"/>
                </a:schemeClr>
              </a:solidFill>
              <a:ln>
                <a:noFill/>
              </a:ln>
              <a:effectLst/>
            </c:spPr>
            <c:extLst>
              <c:ext xmlns:c16="http://schemas.microsoft.com/office/drawing/2014/chart" uri="{C3380CC4-5D6E-409C-BE32-E72D297353CC}">
                <c16:uniqueId val="{00000005-DE55-4D3D-896B-1014775F6C50}"/>
              </c:ext>
            </c:extLst>
          </c:dPt>
          <c:dPt>
            <c:idx val="3"/>
            <c:invertIfNegative val="0"/>
            <c:bubble3D val="0"/>
            <c:spPr>
              <a:solidFill>
                <a:schemeClr val="bg2">
                  <a:lumMod val="90000"/>
                </a:schemeClr>
              </a:solidFill>
              <a:ln>
                <a:noFill/>
              </a:ln>
              <a:effectLst/>
            </c:spPr>
            <c:extLst>
              <c:ext xmlns:c16="http://schemas.microsoft.com/office/drawing/2014/chart" uri="{C3380CC4-5D6E-409C-BE32-E72D297353CC}">
                <c16:uniqueId val="{00000007-DE55-4D3D-896B-1014775F6C50}"/>
              </c:ext>
            </c:extLst>
          </c:dPt>
          <c:dPt>
            <c:idx val="4"/>
            <c:invertIfNegative val="0"/>
            <c:bubble3D val="0"/>
            <c:spPr>
              <a:solidFill>
                <a:schemeClr val="bg2">
                  <a:lumMod val="90000"/>
                </a:schemeClr>
              </a:solidFill>
              <a:ln>
                <a:noFill/>
              </a:ln>
              <a:effectLst/>
            </c:spPr>
            <c:extLst>
              <c:ext xmlns:c16="http://schemas.microsoft.com/office/drawing/2014/chart" uri="{C3380CC4-5D6E-409C-BE32-E72D297353CC}">
                <c16:uniqueId val="{00000009-DE55-4D3D-896B-1014775F6C50}"/>
              </c:ext>
            </c:extLst>
          </c:dPt>
          <c:cat>
            <c:strRef>
              <c:f>'Hoja auxiliar gráficos'!$B$10:$B$14</c:f>
              <c:strCache>
                <c:ptCount val="5"/>
                <c:pt idx="0">
                  <c:v>Margen</c:v>
                </c:pt>
                <c:pt idx="1">
                  <c:v>Ingresos minoristas</c:v>
                </c:pt>
                <c:pt idx="2">
                  <c:v>Costos</c:v>
                </c:pt>
                <c:pt idx="3">
                  <c:v>Pagos mayoristas</c:v>
                </c:pt>
                <c:pt idx="4">
                  <c:v>Costos totales ajustados </c:v>
                </c:pt>
              </c:strCache>
            </c:strRef>
          </c:cat>
          <c:val>
            <c:numRef>
              <c:f>'Hoja auxiliar gráficos'!$E$10:$E$14</c:f>
              <c:numCache>
                <c:formatCode>0.00%</c:formatCode>
                <c:ptCount val="5"/>
                <c:pt idx="0">
                  <c:v>0.14379669769989045</c:v>
                </c:pt>
                <c:pt idx="1">
                  <c:v>1</c:v>
                </c:pt>
                <c:pt idx="2">
                  <c:v>0.85620330230010955</c:v>
                </c:pt>
                <c:pt idx="3">
                  <c:v>7.0120657672010353E-2</c:v>
                </c:pt>
                <c:pt idx="4">
                  <c:v>0.91810279464744204</c:v>
                </c:pt>
              </c:numCache>
            </c:numRef>
          </c:val>
          <c:extLst>
            <c:ext xmlns:c16="http://schemas.microsoft.com/office/drawing/2014/chart" uri="{C3380CC4-5D6E-409C-BE32-E72D297353CC}">
              <c16:uniqueId val="{0000000A-DE55-4D3D-896B-1014775F6C50}"/>
            </c:ext>
          </c:extLst>
        </c:ser>
        <c:dLbls>
          <c:showLegendKey val="0"/>
          <c:showVal val="0"/>
          <c:showCatName val="0"/>
          <c:showSerName val="0"/>
          <c:showPercent val="0"/>
          <c:showBubbleSize val="0"/>
        </c:dLbls>
        <c:gapWidth val="219"/>
        <c:overlap val="-27"/>
        <c:axId val="179565935"/>
        <c:axId val="179551791"/>
      </c:barChart>
      <c:catAx>
        <c:axId val="179565935"/>
        <c:scaling>
          <c:orientation val="minMax"/>
        </c:scaling>
        <c:delete val="0"/>
        <c:axPos val="b"/>
        <c:numFmt formatCode="General" sourceLinked="1"/>
        <c:majorTickMark val="out"/>
        <c:minorTickMark val="none"/>
        <c:tickLblPos val="nextTo"/>
        <c:spPr>
          <a:noFill/>
          <a:ln w="9525" cap="flat" cmpd="sng" algn="ctr">
            <a:solidFill>
              <a:schemeClr val="tx1"/>
            </a:solidFill>
            <a:round/>
          </a:ln>
          <a:effectLst/>
        </c:spPr>
        <c:txPr>
          <a:bodyPr rot="-60000000" spcFirstLastPara="1" vertOverflow="ellipsis" vert="horz" wrap="square" anchor="ctr" anchorCtr="1"/>
          <a:lstStyle/>
          <a:p>
            <a:pPr>
              <a:defRPr sz="900" b="0" i="0" u="none" strike="noStrike" kern="1200" baseline="0">
                <a:solidFill>
                  <a:schemeClr val="tx1"/>
                </a:solidFill>
                <a:latin typeface="Arial" panose="020B0604020202020204" pitchFamily="34" charset="0"/>
                <a:ea typeface="+mn-ea"/>
                <a:cs typeface="Arial" panose="020B0604020202020204" pitchFamily="34" charset="0"/>
              </a:defRPr>
            </a:pPr>
            <a:endParaRPr lang="es-MX"/>
          </a:p>
        </c:txPr>
        <c:crossAx val="179551791"/>
        <c:crosses val="autoZero"/>
        <c:auto val="1"/>
        <c:lblAlgn val="ctr"/>
        <c:lblOffset val="100"/>
        <c:noMultiLvlLbl val="0"/>
      </c:catAx>
      <c:valAx>
        <c:axId val="179551791"/>
        <c:scaling>
          <c:orientation val="minMax"/>
        </c:scaling>
        <c:delete val="0"/>
        <c:axPos val="l"/>
        <c:majorGridlines>
          <c:spPr>
            <a:ln w="9525" cap="flat" cmpd="sng" algn="ctr">
              <a:noFill/>
              <a:round/>
            </a:ln>
            <a:effectLst/>
          </c:spPr>
        </c:majorGridlines>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solidFill>
                <a:latin typeface="Arial" panose="020B0604020202020204" pitchFamily="34" charset="0"/>
                <a:ea typeface="+mn-ea"/>
                <a:cs typeface="Arial" panose="020B0604020202020204" pitchFamily="34" charset="0"/>
              </a:defRPr>
            </a:pPr>
            <a:endParaRPr lang="es-MX"/>
          </a:p>
        </c:txPr>
        <c:crossAx val="179565935"/>
        <c:crosses val="autoZero"/>
        <c:crossBetween val="between"/>
      </c:valAx>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noFill/>
    <a:ln w="9525" cap="flat" cmpd="sng" algn="ctr">
      <a:noFill/>
      <a:round/>
    </a:ln>
    <a:effectLst/>
  </c:spPr>
  <c:txPr>
    <a:bodyPr/>
    <a:lstStyle/>
    <a:p>
      <a:pPr>
        <a:defRPr>
          <a:latin typeface="Arial" panose="020B0604020202020204" pitchFamily="34" charset="0"/>
          <a:cs typeface="Arial" panose="020B0604020202020204" pitchFamily="34" charset="0"/>
        </a:defRPr>
      </a:pPr>
      <a:endParaRPr lang="es-MX"/>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overlay val="0"/>
      <c:spPr>
        <a:noFill/>
        <a:ln>
          <a:noFill/>
        </a:ln>
        <a:effectLst/>
      </c:spPr>
      <c:txPr>
        <a:bodyPr rot="0" spcFirstLastPara="1" vertOverflow="ellipsis" vert="horz" wrap="square" anchor="ctr" anchorCtr="1"/>
        <a:lstStyle/>
        <a:p>
          <a:pPr>
            <a:defRPr sz="1000" b="1" i="0" u="none" strike="noStrike" kern="1200" spc="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es-MX"/>
        </a:p>
      </c:txPr>
    </c:title>
    <c:autoTitleDeleted val="0"/>
    <c:plotArea>
      <c:layout/>
      <c:barChart>
        <c:barDir val="col"/>
        <c:grouping val="clustered"/>
        <c:varyColors val="0"/>
        <c:ser>
          <c:idx val="0"/>
          <c:order val="0"/>
          <c:tx>
            <c:strRef>
              <c:f>'Hoja auxiliar gráficos'!$F$9</c:f>
              <c:strCache>
                <c:ptCount val="1"/>
                <c:pt idx="0">
                  <c:v>Segmento Pospago
(% ingresos)</c:v>
                </c:pt>
              </c:strCache>
            </c:strRef>
          </c:tx>
          <c:spPr>
            <a:solidFill>
              <a:schemeClr val="accent1"/>
            </a:solidFill>
            <a:ln>
              <a:noFill/>
            </a:ln>
            <a:effectLst/>
          </c:spPr>
          <c:invertIfNegative val="0"/>
          <c:dPt>
            <c:idx val="0"/>
            <c:invertIfNegative val="0"/>
            <c:bubble3D val="0"/>
            <c:spPr>
              <a:solidFill>
                <a:schemeClr val="accent3"/>
              </a:solidFill>
              <a:ln>
                <a:noFill/>
              </a:ln>
              <a:effectLst/>
            </c:spPr>
            <c:extLst>
              <c:ext xmlns:c16="http://schemas.microsoft.com/office/drawing/2014/chart" uri="{C3380CC4-5D6E-409C-BE32-E72D297353CC}">
                <c16:uniqueId val="{00000001-8E98-432A-91AA-D19CBB714733}"/>
              </c:ext>
            </c:extLst>
          </c:dPt>
          <c:dPt>
            <c:idx val="1"/>
            <c:invertIfNegative val="0"/>
            <c:bubble3D val="0"/>
            <c:spPr>
              <a:solidFill>
                <a:schemeClr val="accent2"/>
              </a:solidFill>
              <a:ln>
                <a:noFill/>
              </a:ln>
              <a:effectLst/>
            </c:spPr>
            <c:extLst>
              <c:ext xmlns:c16="http://schemas.microsoft.com/office/drawing/2014/chart" uri="{C3380CC4-5D6E-409C-BE32-E72D297353CC}">
                <c16:uniqueId val="{00000003-8E98-432A-91AA-D19CBB714733}"/>
              </c:ext>
            </c:extLst>
          </c:dPt>
          <c:dPt>
            <c:idx val="2"/>
            <c:invertIfNegative val="0"/>
            <c:bubble3D val="0"/>
            <c:spPr>
              <a:solidFill>
                <a:schemeClr val="bg2">
                  <a:lumMod val="90000"/>
                </a:schemeClr>
              </a:solidFill>
              <a:ln>
                <a:noFill/>
              </a:ln>
              <a:effectLst/>
            </c:spPr>
            <c:extLst>
              <c:ext xmlns:c16="http://schemas.microsoft.com/office/drawing/2014/chart" uri="{C3380CC4-5D6E-409C-BE32-E72D297353CC}">
                <c16:uniqueId val="{00000005-8E98-432A-91AA-D19CBB714733}"/>
              </c:ext>
            </c:extLst>
          </c:dPt>
          <c:dPt>
            <c:idx val="3"/>
            <c:invertIfNegative val="0"/>
            <c:bubble3D val="0"/>
            <c:spPr>
              <a:solidFill>
                <a:schemeClr val="bg2">
                  <a:lumMod val="90000"/>
                </a:schemeClr>
              </a:solidFill>
              <a:ln>
                <a:noFill/>
              </a:ln>
              <a:effectLst/>
            </c:spPr>
            <c:extLst>
              <c:ext xmlns:c16="http://schemas.microsoft.com/office/drawing/2014/chart" uri="{C3380CC4-5D6E-409C-BE32-E72D297353CC}">
                <c16:uniqueId val="{00000007-8E98-432A-91AA-D19CBB714733}"/>
              </c:ext>
            </c:extLst>
          </c:dPt>
          <c:dPt>
            <c:idx val="4"/>
            <c:invertIfNegative val="0"/>
            <c:bubble3D val="0"/>
            <c:spPr>
              <a:solidFill>
                <a:schemeClr val="bg2">
                  <a:lumMod val="90000"/>
                </a:schemeClr>
              </a:solidFill>
              <a:ln>
                <a:noFill/>
              </a:ln>
              <a:effectLst/>
            </c:spPr>
            <c:extLst>
              <c:ext xmlns:c16="http://schemas.microsoft.com/office/drawing/2014/chart" uri="{C3380CC4-5D6E-409C-BE32-E72D297353CC}">
                <c16:uniqueId val="{00000009-8E98-432A-91AA-D19CBB714733}"/>
              </c:ext>
            </c:extLst>
          </c:dPt>
          <c:cat>
            <c:strRef>
              <c:f>'Hoja auxiliar gráficos'!$B$10:$B$14</c:f>
              <c:strCache>
                <c:ptCount val="5"/>
                <c:pt idx="0">
                  <c:v>Margen</c:v>
                </c:pt>
                <c:pt idx="1">
                  <c:v>Ingresos minoristas</c:v>
                </c:pt>
                <c:pt idx="2">
                  <c:v>Costos</c:v>
                </c:pt>
                <c:pt idx="3">
                  <c:v>Pagos mayoristas</c:v>
                </c:pt>
                <c:pt idx="4">
                  <c:v>Costos totales ajustados </c:v>
                </c:pt>
              </c:strCache>
            </c:strRef>
          </c:cat>
          <c:val>
            <c:numRef>
              <c:f>'Hoja auxiliar gráficos'!$F$10:$F$14</c:f>
              <c:numCache>
                <c:formatCode>0.00%</c:formatCode>
                <c:ptCount val="5"/>
                <c:pt idx="0">
                  <c:v>0.21301155581865036</c:v>
                </c:pt>
                <c:pt idx="1">
                  <c:v>1</c:v>
                </c:pt>
                <c:pt idx="2">
                  <c:v>0.78698844418134961</c:v>
                </c:pt>
                <c:pt idx="3">
                  <c:v>0.22256069851660978</c:v>
                </c:pt>
                <c:pt idx="4">
                  <c:v>0.7171995342979598</c:v>
                </c:pt>
              </c:numCache>
            </c:numRef>
          </c:val>
          <c:extLst>
            <c:ext xmlns:c16="http://schemas.microsoft.com/office/drawing/2014/chart" uri="{C3380CC4-5D6E-409C-BE32-E72D297353CC}">
              <c16:uniqueId val="{0000000A-8E98-432A-91AA-D19CBB714733}"/>
            </c:ext>
          </c:extLst>
        </c:ser>
        <c:dLbls>
          <c:showLegendKey val="0"/>
          <c:showVal val="0"/>
          <c:showCatName val="0"/>
          <c:showSerName val="0"/>
          <c:showPercent val="0"/>
          <c:showBubbleSize val="0"/>
        </c:dLbls>
        <c:gapWidth val="219"/>
        <c:overlap val="-27"/>
        <c:axId val="179565935"/>
        <c:axId val="179551791"/>
      </c:barChart>
      <c:catAx>
        <c:axId val="179565935"/>
        <c:scaling>
          <c:orientation val="minMax"/>
        </c:scaling>
        <c:delete val="0"/>
        <c:axPos val="b"/>
        <c:numFmt formatCode="General" sourceLinked="1"/>
        <c:majorTickMark val="out"/>
        <c:minorTickMark val="none"/>
        <c:tickLblPos val="nextTo"/>
        <c:spPr>
          <a:noFill/>
          <a:ln w="9525" cap="flat" cmpd="sng" algn="ctr">
            <a:solidFill>
              <a:schemeClr val="tx1"/>
            </a:solidFill>
            <a:round/>
          </a:ln>
          <a:effectLst/>
        </c:spPr>
        <c:txPr>
          <a:bodyPr rot="-60000000" spcFirstLastPara="1" vertOverflow="ellipsis" vert="horz" wrap="square" anchor="ctr" anchorCtr="1"/>
          <a:lstStyle/>
          <a:p>
            <a:pPr>
              <a:defRPr sz="900" b="0" i="0" u="none" strike="noStrike" kern="1200" baseline="0">
                <a:solidFill>
                  <a:schemeClr val="tx1"/>
                </a:solidFill>
                <a:latin typeface="Arial" panose="020B0604020202020204" pitchFamily="34" charset="0"/>
                <a:ea typeface="+mn-ea"/>
                <a:cs typeface="Arial" panose="020B0604020202020204" pitchFamily="34" charset="0"/>
              </a:defRPr>
            </a:pPr>
            <a:endParaRPr lang="es-MX"/>
          </a:p>
        </c:txPr>
        <c:crossAx val="179551791"/>
        <c:crosses val="autoZero"/>
        <c:auto val="1"/>
        <c:lblAlgn val="ctr"/>
        <c:lblOffset val="100"/>
        <c:noMultiLvlLbl val="0"/>
      </c:catAx>
      <c:valAx>
        <c:axId val="179551791"/>
        <c:scaling>
          <c:orientation val="minMax"/>
        </c:scaling>
        <c:delete val="0"/>
        <c:axPos val="l"/>
        <c:majorGridlines>
          <c:spPr>
            <a:ln w="9525" cap="flat" cmpd="sng" algn="ctr">
              <a:noFill/>
              <a:round/>
            </a:ln>
            <a:effectLst/>
          </c:spPr>
        </c:majorGridlines>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solidFill>
                <a:latin typeface="Arial" panose="020B0604020202020204" pitchFamily="34" charset="0"/>
                <a:ea typeface="+mn-ea"/>
                <a:cs typeface="Arial" panose="020B0604020202020204" pitchFamily="34" charset="0"/>
              </a:defRPr>
            </a:pPr>
            <a:endParaRPr lang="es-MX"/>
          </a:p>
        </c:txPr>
        <c:crossAx val="179565935"/>
        <c:crosses val="autoZero"/>
        <c:crossBetween val="between"/>
      </c:valAx>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noFill/>
    <a:ln w="9525" cap="flat" cmpd="sng" algn="ctr">
      <a:noFill/>
      <a:round/>
    </a:ln>
    <a:effectLst/>
  </c:spPr>
  <c:txPr>
    <a:bodyPr/>
    <a:lstStyle/>
    <a:p>
      <a:pPr>
        <a:defRPr>
          <a:latin typeface="Arial" panose="020B0604020202020204" pitchFamily="34" charset="0"/>
          <a:cs typeface="Arial" panose="020B0604020202020204" pitchFamily="34" charset="0"/>
        </a:defRPr>
      </a:pPr>
      <a:endParaRPr lang="es-MX"/>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chart" Target="../charts/chart2.xml"/><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xdr:from>
      <xdr:col>1</xdr:col>
      <xdr:colOff>207962</xdr:colOff>
      <xdr:row>27</xdr:row>
      <xdr:rowOff>0</xdr:rowOff>
    </xdr:from>
    <xdr:to>
      <xdr:col>4</xdr:col>
      <xdr:colOff>296962</xdr:colOff>
      <xdr:row>43</xdr:row>
      <xdr:rowOff>120650</xdr:rowOff>
    </xdr:to>
    <xdr:graphicFrame macro="">
      <xdr:nvGraphicFramePr>
        <xdr:cNvPr id="3" name="Chart 2">
          <a:extLst>
            <a:ext uri="{FF2B5EF4-FFF2-40B4-BE49-F238E27FC236}">
              <a16:creationId xmlns:a16="http://schemas.microsoft.com/office/drawing/2014/main" id="{253D0449-49FA-4564-9A97-8D6B28763B3E}"/>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12</xdr:col>
      <xdr:colOff>34924</xdr:colOff>
      <xdr:row>27</xdr:row>
      <xdr:rowOff>0</xdr:rowOff>
    </xdr:from>
    <xdr:to>
      <xdr:col>17</xdr:col>
      <xdr:colOff>441424</xdr:colOff>
      <xdr:row>43</xdr:row>
      <xdr:rowOff>137584</xdr:rowOff>
    </xdr:to>
    <xdr:graphicFrame macro="">
      <xdr:nvGraphicFramePr>
        <xdr:cNvPr id="5" name="Chart 4">
          <a:extLst>
            <a:ext uri="{FF2B5EF4-FFF2-40B4-BE49-F238E27FC236}">
              <a16:creationId xmlns:a16="http://schemas.microsoft.com/office/drawing/2014/main" id="{7BD10E98-65E9-4309-B85C-4BD0E79307C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xdr:col>
      <xdr:colOff>290776</xdr:colOff>
      <xdr:row>27</xdr:row>
      <xdr:rowOff>0</xdr:rowOff>
    </xdr:from>
    <xdr:to>
      <xdr:col>10</xdr:col>
      <xdr:colOff>993610</xdr:colOff>
      <xdr:row>43</xdr:row>
      <xdr:rowOff>113242</xdr:rowOff>
    </xdr:to>
    <xdr:graphicFrame macro="">
      <xdr:nvGraphicFramePr>
        <xdr:cNvPr id="6" name="Chart 5">
          <a:extLst>
            <a:ext uri="{FF2B5EF4-FFF2-40B4-BE49-F238E27FC236}">
              <a16:creationId xmlns:a16="http://schemas.microsoft.com/office/drawing/2014/main" id="{652C647B-9928-4D9A-9A3B-4C24AAB4895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theme/theme1.xml><?xml version="1.0" encoding="utf-8"?>
<a:theme xmlns:a="http://schemas.openxmlformats.org/drawingml/2006/main" name="Office Theme">
  <a:themeElements>
    <a:clrScheme name="Frontier">
      <a:dk1>
        <a:srgbClr val="37424A"/>
      </a:dk1>
      <a:lt1>
        <a:sysClr val="window" lastClr="FFFFFF"/>
      </a:lt1>
      <a:dk2>
        <a:srgbClr val="707276"/>
      </a:dk2>
      <a:lt2>
        <a:srgbClr val="D1DBD2"/>
      </a:lt2>
      <a:accent1>
        <a:srgbClr val="E83F35"/>
      </a:accent1>
      <a:accent2>
        <a:srgbClr val="8DD0D2"/>
      </a:accent2>
      <a:accent3>
        <a:srgbClr val="007B87"/>
      </a:accent3>
      <a:accent4>
        <a:srgbClr val="EBC000"/>
      </a:accent4>
      <a:accent5>
        <a:srgbClr val="683C5B"/>
      </a:accent5>
      <a:accent6>
        <a:srgbClr val="8BB96A"/>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6.xml.rels><?xml version="1.0" encoding="UTF-8" standalone="yes"?>
<Relationships xmlns="http://schemas.openxmlformats.org/package/2006/relationships"><Relationship Id="rId2" Type="http://schemas.openxmlformats.org/officeDocument/2006/relationships/printerSettings" Target="../printerSettings/printerSettings11.bin"/><Relationship Id="rId1" Type="http://schemas.openxmlformats.org/officeDocument/2006/relationships/hyperlink" Target="https://www.dof.gob.mx/nota_detalle.php?codigo=5741485&amp;fecha=22/10/2024" TargetMode="External"/></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3.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3">
    <tabColor theme="3"/>
  </sheetPr>
  <dimension ref="A1:H57"/>
  <sheetViews>
    <sheetView showGridLines="0" zoomScaleNormal="100" workbookViewId="0">
      <selection sqref="A1:H1"/>
    </sheetView>
  </sheetViews>
  <sheetFormatPr baseColWidth="10" defaultColWidth="8.81640625" defaultRowHeight="12.5" x14ac:dyDescent="0.25"/>
  <cols>
    <col min="1" max="1" width="5.81640625" customWidth="1"/>
    <col min="3" max="3" width="34.453125" customWidth="1"/>
    <col min="4" max="4" width="82" customWidth="1"/>
    <col min="5" max="5" width="22" customWidth="1"/>
    <col min="9" max="16384" width="8.81640625" style="2"/>
  </cols>
  <sheetData>
    <row r="1" spans="1:8" s="422" customFormat="1" ht="20" x14ac:dyDescent="0.4">
      <c r="A1" s="427"/>
      <c r="B1" s="427" t="s">
        <v>0</v>
      </c>
      <c r="C1" s="427"/>
      <c r="D1" s="427"/>
      <c r="E1" s="427"/>
      <c r="F1" s="427"/>
      <c r="G1" s="427"/>
      <c r="H1" s="427"/>
    </row>
    <row r="3" spans="1:8" ht="31.4" customHeight="1" x14ac:dyDescent="0.3">
      <c r="C3" s="487"/>
      <c r="D3" s="487"/>
      <c r="E3" s="32"/>
      <c r="F3" s="32"/>
      <c r="G3" s="32"/>
      <c r="H3" s="32"/>
    </row>
    <row r="5" spans="1:8" s="423" customFormat="1" ht="15" customHeight="1" thickBot="1" x14ac:dyDescent="0.4">
      <c r="A5" s="424">
        <v>1</v>
      </c>
      <c r="B5" s="424" t="s">
        <v>1</v>
      </c>
      <c r="C5" s="424"/>
      <c r="D5" s="424"/>
      <c r="E5" s="424"/>
      <c r="F5" s="424"/>
      <c r="G5" s="424"/>
      <c r="H5" s="424"/>
    </row>
    <row r="7" spans="1:8" ht="13.4" customHeight="1" x14ac:dyDescent="0.25">
      <c r="C7" s="24" t="s">
        <v>2</v>
      </c>
      <c r="D7" s="24" t="s">
        <v>3</v>
      </c>
    </row>
    <row r="9" spans="1:8" ht="20.149999999999999" customHeight="1" x14ac:dyDescent="0.25">
      <c r="C9" s="264" t="s">
        <v>4</v>
      </c>
    </row>
    <row r="10" spans="1:8" ht="20.149999999999999" customHeight="1" x14ac:dyDescent="0.25">
      <c r="C10" s="265" t="s">
        <v>5</v>
      </c>
      <c r="D10" s="25" t="s">
        <v>6</v>
      </c>
    </row>
    <row r="11" spans="1:8" ht="20.149999999999999" customHeight="1" x14ac:dyDescent="0.25">
      <c r="C11" s="266" t="s">
        <v>7</v>
      </c>
      <c r="D11" s="25"/>
    </row>
    <row r="12" spans="1:8" ht="20.149999999999999" customHeight="1" x14ac:dyDescent="0.25">
      <c r="C12" s="267" t="s">
        <v>8</v>
      </c>
      <c r="D12" s="25" t="s">
        <v>9</v>
      </c>
    </row>
    <row r="13" spans="1:8" ht="20.149999999999999" customHeight="1" x14ac:dyDescent="0.3">
      <c r="C13" s="267" t="s">
        <v>10</v>
      </c>
      <c r="D13" s="25" t="s">
        <v>11</v>
      </c>
    </row>
    <row r="14" spans="1:8" ht="20.149999999999999" customHeight="1" x14ac:dyDescent="0.25">
      <c r="C14" s="268" t="s">
        <v>12</v>
      </c>
      <c r="D14" s="25"/>
    </row>
    <row r="15" spans="1:8" ht="20.149999999999999" customHeight="1" x14ac:dyDescent="0.3">
      <c r="C15" s="269" t="s">
        <v>13</v>
      </c>
      <c r="D15" s="25" t="s">
        <v>14</v>
      </c>
    </row>
    <row r="16" spans="1:8" ht="20.149999999999999" customHeight="1" x14ac:dyDescent="0.3">
      <c r="C16" s="269" t="s">
        <v>15</v>
      </c>
      <c r="D16" s="25" t="s">
        <v>16</v>
      </c>
    </row>
    <row r="17" spans="1:8" ht="20.149999999999999" customHeight="1" x14ac:dyDescent="0.25">
      <c r="C17" s="270" t="s">
        <v>17</v>
      </c>
      <c r="D17" s="25"/>
    </row>
    <row r="18" spans="1:8" ht="20.149999999999999" customHeight="1" x14ac:dyDescent="0.25">
      <c r="C18" s="271" t="s">
        <v>18</v>
      </c>
      <c r="D18" s="25" t="s">
        <v>19</v>
      </c>
    </row>
    <row r="19" spans="1:8" ht="20.149999999999999" customHeight="1" x14ac:dyDescent="0.25">
      <c r="C19" s="271" t="s">
        <v>20</v>
      </c>
      <c r="D19" s="25" t="s">
        <v>21</v>
      </c>
    </row>
    <row r="20" spans="1:8" ht="20.149999999999999" customHeight="1" x14ac:dyDescent="0.25">
      <c r="C20" s="272" t="s">
        <v>22</v>
      </c>
      <c r="D20" s="25"/>
    </row>
    <row r="21" spans="1:8" ht="27" customHeight="1" x14ac:dyDescent="0.25">
      <c r="C21" s="273" t="s">
        <v>23</v>
      </c>
      <c r="D21" s="25" t="s">
        <v>24</v>
      </c>
    </row>
    <row r="22" spans="1:8" ht="41.25" customHeight="1" x14ac:dyDescent="0.25">
      <c r="C22" s="273" t="s">
        <v>25</v>
      </c>
      <c r="D22" s="25" t="s">
        <v>26</v>
      </c>
    </row>
    <row r="23" spans="1:8" ht="27" customHeight="1" x14ac:dyDescent="0.25">
      <c r="C23" s="273" t="s">
        <v>27</v>
      </c>
      <c r="D23" s="25" t="s">
        <v>28</v>
      </c>
    </row>
    <row r="24" spans="1:8" ht="20.149999999999999" customHeight="1" x14ac:dyDescent="0.25">
      <c r="C24" s="275" t="s">
        <v>29</v>
      </c>
      <c r="D24" s="25" t="s">
        <v>30</v>
      </c>
    </row>
    <row r="25" spans="1:8" x14ac:dyDescent="0.25">
      <c r="C25" s="274" t="s">
        <v>31</v>
      </c>
      <c r="D25" s="255" t="s">
        <v>32</v>
      </c>
    </row>
    <row r="27" spans="1:8" s="423" customFormat="1" ht="15" customHeight="1" thickBot="1" x14ac:dyDescent="0.4">
      <c r="A27" s="424">
        <v>2</v>
      </c>
      <c r="B27" s="424" t="s">
        <v>33</v>
      </c>
      <c r="C27" s="424"/>
      <c r="D27" s="424"/>
      <c r="E27" s="424"/>
      <c r="F27" s="424"/>
      <c r="G27" s="424"/>
      <c r="H27" s="424"/>
    </row>
    <row r="30" spans="1:8" ht="17.149999999999999" customHeight="1" x14ac:dyDescent="0.25">
      <c r="C30" s="26" t="s">
        <v>34</v>
      </c>
      <c r="D30" s="260" t="s">
        <v>35</v>
      </c>
      <c r="E30" s="2"/>
    </row>
    <row r="31" spans="1:8" ht="17.149999999999999" customHeight="1" x14ac:dyDescent="0.25">
      <c r="C31" s="27" t="s">
        <v>36</v>
      </c>
      <c r="D31" s="36" t="s">
        <v>37</v>
      </c>
      <c r="E31" s="2"/>
    </row>
    <row r="32" spans="1:8" ht="17.149999999999999" customHeight="1" x14ac:dyDescent="0.25">
      <c r="C32" s="133" t="s">
        <v>38</v>
      </c>
      <c r="D32" s="35" t="s">
        <v>39</v>
      </c>
      <c r="E32" s="2"/>
    </row>
    <row r="33" spans="1:8" ht="17.149999999999999" customHeight="1" x14ac:dyDescent="0.25">
      <c r="C33" s="28" t="s">
        <v>40</v>
      </c>
      <c r="D33" s="35" t="s">
        <v>41</v>
      </c>
      <c r="E33" s="2"/>
    </row>
    <row r="34" spans="1:8" ht="17.149999999999999" customHeight="1" x14ac:dyDescent="0.25">
      <c r="C34" s="31" t="s">
        <v>42</v>
      </c>
      <c r="D34" s="35" t="s">
        <v>43</v>
      </c>
      <c r="E34" s="2"/>
    </row>
    <row r="35" spans="1:8" ht="17.149999999999999" customHeight="1" x14ac:dyDescent="0.25">
      <c r="C35" s="29" t="s">
        <v>29</v>
      </c>
      <c r="D35" s="35" t="s">
        <v>44</v>
      </c>
      <c r="E35" s="2"/>
    </row>
    <row r="36" spans="1:8" ht="17.149999999999999" customHeight="1" x14ac:dyDescent="0.25">
      <c r="C36" s="30" t="s">
        <v>45</v>
      </c>
      <c r="D36" s="35" t="s">
        <v>46</v>
      </c>
      <c r="E36" s="2"/>
    </row>
    <row r="37" spans="1:8" ht="17.149999999999999" customHeight="1" x14ac:dyDescent="0.25">
      <c r="C37" s="94" t="s">
        <v>4</v>
      </c>
      <c r="D37" s="35" t="s">
        <v>47</v>
      </c>
    </row>
    <row r="39" spans="1:8" s="423" customFormat="1" ht="15" customHeight="1" thickBot="1" x14ac:dyDescent="0.4">
      <c r="A39" s="424">
        <v>3</v>
      </c>
      <c r="B39" s="424" t="s">
        <v>48</v>
      </c>
      <c r="C39" s="424"/>
      <c r="D39" s="424"/>
      <c r="E39" s="424"/>
      <c r="F39" s="424"/>
      <c r="G39" s="424"/>
      <c r="H39" s="424"/>
    </row>
    <row r="41" spans="1:8" s="21" customFormat="1" ht="13" x14ac:dyDescent="0.3">
      <c r="A41" s="16">
        <v>3.1</v>
      </c>
      <c r="B41" s="16" t="s">
        <v>49</v>
      </c>
      <c r="C41" s="16"/>
      <c r="D41" s="16"/>
      <c r="E41" s="16"/>
      <c r="F41" s="16"/>
      <c r="G41" s="16"/>
      <c r="H41" s="16"/>
    </row>
    <row r="43" spans="1:8" ht="20.149999999999999" customHeight="1" x14ac:dyDescent="0.25">
      <c r="C43" s="87" t="s">
        <v>50</v>
      </c>
    </row>
    <row r="45" spans="1:8" ht="13" x14ac:dyDescent="0.3">
      <c r="A45" s="16">
        <v>3.2</v>
      </c>
      <c r="B45" s="16" t="s">
        <v>51</v>
      </c>
    </row>
    <row r="46" spans="1:8" x14ac:dyDescent="0.25">
      <c r="B46" s="15"/>
    </row>
    <row r="47" spans="1:8" ht="20.149999999999999" customHeight="1" x14ac:dyDescent="0.25">
      <c r="C47" s="276" t="s">
        <v>52</v>
      </c>
    </row>
    <row r="48" spans="1:8" x14ac:dyDescent="0.25">
      <c r="B48" s="63"/>
    </row>
    <row r="49" spans="1:8" ht="15.65" customHeight="1" x14ac:dyDescent="0.3">
      <c r="B49" s="277" t="s">
        <v>53</v>
      </c>
      <c r="C49" s="278" t="s">
        <v>54</v>
      </c>
      <c r="D49" s="278"/>
      <c r="E49" s="278"/>
      <c r="F49" s="279"/>
    </row>
    <row r="50" spans="1:8" ht="13" x14ac:dyDescent="0.3">
      <c r="B50" s="280" t="s">
        <v>53</v>
      </c>
      <c r="C50" s="281" t="s">
        <v>55</v>
      </c>
      <c r="D50" s="281"/>
      <c r="E50" s="281"/>
      <c r="F50" s="282"/>
    </row>
    <row r="51" spans="1:8" ht="13" x14ac:dyDescent="0.3">
      <c r="B51" s="280" t="s">
        <v>53</v>
      </c>
      <c r="C51" s="281" t="s">
        <v>56</v>
      </c>
      <c r="D51" s="281"/>
      <c r="E51" s="281"/>
      <c r="F51" s="282"/>
    </row>
    <row r="52" spans="1:8" ht="13" x14ac:dyDescent="0.3">
      <c r="B52" s="283" t="s">
        <v>53</v>
      </c>
      <c r="C52" s="284" t="s">
        <v>57</v>
      </c>
      <c r="D52" s="284"/>
      <c r="E52" s="284"/>
      <c r="F52" s="285"/>
    </row>
    <row r="54" spans="1:8" s="423" customFormat="1" ht="15" customHeight="1" thickBot="1" x14ac:dyDescent="0.4">
      <c r="A54" s="424">
        <v>4</v>
      </c>
      <c r="B54" s="424" t="s">
        <v>58</v>
      </c>
      <c r="C54" s="424"/>
      <c r="D54" s="424"/>
      <c r="E54" s="424"/>
      <c r="F54" s="424"/>
      <c r="G54" s="424"/>
      <c r="H54" s="424"/>
    </row>
    <row r="56" spans="1:8" ht="13" x14ac:dyDescent="0.3">
      <c r="B56" s="286">
        <v>1</v>
      </c>
      <c r="C56" s="488" t="s">
        <v>59</v>
      </c>
      <c r="D56" s="489"/>
    </row>
    <row r="57" spans="1:8" ht="15" customHeight="1" x14ac:dyDescent="0.3">
      <c r="B57" s="287">
        <v>2</v>
      </c>
      <c r="C57" s="288" t="s">
        <v>60</v>
      </c>
      <c r="D57" s="285"/>
    </row>
  </sheetData>
  <mergeCells count="2">
    <mergeCell ref="C3:D3"/>
    <mergeCell ref="C56:D56"/>
  </mergeCells>
  <hyperlinks>
    <hyperlink ref="C9" location="'Resultados &gt;&gt;'!A1" display="Resultados" xr:uid="{00000000-0004-0000-0000-000000000000}"/>
    <hyperlink ref="C12" location="Descripción!A1" display="Ingresos minoristas" xr:uid="{00000000-0004-0000-0000-000001000000}"/>
    <hyperlink ref="C13" location="Costos!A1" display="Costos" xr:uid="{00000000-0004-0000-0000-000002000000}"/>
    <hyperlink ref="C14" location="'Cálculos intermedios &gt;&gt;'!A1" display="Cálculos intermedios" xr:uid="{00000000-0004-0000-0000-000003000000}"/>
    <hyperlink ref="C15" location="'Pagos mayoristas'!A1" display="Pagos mayoristas" xr:uid="{00000000-0004-0000-0000-000004000000}"/>
    <hyperlink ref="C16" location="'Costos aguas abajo'!A1" display="Costos aguas abajo" xr:uid="{00000000-0004-0000-0000-000005000000}"/>
    <hyperlink ref="C17" location="'Requerimiento de información &gt;&gt;'!A1" display="Requerimientos de información" xr:uid="{00000000-0004-0000-0000-000006000000}"/>
    <hyperlink ref="C24" location="Supuestos!A1" display="Supuestos" xr:uid="{00000000-0004-0000-0000-000007000000}"/>
    <hyperlink ref="C18" location="'Informacion del AEP'!A1" display="Informacion del AEP" xr:uid="{00000000-0004-0000-0000-000008000000}"/>
    <hyperlink ref="C47" location="'Precio Mayorista'!A1" display="Ir a Precios mayoristas &gt;&gt;" xr:uid="{00000000-0004-0000-0000-000009000000}"/>
    <hyperlink ref="C11" location="Descripción!A1" display="Resultados intermedios" xr:uid="{00000000-0004-0000-0000-00000A000000}"/>
    <hyperlink ref="C43" location="Supuestos!A1" display="Ir a Supuestos &gt;&gt;" xr:uid="{00000000-0004-0000-0000-00000B000000}"/>
    <hyperlink ref="C19" location="'Ofertas insignia'!A1" display="Ofertas insignia" xr:uid="{00000000-0004-0000-0000-00000C000000}"/>
    <hyperlink ref="C20" location="'Oferta de Referencia &gt;&gt;'!A1" display="Ofertas de referencia" xr:uid="{00000000-0004-0000-0000-00000D000000}"/>
    <hyperlink ref="C21" location="'Precio Mayorista'!A1" display="Precio mayorista" xr:uid="{00000000-0004-0000-0000-00000E000000}"/>
    <hyperlink ref="C25" location="'Hoja auxiliar gráficos'!A1" display="Hoja auxiliar gráficos" xr:uid="{00000000-0004-0000-0000-00000F000000}"/>
    <hyperlink ref="C23" location="'Hoja Auxiliar'!A1" display="Hoja Auxiliar" xr:uid="{00000000-0004-0000-0000-000010000000}"/>
    <hyperlink ref="C22" location="'Precios mayoristas efectivos'!A1" display="Precios mayoristas efectivos" xr:uid="{00000000-0004-0000-0000-000011000000}"/>
  </hyperlinks>
  <pageMargins left="0.7" right="0.7" top="0.75" bottom="0.75" header="0.3" footer="0.3"/>
  <pageSetup paperSize="9"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Hoja1">
    <tabColor theme="8" tint="0.79998168889431442"/>
  </sheetPr>
  <dimension ref="A1:X679"/>
  <sheetViews>
    <sheetView showGridLines="0" topLeftCell="A9" zoomScale="70" zoomScaleNormal="70" workbookViewId="0">
      <pane xSplit="3" ySplit="1" topLeftCell="D363" activePane="bottomRight" state="frozen"/>
      <selection pane="topRight" activeCell="D9" sqref="D9"/>
      <selection pane="bottomLeft" activeCell="A10" sqref="A10"/>
      <selection pane="bottomRight" activeCell="O374" sqref="O374"/>
    </sheetView>
  </sheetViews>
  <sheetFormatPr baseColWidth="10" defaultColWidth="8.81640625" defaultRowHeight="12.5" x14ac:dyDescent="0.25"/>
  <cols>
    <col min="1" max="1" width="1.81640625" style="5" customWidth="1"/>
    <col min="2" max="2" width="8.81640625" style="5"/>
    <col min="3" max="3" width="47.1796875" style="5" customWidth="1"/>
    <col min="4" max="4" width="26.1796875" style="5" customWidth="1"/>
    <col min="5" max="5" width="4.1796875" style="5" customWidth="1"/>
    <col min="6" max="6" width="23.54296875" style="5" customWidth="1"/>
    <col min="7" max="8" width="4.1796875" style="5" customWidth="1"/>
    <col min="9" max="9" width="18.1796875" style="5" customWidth="1"/>
    <col min="10" max="10" width="4.1796875" style="5" customWidth="1"/>
    <col min="11" max="11" width="3.453125" style="5" customWidth="1"/>
    <col min="12" max="12" width="18.81640625" style="5" customWidth="1"/>
    <col min="13" max="13" width="3.81640625" style="5" customWidth="1"/>
    <col min="14" max="14" width="24.54296875" style="5" customWidth="1"/>
    <col min="15" max="15" width="23" style="5" customWidth="1"/>
    <col min="16" max="16" width="16.81640625" style="5" customWidth="1"/>
    <col min="17" max="16384" width="8.81640625" style="5"/>
  </cols>
  <sheetData>
    <row r="1" spans="2:24" s="427" customFormat="1" ht="20" x14ac:dyDescent="0.4">
      <c r="B1" s="427" t="s">
        <v>117</v>
      </c>
    </row>
    <row r="3" spans="2:24" ht="20.149999999999999" customHeight="1" x14ac:dyDescent="0.25">
      <c r="C3" s="14" t="s">
        <v>90</v>
      </c>
    </row>
    <row r="5" spans="2:24" ht="13" x14ac:dyDescent="0.3">
      <c r="C5" s="16" t="s">
        <v>63</v>
      </c>
      <c r="D5" s="88" t="s">
        <v>64</v>
      </c>
      <c r="E5" s="71"/>
      <c r="F5" s="88" t="s">
        <v>65</v>
      </c>
    </row>
    <row r="6" spans="2:24" x14ac:dyDescent="0.25">
      <c r="C6"/>
      <c r="D6" s="85">
        <f>Supuestos!$C$5</f>
        <v>45658</v>
      </c>
      <c r="E6" s="71"/>
      <c r="F6" s="85">
        <f>Supuestos!$C$6</f>
        <v>45747</v>
      </c>
    </row>
    <row r="7" spans="2:24" x14ac:dyDescent="0.25">
      <c r="C7"/>
    </row>
    <row r="8" spans="2:24" ht="92.15" customHeight="1" x14ac:dyDescent="0.25">
      <c r="C8" s="513" t="s">
        <v>118</v>
      </c>
      <c r="D8" s="514"/>
      <c r="E8" s="514"/>
      <c r="F8" s="514"/>
      <c r="G8" s="514"/>
      <c r="H8" s="514"/>
      <c r="I8" s="514"/>
      <c r="J8" s="514"/>
      <c r="K8" s="514"/>
      <c r="L8" s="514"/>
      <c r="M8" s="514"/>
      <c r="N8" s="514"/>
      <c r="O8" s="515"/>
      <c r="P8"/>
      <c r="Q8"/>
      <c r="R8"/>
      <c r="S8"/>
    </row>
    <row r="9" spans="2:24" ht="56.5" customHeight="1" x14ac:dyDescent="0.25">
      <c r="C9" s="40" t="s">
        <v>119</v>
      </c>
      <c r="D9" s="216" t="s">
        <v>120</v>
      </c>
      <c r="E9" s="240"/>
      <c r="F9" s="239" t="s">
        <v>121</v>
      </c>
      <c r="G9" s="240"/>
      <c r="H9" s="240"/>
      <c r="I9" s="241" t="s">
        <v>112</v>
      </c>
      <c r="J9" s="241"/>
      <c r="K9" s="241"/>
      <c r="L9" s="241" t="s">
        <v>122</v>
      </c>
      <c r="M9" s="241"/>
      <c r="N9" s="241" t="s">
        <v>123</v>
      </c>
      <c r="O9" s="241" t="s">
        <v>124</v>
      </c>
      <c r="P9" s="193"/>
      <c r="Q9" s="193"/>
      <c r="U9"/>
      <c r="V9"/>
      <c r="W9"/>
      <c r="X9"/>
    </row>
    <row r="10" spans="2:24" ht="21.65" customHeight="1" x14ac:dyDescent="0.3">
      <c r="C10" s="74" t="str">
        <f>Supuestos!$B$75</f>
        <v>Todos los segmentos</v>
      </c>
      <c r="D10" s="77">
        <f>SUM(D11:D29)</f>
        <v>2398561000</v>
      </c>
      <c r="E10" s="75"/>
      <c r="F10" s="77">
        <f>SUM(F11:F29)</f>
        <v>0</v>
      </c>
      <c r="G10" s="75"/>
      <c r="H10" s="75"/>
      <c r="I10" s="77">
        <f>INDEX('Informacion del AEP'!$H$31:$H$84,MATCH('Pagos Mayoristas'!C10,'Informacion del AEP'!$C$31:$C$84,0))*'Hoja Auxiliar'!$D$61</f>
        <v>30000000</v>
      </c>
      <c r="J10" s="4"/>
      <c r="K10" s="77"/>
      <c r="L10" s="77">
        <f>'Precio Mayorista'!D101/Supuestos!C13</f>
        <v>625000</v>
      </c>
      <c r="M10" s="77"/>
      <c r="N10" s="77">
        <f>SUM(N11:N29)</f>
        <v>345924000</v>
      </c>
      <c r="O10" s="204">
        <f>SUM(D10:N10)</f>
        <v>2775110000</v>
      </c>
      <c r="R10" s="80" t="s">
        <v>42</v>
      </c>
      <c r="S10" s="38" t="str">
        <f>IF(ABS(D10-SUM(D36,D62))&lt;0.01,"Ok","Error")</f>
        <v>Ok</v>
      </c>
      <c r="T10" s="38" t="str">
        <f>IF(ABS(E10-SUM(E36,E62))&lt;0.01,"Ok","Error")</f>
        <v>Ok</v>
      </c>
      <c r="U10" s="38" t="str">
        <f>IF(ABS(F10-SUM(F36,F62))&lt;0.01,"Ok","Error")</f>
        <v>Ok</v>
      </c>
      <c r="V10" s="38" t="str">
        <f>IF(ABS(G10-SUM(G36,G62))&lt;0.01,"Ok","Error")</f>
        <v>Ok</v>
      </c>
      <c r="W10" s="38" t="str">
        <f>IF(ABS(H10-SUM(H36,H62))&lt;0.01,"Ok","Error")</f>
        <v>Ok</v>
      </c>
    </row>
    <row r="11" spans="2:24" x14ac:dyDescent="0.25">
      <c r="C11" s="5" t="str">
        <f>IF(Supuestos!B48="","",Supuestos!B48)</f>
        <v>Datos</v>
      </c>
      <c r="D11" s="78">
        <f>INDEX('Informacion del AEP'!$F$90:$AE$108,MATCH('Pagos Mayoristas'!$C11,'Informacion del AEP'!$C$90:$C$108,0),MATCH('Pagos Mayoristas'!C$10,'Informacion del AEP'!$F$89:$AE$89,0))*INDEX('Hoja Auxiliar'!$D$40:$D$58,MATCH('Pagos Mayoristas'!$C11,'Hoja Auxiliar'!$C$40:$C$58,0))</f>
        <v>1270000000</v>
      </c>
      <c r="F11" s="238">
        <f>IF(C11="","",('Precio Mayorista'!$D$100*INDEX('Informacion del AEP'!$D$90:$AE$108,MATCH(C11,'Informacion del AEP'!$C$90:$C$108,0),MATCH($C$10,'Informacion del AEP'!$D$89:$AE$89,0))*INDEX('Informacion del AEP'!$F$169:$F$187,MATCH(C11,'Informacion del AEP'!$C$169:$C$187,0))))</f>
        <v>0</v>
      </c>
      <c r="G11"/>
      <c r="I11"/>
      <c r="N11" s="209">
        <f>INDEX('Precio Mayorista'!$D$76:$D$94,MATCH('Pagos Mayoristas'!C11,'Precio Mayorista'!$G$76:$G$94,0))*INDEX('Informacion del AEP'!$F$90:$AE$108,MATCH('Pagos Mayoristas'!C11,'Informacion del AEP'!$C$90:$C$108,0),MATCH('Pagos Mayoristas'!$C$10,'Informacion del AEP'!$F$89:$AE$89,0))</f>
        <v>0</v>
      </c>
    </row>
    <row r="12" spans="2:24" x14ac:dyDescent="0.25">
      <c r="C12" s="5" t="str">
        <f>IF(Supuestos!B49="","",Supuestos!B49)</f>
        <v>Originación voz on-net local</v>
      </c>
      <c r="D12" s="78">
        <f>INDEX('Informacion del AEP'!$F$90:$AE$108,MATCH('Pagos Mayoristas'!$C12,'Informacion del AEP'!$C$90:$C$108,0),MATCH('Pagos Mayoristas'!C$10,'Informacion del AEP'!$F$89:$AE$89,0))*INDEX('Hoja Auxiliar'!$D$40:$D$58,MATCH('Pagos Mayoristas'!$C12,'Hoja Auxiliar'!$C$40:$C$58,0))</f>
        <v>300000000</v>
      </c>
      <c r="F12" s="238">
        <f>IF(C12="","",('Precio Mayorista'!$D$100*INDEX('Informacion del AEP'!$D$90:$AE$108,MATCH(C12,'Informacion del AEP'!$C$90:$C$108,0),MATCH($C$10,'Informacion del AEP'!$D$89:$AE$89,0))*INDEX('Informacion del AEP'!$F$169:$F$187,MATCH(C12,'Informacion del AEP'!$C$169:$C$187,0))))</f>
        <v>0</v>
      </c>
      <c r="I12"/>
      <c r="N12" s="209">
        <f>INDEX('Precio Mayorista'!$D$76:$D$94,MATCH('Pagos Mayoristas'!C12,'Precio Mayorista'!$G$76:$G$94,0))*INDEX('Informacion del AEP'!$F$90:$AE$108,MATCH('Pagos Mayoristas'!C12,'Informacion del AEP'!$C$90:$C$108,0),MATCH('Pagos Mayoristas'!$C$10,'Informacion del AEP'!$F$89:$AE$89,0))</f>
        <v>0</v>
      </c>
    </row>
    <row r="13" spans="2:24" x14ac:dyDescent="0.25">
      <c r="C13" s="5" t="str">
        <f>IF(Supuestos!B50="","",Supuestos!B50)</f>
        <v>Originación voz off-net móvil local</v>
      </c>
      <c r="D13" s="78">
        <f>INDEX('Informacion del AEP'!$F$90:$AE$108,MATCH('Pagos Mayoristas'!$C13,'Informacion del AEP'!$C$90:$C$108,0),MATCH('Pagos Mayoristas'!C$10,'Informacion del AEP'!$F$89:$AE$89,0))*INDEX('Hoja Auxiliar'!$D$40:$D$58,MATCH('Pagos Mayoristas'!$C13,'Hoja Auxiliar'!$C$40:$C$58,0))</f>
        <v>60000000</v>
      </c>
      <c r="F13" s="238">
        <f>IF(C13="","",('Precio Mayorista'!$D$100*INDEX('Informacion del AEP'!$D$90:$AE$108,MATCH(C13,'Informacion del AEP'!$C$90:$C$108,0),MATCH($C$10,'Informacion del AEP'!$D$89:$AE$89,0))*INDEX('Informacion del AEP'!$F$169:$F$187,MATCH(C13,'Informacion del AEP'!$C$169:$C$187,0))))</f>
        <v>0</v>
      </c>
      <c r="I13" s="246"/>
      <c r="N13" s="209">
        <f>INDEX('Precio Mayorista'!$D$76:$D$94,MATCH('Pagos Mayoristas'!C13,'Precio Mayorista'!$G$76:$G$94,0))*INDEX('Informacion del AEP'!$F$90:$AE$108,MATCH('Pagos Mayoristas'!C13,'Informacion del AEP'!$C$90:$C$108,0),MATCH('Pagos Mayoristas'!$C$10,'Informacion del AEP'!$F$89:$AE$89,0))</f>
        <v>84442000</v>
      </c>
    </row>
    <row r="14" spans="2:24" x14ac:dyDescent="0.25">
      <c r="C14" s="5" t="str">
        <f>IF(Supuestos!B51="","",Supuestos!B51)</f>
        <v>Originación voz off-net fijo local</v>
      </c>
      <c r="D14" s="78">
        <f>INDEX('Informacion del AEP'!$F$90:$AE$108,MATCH('Pagos Mayoristas'!$C14,'Informacion del AEP'!$C$90:$C$108,0),MATCH('Pagos Mayoristas'!C$10,'Informacion del AEP'!$F$89:$AE$89,0))*INDEX('Hoja Auxiliar'!$D$40:$D$58,MATCH('Pagos Mayoristas'!$C14,'Hoja Auxiliar'!$C$40:$C$58,0))</f>
        <v>30000000</v>
      </c>
      <c r="F14" s="238">
        <f>IF(C14="","",('Precio Mayorista'!$D$100*INDEX('Informacion del AEP'!$D$90:$AE$108,MATCH(C14,'Informacion del AEP'!$C$90:$C$108,0),MATCH($C$10,'Informacion del AEP'!$D$89:$AE$89,0))*INDEX('Informacion del AEP'!$F$169:$F$187,MATCH(C14,'Informacion del AEP'!$C$169:$C$187,0))))</f>
        <v>0</v>
      </c>
      <c r="N14" s="209">
        <f>INDEX('Precio Mayorista'!$D$76:$D$94,MATCH('Pagos Mayoristas'!C14,'Precio Mayorista'!$G$76:$G$94,0))*INDEX('Informacion del AEP'!$F$90:$AE$108,MATCH('Pagos Mayoristas'!C14,'Informacion del AEP'!$C$90:$C$108,0),MATCH('Pagos Mayoristas'!$C$10,'Informacion del AEP'!$F$89:$AE$89,0))</f>
        <v>3343000</v>
      </c>
    </row>
    <row r="15" spans="2:24" x14ac:dyDescent="0.25">
      <c r="B15"/>
      <c r="C15" s="5" t="str">
        <f>IF(Supuestos!B52="","",Supuestos!B52)</f>
        <v>Originación voz on-net LDN</v>
      </c>
      <c r="D15" s="78">
        <f>INDEX('Informacion del AEP'!$F$90:$AE$108,MATCH('Pagos Mayoristas'!$C15,'Informacion del AEP'!$C$90:$C$108,0),MATCH('Pagos Mayoristas'!C$10,'Informacion del AEP'!$F$89:$AE$89,0))*INDEX('Hoja Auxiliar'!$D$40:$D$58,MATCH('Pagos Mayoristas'!$C15,'Hoja Auxiliar'!$C$40:$C$58,0))</f>
        <v>450000000</v>
      </c>
      <c r="F15" s="238">
        <f>IF(C15="","",('Precio Mayorista'!$D$100*INDEX('Informacion del AEP'!$D$90:$AE$108,MATCH(C15,'Informacion del AEP'!$C$90:$C$108,0),MATCH($C$10,'Informacion del AEP'!$D$89:$AE$89,0))*INDEX('Informacion del AEP'!$F$169:$F$187,MATCH(C15,'Informacion del AEP'!$C$169:$C$187,0))))</f>
        <v>0</v>
      </c>
      <c r="N15" s="209">
        <f>INDEX('Precio Mayorista'!$D$76:$D$94,MATCH('Pagos Mayoristas'!C15,'Precio Mayorista'!$G$76:$G$94,0))*INDEX('Informacion del AEP'!$F$90:$AE$108,MATCH('Pagos Mayoristas'!C15,'Informacion del AEP'!$C$90:$C$108,0),MATCH('Pagos Mayoristas'!$C$10,'Informacion del AEP'!$F$89:$AE$89,0))</f>
        <v>0</v>
      </c>
    </row>
    <row r="16" spans="2:24" x14ac:dyDescent="0.25">
      <c r="B16"/>
      <c r="C16" s="5" t="str">
        <f>IF(Supuestos!B53="","",Supuestos!B53)</f>
        <v>Originación voz off-net móvil LDN</v>
      </c>
      <c r="D16" s="78">
        <f>INDEX('Informacion del AEP'!$F$90:$AE$108,MATCH('Pagos Mayoristas'!$C16,'Informacion del AEP'!$C$90:$C$108,0),MATCH('Pagos Mayoristas'!C$10,'Informacion del AEP'!$F$89:$AE$89,0))*INDEX('Hoja Auxiliar'!$D$40:$D$58,MATCH('Pagos Mayoristas'!$C16,'Hoja Auxiliar'!$C$40:$C$58,0))</f>
        <v>45000000</v>
      </c>
      <c r="F16" s="238">
        <f>IF(C16="","",('Precio Mayorista'!$D$100*INDEX('Informacion del AEP'!$D$90:$AE$108,MATCH(C16,'Informacion del AEP'!$C$90:$C$108,0),MATCH($C$10,'Informacion del AEP'!$D$89:$AE$89,0))*INDEX('Informacion del AEP'!$F$169:$F$187,MATCH(C16,'Informacion del AEP'!$C$169:$C$187,0))))</f>
        <v>0</v>
      </c>
      <c r="N16" s="209">
        <f>INDEX('Precio Mayorista'!$D$76:$D$94,MATCH('Pagos Mayoristas'!C16,'Precio Mayorista'!$G$76:$G$94,0))*INDEX('Informacion del AEP'!$F$90:$AE$108,MATCH('Pagos Mayoristas'!C16,'Informacion del AEP'!$C$90:$C$108,0),MATCH('Pagos Mayoristas'!$C$10,'Informacion del AEP'!$F$89:$AE$89,0))</f>
        <v>63331500</v>
      </c>
    </row>
    <row r="17" spans="2:14" x14ac:dyDescent="0.25">
      <c r="B17"/>
      <c r="C17" s="5" t="str">
        <f>IF(Supuestos!B54="","",Supuestos!B54)</f>
        <v>Originación voz off-net fijo LDN</v>
      </c>
      <c r="D17" s="78">
        <f>INDEX('Informacion del AEP'!$F$90:$AE$108,MATCH('Pagos Mayoristas'!$C17,'Informacion del AEP'!$C$90:$C$108,0),MATCH('Pagos Mayoristas'!C$10,'Informacion del AEP'!$F$89:$AE$89,0))*INDEX('Hoja Auxiliar'!$D$40:$D$58,MATCH('Pagos Mayoristas'!$C17,'Hoja Auxiliar'!$C$40:$C$58,0))</f>
        <v>15000000</v>
      </c>
      <c r="F17" s="238">
        <f>IF(C17="","",('Precio Mayorista'!$D$100*INDEX('Informacion del AEP'!$D$90:$AE$108,MATCH(C17,'Informacion del AEP'!$C$90:$C$108,0),MATCH($C$10,'Informacion del AEP'!$D$89:$AE$89,0))*INDEX('Informacion del AEP'!$F$169:$F$187,MATCH(C17,'Informacion del AEP'!$C$169:$C$187,0))))</f>
        <v>0</v>
      </c>
      <c r="N17" s="209">
        <f>INDEX('Precio Mayorista'!$D$76:$D$94,MATCH('Pagos Mayoristas'!C17,'Precio Mayorista'!$G$76:$G$94,0))*INDEX('Informacion del AEP'!$F$90:$AE$108,MATCH('Pagos Mayoristas'!C17,'Informacion del AEP'!$C$90:$C$108,0),MATCH('Pagos Mayoristas'!$C$10,'Informacion del AEP'!$F$89:$AE$89,0))</f>
        <v>1671500</v>
      </c>
    </row>
    <row r="18" spans="2:14" x14ac:dyDescent="0.25">
      <c r="B18"/>
      <c r="C18" s="5" t="str">
        <f>IF(Supuestos!B55="","",Supuestos!B55)</f>
        <v>Originación voz internacional USA-Canadá</v>
      </c>
      <c r="D18" s="78">
        <f>INDEX('Informacion del AEP'!$F$90:$AE$108,MATCH('Pagos Mayoristas'!$C18,'Informacion del AEP'!$C$90:$C$108,0),MATCH('Pagos Mayoristas'!C$10,'Informacion del AEP'!$F$89:$AE$89,0))*INDEX('Hoja Auxiliar'!$D$40:$D$58,MATCH('Pagos Mayoristas'!$C18,'Hoja Auxiliar'!$C$40:$C$58,0))</f>
        <v>39000000</v>
      </c>
      <c r="F18" s="238">
        <f>IF(C18="","",('Precio Mayorista'!$D$100*INDEX('Informacion del AEP'!$D$90:$AE$108,MATCH(C18,'Informacion del AEP'!$C$90:$C$108,0),MATCH($C$10,'Informacion del AEP'!$D$89:$AE$89,0))*INDEX('Informacion del AEP'!$F$169:$F$187,MATCH(C18,'Informacion del AEP'!$C$169:$C$187,0))))</f>
        <v>0</v>
      </c>
      <c r="N18" s="209">
        <f>INDEX('Precio Mayorista'!$D$76:$D$94,MATCH('Pagos Mayoristas'!C18,'Precio Mayorista'!$G$76:$G$94,0))*INDEX('Informacion del AEP'!$F$90:$AE$108,MATCH('Pagos Mayoristas'!C18,'Informacion del AEP'!$C$90:$C$108,0),MATCH('Pagos Mayoristas'!$C$10,'Informacion del AEP'!$F$89:$AE$89,0))</f>
        <v>65000000</v>
      </c>
    </row>
    <row r="19" spans="2:14" x14ac:dyDescent="0.25">
      <c r="B19"/>
      <c r="C19" s="5" t="str">
        <f>IF(Supuestos!B56="","",Supuestos!B56)</f>
        <v>Originación voz internacional Mundial Centroamérica</v>
      </c>
      <c r="D19" s="78">
        <f>INDEX('Informacion del AEP'!$F$90:$AE$108,MATCH('Pagos Mayoristas'!$C19,'Informacion del AEP'!$C$90:$C$108,0),MATCH('Pagos Mayoristas'!C$10,'Informacion del AEP'!$F$89:$AE$89,0))*INDEX('Hoja Auxiliar'!$D$40:$D$58,MATCH('Pagos Mayoristas'!$C19,'Hoja Auxiliar'!$C$40:$C$58,0))</f>
        <v>90000</v>
      </c>
      <c r="F19" s="238">
        <f>IF(C19="","",('Precio Mayorista'!$D$100*INDEX('Informacion del AEP'!$D$90:$AE$108,MATCH(C19,'Informacion del AEP'!$C$90:$C$108,0),MATCH($C$10,'Informacion del AEP'!$D$89:$AE$89,0))*INDEX('Informacion del AEP'!$F$169:$F$187,MATCH(C19,'Informacion del AEP'!$C$169:$C$187,0))))</f>
        <v>0</v>
      </c>
      <c r="N19" s="209">
        <f>INDEX('Precio Mayorista'!$D$76:$D$94,MATCH('Pagos Mayoristas'!C19,'Precio Mayorista'!$G$76:$G$94,0))*INDEX('Informacion del AEP'!$F$90:$AE$108,MATCH('Pagos Mayoristas'!C19,'Informacion del AEP'!$C$90:$C$108,0),MATCH('Pagos Mayoristas'!$C$10,'Informacion del AEP'!$F$89:$AE$89,0))</f>
        <v>7500000</v>
      </c>
    </row>
    <row r="20" spans="2:14" x14ac:dyDescent="0.25">
      <c r="B20"/>
      <c r="C20" s="5" t="str">
        <f>IF(Supuestos!B57="","",Supuestos!B57)</f>
        <v>Originación voz internacional Mundial LATAM y Caribe</v>
      </c>
      <c r="D20" s="78">
        <f>INDEX('Informacion del AEP'!$F$90:$AE$108,MATCH('Pagos Mayoristas'!$C20,'Informacion del AEP'!$C$90:$C$108,0),MATCH('Pagos Mayoristas'!C$10,'Informacion del AEP'!$F$89:$AE$89,0))*INDEX('Hoja Auxiliar'!$D$40:$D$58,MATCH('Pagos Mayoristas'!$C20,'Hoja Auxiliar'!$C$40:$C$58,0))</f>
        <v>6000</v>
      </c>
      <c r="F20" s="238">
        <f>IF(C20="","",('Precio Mayorista'!$D$100*INDEX('Informacion del AEP'!$D$90:$AE$108,MATCH(C20,'Informacion del AEP'!$C$90:$C$108,0),MATCH($C$10,'Informacion del AEP'!$D$89:$AE$89,0))*INDEX('Informacion del AEP'!$F$169:$F$187,MATCH(C20,'Informacion del AEP'!$C$169:$C$187,0))))</f>
        <v>0</v>
      </c>
      <c r="N20" s="209">
        <f>INDEX('Precio Mayorista'!$D$76:$D$94,MATCH('Pagos Mayoristas'!C20,'Precio Mayorista'!$G$76:$G$94,0))*INDEX('Informacion del AEP'!$F$90:$AE$108,MATCH('Pagos Mayoristas'!C20,'Informacion del AEP'!$C$90:$C$108,0),MATCH('Pagos Mayoristas'!$C$10,'Informacion del AEP'!$F$89:$AE$89,0))</f>
        <v>1000000</v>
      </c>
    </row>
    <row r="21" spans="2:14" x14ac:dyDescent="0.25">
      <c r="B21"/>
      <c r="C21" s="5" t="str">
        <f>IF(Supuestos!B58="","",Supuestos!B58)</f>
        <v>Originación voz internacional Europa</v>
      </c>
      <c r="D21" s="78">
        <f>INDEX('Informacion del AEP'!$F$90:$AE$108,MATCH('Pagos Mayoristas'!$C21,'Informacion del AEP'!$C$90:$C$108,0),MATCH('Pagos Mayoristas'!C$10,'Informacion del AEP'!$F$89:$AE$89,0))*INDEX('Hoja Auxiliar'!$D$40:$D$58,MATCH('Pagos Mayoristas'!$C21,'Hoja Auxiliar'!$C$40:$C$58,0))</f>
        <v>0</v>
      </c>
      <c r="F21" s="238">
        <f>IF(C21="","",('Precio Mayorista'!$D$100*INDEX('Informacion del AEP'!$D$90:$AE$108,MATCH(C21,'Informacion del AEP'!$C$90:$C$108,0),MATCH($C$10,'Informacion del AEP'!$D$89:$AE$89,0))*INDEX('Informacion del AEP'!$F$169:$F$187,MATCH(C21,'Informacion del AEP'!$C$169:$C$187,0))))</f>
        <v>0</v>
      </c>
      <c r="N21" s="209">
        <f>INDEX('Precio Mayorista'!$D$76:$D$94,MATCH('Pagos Mayoristas'!C21,'Precio Mayorista'!$G$76:$G$94,0))*INDEX('Informacion del AEP'!$F$90:$AE$108,MATCH('Pagos Mayoristas'!C21,'Informacion del AEP'!$C$90:$C$108,0),MATCH('Pagos Mayoristas'!$C$10,'Informacion del AEP'!$F$89:$AE$89,0))</f>
        <v>0</v>
      </c>
    </row>
    <row r="22" spans="2:14" x14ac:dyDescent="0.25">
      <c r="B22"/>
      <c r="C22" s="5" t="str">
        <f>IF(Supuestos!B59="","",Supuestos!B59)</f>
        <v>Originación voz internacional Mundial Otros geográficos</v>
      </c>
      <c r="D22" s="78">
        <f>INDEX('Informacion del AEP'!$F$90:$AE$108,MATCH('Pagos Mayoristas'!$C22,'Informacion del AEP'!$C$90:$C$108,0),MATCH('Pagos Mayoristas'!C$10,'Informacion del AEP'!$F$89:$AE$89,0))*INDEX('Hoja Auxiliar'!$D$40:$D$58,MATCH('Pagos Mayoristas'!$C22,'Hoja Auxiliar'!$C$40:$C$58,0))</f>
        <v>300000</v>
      </c>
      <c r="F22" s="238">
        <f>IF(C22="","",('Precio Mayorista'!$D$100*INDEX('Informacion del AEP'!$D$90:$AE$108,MATCH(C22,'Informacion del AEP'!$C$90:$C$108,0),MATCH($C$10,'Informacion del AEP'!$D$89:$AE$89,0))*INDEX('Informacion del AEP'!$F$169:$F$187,MATCH(C22,'Informacion del AEP'!$C$169:$C$187,0))))</f>
        <v>0</v>
      </c>
      <c r="N22" s="209">
        <f>INDEX('Precio Mayorista'!$D$76:$D$94,MATCH('Pagos Mayoristas'!C22,'Precio Mayorista'!$G$76:$G$94,0))*INDEX('Informacion del AEP'!$F$90:$AE$108,MATCH('Pagos Mayoristas'!C22,'Informacion del AEP'!$C$90:$C$108,0),MATCH('Pagos Mayoristas'!$C$10,'Informacion del AEP'!$F$89:$AE$89,0))</f>
        <v>50000000</v>
      </c>
    </row>
    <row r="23" spans="2:14" x14ac:dyDescent="0.25">
      <c r="B23"/>
      <c r="C23" s="5" t="str">
        <f>IF(Supuestos!B60="","",Supuestos!B60)</f>
        <v>Originación voz internacional Cuba</v>
      </c>
      <c r="D23" s="78">
        <f>INDEX('Informacion del AEP'!$F$90:$AE$108,MATCH('Pagos Mayoristas'!$C23,'Informacion del AEP'!$C$90:$C$108,0),MATCH('Pagos Mayoristas'!C$10,'Informacion del AEP'!$F$89:$AE$89,0))*INDEX('Hoja Auxiliar'!$D$40:$D$58,MATCH('Pagos Mayoristas'!$C23,'Hoja Auxiliar'!$C$40:$C$58,0))</f>
        <v>15000</v>
      </c>
      <c r="F23" s="238">
        <f>IF(C23="","",('Precio Mayorista'!$D$100*INDEX('Informacion del AEP'!$D$90:$AE$108,MATCH(C23,'Informacion del AEP'!$C$90:$C$108,0),MATCH($C$10,'Informacion del AEP'!$D$89:$AE$89,0))*INDEX('Informacion del AEP'!$F$169:$F$187,MATCH(C23,'Informacion del AEP'!$C$169:$C$187,0))))</f>
        <v>0</v>
      </c>
      <c r="N23" s="209">
        <f>INDEX('Precio Mayorista'!$D$76:$D$94,MATCH('Pagos Mayoristas'!C23,'Precio Mayorista'!$G$76:$G$94,0))*INDEX('Informacion del AEP'!$F$90:$AE$108,MATCH('Pagos Mayoristas'!C23,'Informacion del AEP'!$C$90:$C$108,0),MATCH('Pagos Mayoristas'!$C$10,'Informacion del AEP'!$F$89:$AE$89,0))</f>
        <v>7500000</v>
      </c>
    </row>
    <row r="24" spans="2:14" x14ac:dyDescent="0.25">
      <c r="B24"/>
      <c r="C24" s="5" t="str">
        <f>IF(Supuestos!B61="","",Supuestos!B61)</f>
        <v>Originación voz Mundial destinos no geográficos</v>
      </c>
      <c r="D24" s="78">
        <f>INDEX('Informacion del AEP'!$F$90:$AE$108,MATCH('Pagos Mayoristas'!$C24,'Informacion del AEP'!$C$90:$C$108,0),MATCH('Pagos Mayoristas'!C$10,'Informacion del AEP'!$F$89:$AE$89,0))*INDEX('Hoja Auxiliar'!$D$40:$D$58,MATCH('Pagos Mayoristas'!$C24,'Hoja Auxiliar'!$C$40:$C$58,0))</f>
        <v>0</v>
      </c>
      <c r="F24" s="238">
        <f>IF(C24="","",('Precio Mayorista'!$D$100*INDEX('Informacion del AEP'!$D$90:$AE$108,MATCH(C24,'Informacion del AEP'!$C$90:$C$108,0),MATCH($C$10,'Informacion del AEP'!$D$89:$AE$89,0))*INDEX('Informacion del AEP'!$F$169:$F$187,MATCH(C24,'Informacion del AEP'!$C$169:$C$187,0))))</f>
        <v>0</v>
      </c>
      <c r="N24" s="209">
        <f>INDEX('Precio Mayorista'!$D$76:$D$94,MATCH('Pagos Mayoristas'!C24,'Precio Mayorista'!$G$76:$G$94,0))*INDEX('Informacion del AEP'!$F$90:$AE$108,MATCH('Pagos Mayoristas'!C24,'Informacion del AEP'!$C$90:$C$108,0),MATCH('Pagos Mayoristas'!$C$10,'Informacion del AEP'!$F$89:$AE$89,0))</f>
        <v>0</v>
      </c>
    </row>
    <row r="25" spans="2:14" x14ac:dyDescent="0.25">
      <c r="B25"/>
      <c r="C25" s="5" t="str">
        <f>IF(Supuestos!B62="","",Supuestos!B62)</f>
        <v>Originación SMS on-net</v>
      </c>
      <c r="D25" s="78">
        <f>INDEX('Informacion del AEP'!$F$90:$AE$108,MATCH('Pagos Mayoristas'!$C25,'Informacion del AEP'!$C$90:$C$108,0),MATCH('Pagos Mayoristas'!C$10,'Informacion del AEP'!$F$89:$AE$89,0))*INDEX('Hoja Auxiliar'!$D$40:$D$58,MATCH('Pagos Mayoristas'!$C25,'Hoja Auxiliar'!$C$40:$C$58,0))</f>
        <v>30000000</v>
      </c>
      <c r="F25" s="238">
        <f>IF(C25="","",('Precio Mayorista'!$D$100*INDEX('Informacion del AEP'!$D$90:$AE$108,MATCH(C25,'Informacion del AEP'!$C$90:$C$108,0),MATCH($C$10,'Informacion del AEP'!$D$89:$AE$89,0))*INDEX('Informacion del AEP'!$F$169:$F$187,MATCH(C25,'Informacion del AEP'!$C$169:$C$187,0))))</f>
        <v>0</v>
      </c>
      <c r="N25" s="209">
        <f>INDEX('Precio Mayorista'!$D$76:$D$94,MATCH('Pagos Mayoristas'!C25,'Precio Mayorista'!$G$76:$G$94,0))*INDEX('Informacion del AEP'!$F$90:$AE$108,MATCH('Pagos Mayoristas'!C25,'Informacion del AEP'!$C$90:$C$108,0),MATCH('Pagos Mayoristas'!$C$10,'Informacion del AEP'!$F$89:$AE$89,0))</f>
        <v>0</v>
      </c>
    </row>
    <row r="26" spans="2:14" x14ac:dyDescent="0.25">
      <c r="B26"/>
      <c r="C26" s="5" t="str">
        <f>IF(Supuestos!B63="","",Supuestos!B63)</f>
        <v>Originación SMS - off-net nacional</v>
      </c>
      <c r="D26" s="78">
        <f>INDEX('Informacion del AEP'!$F$90:$AE$108,MATCH('Pagos Mayoristas'!$C26,'Informacion del AEP'!$C$90:$C$108,0),MATCH('Pagos Mayoristas'!C$10,'Informacion del AEP'!$F$89:$AE$89,0))*INDEX('Hoja Auxiliar'!$D$40:$D$58,MATCH('Pagos Mayoristas'!$C26,'Hoja Auxiliar'!$C$40:$C$58,0))</f>
        <v>7500000</v>
      </c>
      <c r="F26" s="238">
        <f>IF(C26="","",('Precio Mayorista'!$D$100*INDEX('Informacion del AEP'!$D$90:$AE$108,MATCH(C26,'Informacion del AEP'!$C$90:$C$108,0),MATCH($C$10,'Informacion del AEP'!$D$89:$AE$89,0))*INDEX('Informacion del AEP'!$F$169:$F$187,MATCH(C26,'Informacion del AEP'!$C$169:$C$187,0))))</f>
        <v>0</v>
      </c>
      <c r="N26" s="209">
        <f>INDEX('Precio Mayorista'!$D$76:$D$94,MATCH('Pagos Mayoristas'!C26,'Precio Mayorista'!$G$76:$G$94,0))*INDEX('Informacion del AEP'!$F$90:$AE$108,MATCH('Pagos Mayoristas'!C26,'Informacion del AEP'!$C$90:$C$108,0),MATCH('Pagos Mayoristas'!$C$10,'Informacion del AEP'!$F$89:$AE$89,0))</f>
        <v>4636000</v>
      </c>
    </row>
    <row r="27" spans="2:14" x14ac:dyDescent="0.25">
      <c r="B27"/>
      <c r="C27" s="5" t="str">
        <f>IF(Supuestos!B64="","",Supuestos!B64)</f>
        <v>Originación SMS internacional (USA-Canadá)</v>
      </c>
      <c r="D27" s="78">
        <f>INDEX('Informacion del AEP'!$F$90:$AE$108,MATCH('Pagos Mayoristas'!$C27,'Informacion del AEP'!$C$90:$C$108,0),MATCH('Pagos Mayoristas'!C$10,'Informacion del AEP'!$F$89:$AE$89,0))*INDEX('Hoja Auxiliar'!$D$40:$D$58,MATCH('Pagos Mayoristas'!$C27,'Hoja Auxiliar'!$C$40:$C$58,0))</f>
        <v>1500000</v>
      </c>
      <c r="F27" s="238">
        <f>IF(C27="","",('Precio Mayorista'!$D$100*INDEX('Informacion del AEP'!$D$90:$AE$108,MATCH(C27,'Informacion del AEP'!$C$90:$C$108,0),MATCH($C$10,'Informacion del AEP'!$D$89:$AE$89,0))*INDEX('Informacion del AEP'!$F$169:$F$187,MATCH(C27,'Informacion del AEP'!$C$169:$C$187,0))))</f>
        <v>0</v>
      </c>
      <c r="N27" s="209">
        <f>INDEX('Precio Mayorista'!$D$76:$D$94,MATCH('Pagos Mayoristas'!C27,'Precio Mayorista'!$G$76:$G$94,0))*INDEX('Informacion del AEP'!$F$90:$AE$108,MATCH('Pagos Mayoristas'!C27,'Informacion del AEP'!$C$90:$C$108,0),MATCH('Pagos Mayoristas'!$C$10,'Informacion del AEP'!$F$89:$AE$89,0))</f>
        <v>50000000</v>
      </c>
    </row>
    <row r="28" spans="2:14" x14ac:dyDescent="0.25">
      <c r="B28"/>
      <c r="C28" s="5" t="str">
        <f>IF(Supuestos!B65="","",Supuestos!B65)</f>
        <v>Originación SMS internacional (Resto del Mundo)</v>
      </c>
      <c r="D28" s="78">
        <f>INDEX('Informacion del AEP'!$F$90:$AE$108,MATCH('Pagos Mayoristas'!$C28,'Informacion del AEP'!$C$90:$C$108,0),MATCH('Pagos Mayoristas'!C$10,'Informacion del AEP'!$F$89:$AE$89,0))*INDEX('Hoja Auxiliar'!$D$40:$D$58,MATCH('Pagos Mayoristas'!$C28,'Hoja Auxiliar'!$C$40:$C$58,0))</f>
        <v>150000</v>
      </c>
      <c r="F28" s="238">
        <f>IF(C28="","",('Precio Mayorista'!$D$100*INDEX('Informacion del AEP'!$D$90:$AE$108,MATCH(C28,'Informacion del AEP'!$C$90:$C$108,0),MATCH($C$10,'Informacion del AEP'!$D$89:$AE$89,0))*INDEX('Informacion del AEP'!$F$169:$F$187,MATCH(C28,'Informacion del AEP'!$C$169:$C$187,0))))</f>
        <v>0</v>
      </c>
      <c r="N28" s="209">
        <f>INDEX('Precio Mayorista'!$D$76:$D$94,MATCH('Pagos Mayoristas'!C28,'Precio Mayorista'!$G$76:$G$94,0))*INDEX('Informacion del AEP'!$F$90:$AE$108,MATCH('Pagos Mayoristas'!C28,'Informacion del AEP'!$C$90:$C$108,0),MATCH('Pagos Mayoristas'!$C$10,'Informacion del AEP'!$F$89:$AE$89,0))</f>
        <v>7500000</v>
      </c>
    </row>
    <row r="29" spans="2:14" x14ac:dyDescent="0.25">
      <c r="C29" s="5" t="str">
        <f>IF(Supuestos!B66="","",Supuestos!B66)</f>
        <v>Otros servicios (incluyendo marcaciones especiales)</v>
      </c>
      <c r="D29" s="78">
        <f>INDEX('Informacion del AEP'!$F$90:$AE$108,MATCH('Pagos Mayoristas'!$C29,'Informacion del AEP'!$C$90:$C$108,0),MATCH('Pagos Mayoristas'!C$10,'Informacion del AEP'!$F$89:$AE$89,0))*INDEX('Hoja Auxiliar'!$D$40:$D$58,MATCH('Pagos Mayoristas'!$C29,'Hoja Auxiliar'!$C$40:$C$58,0))</f>
        <v>150000000</v>
      </c>
      <c r="F29" s="238">
        <f>IF(C29="","",('Precio Mayorista'!$D$100*INDEX('Informacion del AEP'!$D$90:$AE$108,MATCH(C29,'Informacion del AEP'!$C$90:$C$108,0),MATCH($C$10,'Informacion del AEP'!$D$89:$AE$89,0))*INDEX('Informacion del AEP'!$F$169:$F$187,MATCH(C29,'Informacion del AEP'!$C$169:$C$187,0))))</f>
        <v>0</v>
      </c>
      <c r="N29" s="209">
        <f>INDEX('Precio Mayorista'!$D$76:$D$94,MATCH('Pagos Mayoristas'!C29,'Precio Mayorista'!$G$76:$G$94,0))*INDEX('Informacion del AEP'!$F$90:$AE$108,MATCH('Pagos Mayoristas'!C29,'Informacion del AEP'!$C$90:$C$108,0),MATCH('Pagos Mayoristas'!$C$10,'Informacion del AEP'!$F$89:$AE$89,0))</f>
        <v>0</v>
      </c>
    </row>
    <row r="30" spans="2:14" x14ac:dyDescent="0.25">
      <c r="D30" s="78"/>
      <c r="F30" s="78"/>
    </row>
    <row r="31" spans="2:14" s="242" customFormat="1" ht="13" x14ac:dyDescent="0.3">
      <c r="C31" s="243"/>
      <c r="D31" s="244"/>
      <c r="F31" s="245"/>
    </row>
    <row r="32" spans="2:14" s="242" customFormat="1" x14ac:dyDescent="0.25">
      <c r="F32" s="245"/>
    </row>
    <row r="33" spans="3:19" s="242" customFormat="1" x14ac:dyDescent="0.25">
      <c r="F33" s="212"/>
    </row>
    <row r="34" spans="3:19" s="242" customFormat="1" x14ac:dyDescent="0.25"/>
    <row r="35" spans="3:19" x14ac:dyDescent="0.25">
      <c r="D35" s="78"/>
    </row>
    <row r="36" spans="3:19" ht="13" x14ac:dyDescent="0.3">
      <c r="C36" s="74" t="str">
        <f>Supuestos!$B$76</f>
        <v>Segmento Prepago</v>
      </c>
      <c r="D36" s="77">
        <f>SUM(D37:D55)</f>
        <v>719568300</v>
      </c>
      <c r="E36" s="75"/>
      <c r="F36" s="77">
        <f>SUM(F37:F55)</f>
        <v>0</v>
      </c>
      <c r="G36" s="75"/>
      <c r="H36" s="75"/>
      <c r="I36" s="77">
        <f>INDEX('Informacion del AEP'!$H$31:$H$84,MATCH('Pagos Mayoristas'!C36,'Informacion del AEP'!$C$31:$C$84,0))*'Hoja Auxiliar'!$D$61</f>
        <v>24750000</v>
      </c>
      <c r="J36" s="77"/>
      <c r="K36" s="77"/>
      <c r="L36" s="204">
        <f>$L$10*(INDEX('Informacion del AEP'!$F$12:$AE$12,MATCH('Pagos Mayoristas'!C36,'Informacion del AEP'!$F$11:$AE$11,0))/INDEX('Informacion del AEP'!$F$12:$AE$12,MATCH('Pagos Mayoristas'!$C$10,'Informacion del AEP'!$F$11:$AE$11,0)))</f>
        <v>364457.8313253012</v>
      </c>
      <c r="M36" s="204"/>
      <c r="N36" s="77">
        <f>SUM(N37:N55)</f>
        <v>103777200</v>
      </c>
      <c r="O36" s="204">
        <f>SUM(D36:N36)</f>
        <v>848459957.83132529</v>
      </c>
      <c r="P36" s="80"/>
      <c r="Q36" s="80"/>
      <c r="R36" s="38"/>
      <c r="S36" s="38"/>
    </row>
    <row r="37" spans="3:19" x14ac:dyDescent="0.25">
      <c r="C37" s="5" t="str">
        <f>IF(Supuestos!B48="","",Supuestos!B48)</f>
        <v>Datos</v>
      </c>
      <c r="D37" s="78">
        <f>INDEX('Informacion del AEP'!$F$90:$AE$108,MATCH('Pagos Mayoristas'!$C37,'Informacion del AEP'!$C$90:$C$108,0),MATCH('Pagos Mayoristas'!C$36,'Informacion del AEP'!$F$89:$AE$89,0))*INDEX('Hoja Auxiliar'!$D$40:$D$58,MATCH('Pagos Mayoristas'!$C37,'Hoja Auxiliar'!$C$40:$C$58,0))</f>
        <v>381000000</v>
      </c>
      <c r="F37" s="238">
        <f>IF(C37="","",('Precio Mayorista'!$D$100*INDEX('Informacion del AEP'!$D$90:$AE$108,MATCH(C37,'Informacion del AEP'!$C$90:$C$108,0),MATCH($C$36,'Informacion del AEP'!$D$89:$AE$89,0))*INDEX('Informacion del AEP'!$F$169:$F$187,MATCH(C37,'Informacion del AEP'!$C$169:$C$187,0))))</f>
        <v>0</v>
      </c>
      <c r="N37" s="209">
        <f>INDEX('Precio Mayorista'!$D$76:$D$94,MATCH('Pagos Mayoristas'!C37,'Precio Mayorista'!$G$76:$G$94,0))*INDEX('Informacion del AEP'!$F$90:$AE$108,MATCH('Pagos Mayoristas'!C37,'Informacion del AEP'!$C$90:$C$108,0),MATCH('Pagos Mayoristas'!$C$36,'Informacion del AEP'!$F$89:$AE$89,0))</f>
        <v>0</v>
      </c>
    </row>
    <row r="38" spans="3:19" x14ac:dyDescent="0.25">
      <c r="C38" s="5" t="str">
        <f>IF(Supuestos!B49="","",Supuestos!B49)</f>
        <v>Originación voz on-net local</v>
      </c>
      <c r="D38" s="78">
        <f>INDEX('Informacion del AEP'!$F$90:$AE$108,MATCH('Pagos Mayoristas'!$C38,'Informacion del AEP'!$C$90:$C$108,0),MATCH('Pagos Mayoristas'!C$36,'Informacion del AEP'!$F$89:$AE$89,0))*INDEX('Hoja Auxiliar'!$D$40:$D$58,MATCH('Pagos Mayoristas'!$C38,'Hoja Auxiliar'!$C$40:$C$58,0))</f>
        <v>90000000</v>
      </c>
      <c r="F38" s="238">
        <f>IF(C38="","",('Precio Mayorista'!$D$100*INDEX('Informacion del AEP'!$D$90:$AE$108,MATCH(C38,'Informacion del AEP'!$C$90:$C$108,0),MATCH($C$36,'Informacion del AEP'!$D$89:$AE$89,0))*INDEX('Informacion del AEP'!$F$169:$F$187,MATCH(C38,'Informacion del AEP'!$C$169:$C$187,0))))</f>
        <v>0</v>
      </c>
      <c r="N38" s="209">
        <f>INDEX('Precio Mayorista'!$D$76:$D$94,MATCH('Pagos Mayoristas'!C38,'Precio Mayorista'!$G$76:$G$94,0))*INDEX('Informacion del AEP'!$F$90:$AE$108,MATCH('Pagos Mayoristas'!C38,'Informacion del AEP'!$C$90:$C$108,0),MATCH('Pagos Mayoristas'!$C$36,'Informacion del AEP'!$F$89:$AE$89,0))</f>
        <v>0</v>
      </c>
    </row>
    <row r="39" spans="3:19" x14ac:dyDescent="0.25">
      <c r="C39" s="5" t="str">
        <f>IF(Supuestos!B50="","",Supuestos!B50)</f>
        <v>Originación voz off-net móvil local</v>
      </c>
      <c r="D39" s="78">
        <f>INDEX('Informacion del AEP'!$F$90:$AE$108,MATCH('Pagos Mayoristas'!$C39,'Informacion del AEP'!$C$90:$C$108,0),MATCH('Pagos Mayoristas'!C$36,'Informacion del AEP'!$F$89:$AE$89,0))*INDEX('Hoja Auxiliar'!$D$40:$D$58,MATCH('Pagos Mayoristas'!$C39,'Hoja Auxiliar'!$C$40:$C$58,0))</f>
        <v>18000000</v>
      </c>
      <c r="F39" s="238">
        <f>IF(C39="","",('Precio Mayorista'!$D$100*INDEX('Informacion del AEP'!$D$90:$AE$108,MATCH(C39,'Informacion del AEP'!$C$90:$C$108,0),MATCH($C$36,'Informacion del AEP'!$D$89:$AE$89,0))*INDEX('Informacion del AEP'!$F$169:$F$187,MATCH(C39,'Informacion del AEP'!$C$169:$C$187,0))))</f>
        <v>0</v>
      </c>
      <c r="N39" s="209">
        <f>INDEX('Precio Mayorista'!$D$76:$D$94,MATCH('Pagos Mayoristas'!C39,'Precio Mayorista'!$G$76:$G$94,0))*INDEX('Informacion del AEP'!$F$90:$AE$108,MATCH('Pagos Mayoristas'!C39,'Informacion del AEP'!$C$90:$C$108,0),MATCH('Pagos Mayoristas'!$C$36,'Informacion del AEP'!$F$89:$AE$89,0))</f>
        <v>25332600</v>
      </c>
    </row>
    <row r="40" spans="3:19" x14ac:dyDescent="0.25">
      <c r="C40" s="5" t="str">
        <f>IF(Supuestos!B51="","",Supuestos!B51)</f>
        <v>Originación voz off-net fijo local</v>
      </c>
      <c r="D40" s="78">
        <f>INDEX('Informacion del AEP'!$F$90:$AE$108,MATCH('Pagos Mayoristas'!$C40,'Informacion del AEP'!$C$90:$C$108,0),MATCH('Pagos Mayoristas'!C$36,'Informacion del AEP'!$F$89:$AE$89,0))*INDEX('Hoja Auxiliar'!$D$40:$D$58,MATCH('Pagos Mayoristas'!$C40,'Hoja Auxiliar'!$C$40:$C$58,0))</f>
        <v>9000000</v>
      </c>
      <c r="F40" s="238">
        <f>IF(C40="","",('Precio Mayorista'!$D$100*INDEX('Informacion del AEP'!$D$90:$AE$108,MATCH(C40,'Informacion del AEP'!$C$90:$C$108,0),MATCH($C$36,'Informacion del AEP'!$D$89:$AE$89,0))*INDEX('Informacion del AEP'!$F$169:$F$187,MATCH(C40,'Informacion del AEP'!$C$169:$C$187,0))))</f>
        <v>0</v>
      </c>
      <c r="N40" s="209">
        <f>INDEX('Precio Mayorista'!$D$76:$D$94,MATCH('Pagos Mayoristas'!C40,'Precio Mayorista'!$G$76:$G$94,0))*INDEX('Informacion del AEP'!$F$90:$AE$108,MATCH('Pagos Mayoristas'!C40,'Informacion del AEP'!$C$90:$C$108,0),MATCH('Pagos Mayoristas'!$C$36,'Informacion del AEP'!$F$89:$AE$89,0))</f>
        <v>1002900</v>
      </c>
    </row>
    <row r="41" spans="3:19" x14ac:dyDescent="0.25">
      <c r="C41" s="5" t="str">
        <f>IF(Supuestos!B52="","",Supuestos!B52)</f>
        <v>Originación voz on-net LDN</v>
      </c>
      <c r="D41" s="78">
        <f>INDEX('Informacion del AEP'!$F$90:$AE$108,MATCH('Pagos Mayoristas'!$C41,'Informacion del AEP'!$C$90:$C$108,0),MATCH('Pagos Mayoristas'!C$36,'Informacion del AEP'!$F$89:$AE$89,0))*INDEX('Hoja Auxiliar'!$D$40:$D$58,MATCH('Pagos Mayoristas'!$C41,'Hoja Auxiliar'!$C$40:$C$58,0))</f>
        <v>135000000</v>
      </c>
      <c r="F41" s="238">
        <f>IF(C41="","",('Precio Mayorista'!$D$100*INDEX('Informacion del AEP'!$D$90:$AE$108,MATCH(C41,'Informacion del AEP'!$C$90:$C$108,0),MATCH($C$36,'Informacion del AEP'!$D$89:$AE$89,0))*INDEX('Informacion del AEP'!$F$169:$F$187,MATCH(C41,'Informacion del AEP'!$C$169:$C$187,0))))</f>
        <v>0</v>
      </c>
      <c r="N41" s="209">
        <f>INDEX('Precio Mayorista'!$D$76:$D$94,MATCH('Pagos Mayoristas'!C41,'Precio Mayorista'!$G$76:$G$94,0))*INDEX('Informacion del AEP'!$F$90:$AE$108,MATCH('Pagos Mayoristas'!C41,'Informacion del AEP'!$C$90:$C$108,0),MATCH('Pagos Mayoristas'!$C$36,'Informacion del AEP'!$F$89:$AE$89,0))</f>
        <v>0</v>
      </c>
    </row>
    <row r="42" spans="3:19" x14ac:dyDescent="0.25">
      <c r="C42" s="5" t="str">
        <f>IF(Supuestos!B53="","",Supuestos!B53)</f>
        <v>Originación voz off-net móvil LDN</v>
      </c>
      <c r="D42" s="78">
        <f>INDEX('Informacion del AEP'!$F$90:$AE$108,MATCH('Pagos Mayoristas'!$C42,'Informacion del AEP'!$C$90:$C$108,0),MATCH('Pagos Mayoristas'!C$36,'Informacion del AEP'!$F$89:$AE$89,0))*INDEX('Hoja Auxiliar'!$D$40:$D$58,MATCH('Pagos Mayoristas'!$C42,'Hoja Auxiliar'!$C$40:$C$58,0))</f>
        <v>13500000</v>
      </c>
      <c r="F42" s="238">
        <f>IF(C42="","",('Precio Mayorista'!$D$100*INDEX('Informacion del AEP'!$D$90:$AE$108,MATCH(C42,'Informacion del AEP'!$C$90:$C$108,0),MATCH($C$36,'Informacion del AEP'!$D$89:$AE$89,0))*INDEX('Informacion del AEP'!$F$169:$F$187,MATCH(C42,'Informacion del AEP'!$C$169:$C$187,0))))</f>
        <v>0</v>
      </c>
      <c r="N42" s="209">
        <f>INDEX('Precio Mayorista'!$D$76:$D$94,MATCH('Pagos Mayoristas'!C42,'Precio Mayorista'!$G$76:$G$94,0))*INDEX('Informacion del AEP'!$F$90:$AE$108,MATCH('Pagos Mayoristas'!C42,'Informacion del AEP'!$C$90:$C$108,0),MATCH('Pagos Mayoristas'!$C$36,'Informacion del AEP'!$F$89:$AE$89,0))</f>
        <v>18999450</v>
      </c>
    </row>
    <row r="43" spans="3:19" x14ac:dyDescent="0.25">
      <c r="C43" s="5" t="str">
        <f>IF(Supuestos!B54="","",Supuestos!B54)</f>
        <v>Originación voz off-net fijo LDN</v>
      </c>
      <c r="D43" s="78">
        <f>INDEX('Informacion del AEP'!$F$90:$AE$108,MATCH('Pagos Mayoristas'!$C43,'Informacion del AEP'!$C$90:$C$108,0),MATCH('Pagos Mayoristas'!C$36,'Informacion del AEP'!$F$89:$AE$89,0))*INDEX('Hoja Auxiliar'!$D$40:$D$58,MATCH('Pagos Mayoristas'!$C43,'Hoja Auxiliar'!$C$40:$C$58,0))</f>
        <v>4500000</v>
      </c>
      <c r="F43" s="238">
        <f>IF(C43="","",('Precio Mayorista'!$D$100*INDEX('Informacion del AEP'!$D$90:$AE$108,MATCH(C43,'Informacion del AEP'!$C$90:$C$108,0),MATCH($C$36,'Informacion del AEP'!$D$89:$AE$89,0))*INDEX('Informacion del AEP'!$F$169:$F$187,MATCH(C43,'Informacion del AEP'!$C$169:$C$187,0))))</f>
        <v>0</v>
      </c>
      <c r="N43" s="209">
        <f>INDEX('Precio Mayorista'!$D$76:$D$94,MATCH('Pagos Mayoristas'!C43,'Precio Mayorista'!$G$76:$G$94,0))*INDEX('Informacion del AEP'!$F$90:$AE$108,MATCH('Pagos Mayoristas'!C43,'Informacion del AEP'!$C$90:$C$108,0),MATCH('Pagos Mayoristas'!$C$36,'Informacion del AEP'!$F$89:$AE$89,0))</f>
        <v>501450</v>
      </c>
    </row>
    <row r="44" spans="3:19" x14ac:dyDescent="0.25">
      <c r="C44" s="5" t="str">
        <f>IF(Supuestos!B55="","",Supuestos!B55)</f>
        <v>Originación voz internacional USA-Canadá</v>
      </c>
      <c r="D44" s="78">
        <f>INDEX('Informacion del AEP'!$F$90:$AE$108,MATCH('Pagos Mayoristas'!$C44,'Informacion del AEP'!$C$90:$C$108,0),MATCH('Pagos Mayoristas'!C$36,'Informacion del AEP'!$F$89:$AE$89,0))*INDEX('Hoja Auxiliar'!$D$40:$D$58,MATCH('Pagos Mayoristas'!$C44,'Hoja Auxiliar'!$C$40:$C$58,0))</f>
        <v>11700000</v>
      </c>
      <c r="F44" s="238">
        <f>IF(C44="","",('Precio Mayorista'!$D$100*INDEX('Informacion del AEP'!$D$90:$AE$108,MATCH(C44,'Informacion del AEP'!$C$90:$C$108,0),MATCH($C$36,'Informacion del AEP'!$D$89:$AE$89,0))*INDEX('Informacion del AEP'!$F$169:$F$187,MATCH(C44,'Informacion del AEP'!$C$169:$C$187,0))))</f>
        <v>0</v>
      </c>
      <c r="N44" s="209">
        <f>INDEX('Precio Mayorista'!$D$76:$D$94,MATCH('Pagos Mayoristas'!C44,'Precio Mayorista'!$G$76:$G$94,0))*INDEX('Informacion del AEP'!$F$90:$AE$108,MATCH('Pagos Mayoristas'!C44,'Informacion del AEP'!$C$90:$C$108,0),MATCH('Pagos Mayoristas'!$C$36,'Informacion del AEP'!$F$89:$AE$89,0))</f>
        <v>19500000</v>
      </c>
    </row>
    <row r="45" spans="3:19" x14ac:dyDescent="0.25">
      <c r="C45" s="5" t="str">
        <f>IF(Supuestos!B56="","",Supuestos!B56)</f>
        <v>Originación voz internacional Mundial Centroamérica</v>
      </c>
      <c r="D45" s="78">
        <f>INDEX('Informacion del AEP'!$F$90:$AE$108,MATCH('Pagos Mayoristas'!$C45,'Informacion del AEP'!$C$90:$C$108,0),MATCH('Pagos Mayoristas'!C$36,'Informacion del AEP'!$F$89:$AE$89,0))*INDEX('Hoja Auxiliar'!$D$40:$D$58,MATCH('Pagos Mayoristas'!$C45,'Hoja Auxiliar'!$C$40:$C$58,0))</f>
        <v>27000</v>
      </c>
      <c r="F45" s="238">
        <f>IF(C45="","",('Precio Mayorista'!$D$100*INDEX('Informacion del AEP'!$D$90:$AE$108,MATCH(C45,'Informacion del AEP'!$C$90:$C$108,0),MATCH($C$36,'Informacion del AEP'!$D$89:$AE$89,0))*INDEX('Informacion del AEP'!$F$169:$F$187,MATCH(C45,'Informacion del AEP'!$C$169:$C$187,0))))</f>
        <v>0</v>
      </c>
      <c r="N45" s="209">
        <f>INDEX('Precio Mayorista'!$D$76:$D$94,MATCH('Pagos Mayoristas'!C45,'Precio Mayorista'!$G$76:$G$94,0))*INDEX('Informacion del AEP'!$F$90:$AE$108,MATCH('Pagos Mayoristas'!C45,'Informacion del AEP'!$C$90:$C$108,0),MATCH('Pagos Mayoristas'!$C$36,'Informacion del AEP'!$F$89:$AE$89,0))</f>
        <v>2250000</v>
      </c>
    </row>
    <row r="46" spans="3:19" x14ac:dyDescent="0.25">
      <c r="C46" s="5" t="str">
        <f>IF(Supuestos!B57="","",Supuestos!B57)</f>
        <v>Originación voz internacional Mundial LATAM y Caribe</v>
      </c>
      <c r="D46" s="78">
        <f>INDEX('Informacion del AEP'!$F$90:$AE$108,MATCH('Pagos Mayoristas'!$C46,'Informacion del AEP'!$C$90:$C$108,0),MATCH('Pagos Mayoristas'!C$36,'Informacion del AEP'!$F$89:$AE$89,0))*INDEX('Hoja Auxiliar'!$D$40:$D$58,MATCH('Pagos Mayoristas'!$C46,'Hoja Auxiliar'!$C$40:$C$58,0))</f>
        <v>1800</v>
      </c>
      <c r="F46" s="238">
        <f>IF(C46="","",('Precio Mayorista'!$D$100*INDEX('Informacion del AEP'!$D$90:$AE$108,MATCH(C46,'Informacion del AEP'!$C$90:$C$108,0),MATCH($C$36,'Informacion del AEP'!$D$89:$AE$89,0))*INDEX('Informacion del AEP'!$F$169:$F$187,MATCH(C46,'Informacion del AEP'!$C$169:$C$187,0))))</f>
        <v>0</v>
      </c>
      <c r="N46" s="209">
        <f>INDEX('Precio Mayorista'!$D$76:$D$94,MATCH('Pagos Mayoristas'!C46,'Precio Mayorista'!$G$76:$G$94,0))*INDEX('Informacion del AEP'!$F$90:$AE$108,MATCH('Pagos Mayoristas'!C46,'Informacion del AEP'!$C$90:$C$108,0),MATCH('Pagos Mayoristas'!$C$36,'Informacion del AEP'!$F$89:$AE$89,0))</f>
        <v>300000</v>
      </c>
    </row>
    <row r="47" spans="3:19" x14ac:dyDescent="0.25">
      <c r="C47" s="5" t="str">
        <f>IF(Supuestos!B58="","",Supuestos!B58)</f>
        <v>Originación voz internacional Europa</v>
      </c>
      <c r="D47" s="78">
        <f>INDEX('Informacion del AEP'!$F$90:$AE$108,MATCH('Pagos Mayoristas'!$C47,'Informacion del AEP'!$C$90:$C$108,0),MATCH('Pagos Mayoristas'!C$36,'Informacion del AEP'!$F$89:$AE$89,0))*INDEX('Hoja Auxiliar'!$D$40:$D$58,MATCH('Pagos Mayoristas'!$C47,'Hoja Auxiliar'!$C$40:$C$58,0))</f>
        <v>0</v>
      </c>
      <c r="F47" s="238">
        <f>IF(C47="","",('Precio Mayorista'!$D$100*INDEX('Informacion del AEP'!$D$90:$AE$108,MATCH(C47,'Informacion del AEP'!$C$90:$C$108,0),MATCH($C$36,'Informacion del AEP'!$D$89:$AE$89,0))*INDEX('Informacion del AEP'!$F$169:$F$187,MATCH(C47,'Informacion del AEP'!$C$169:$C$187,0))))</f>
        <v>0</v>
      </c>
      <c r="N47" s="209">
        <f>INDEX('Precio Mayorista'!$D$76:$D$94,MATCH('Pagos Mayoristas'!C47,'Precio Mayorista'!$G$76:$G$94,0))*INDEX('Informacion del AEP'!$F$90:$AE$108,MATCH('Pagos Mayoristas'!C47,'Informacion del AEP'!$C$90:$C$108,0),MATCH('Pagos Mayoristas'!$C$36,'Informacion del AEP'!$F$89:$AE$89,0))</f>
        <v>0</v>
      </c>
    </row>
    <row r="48" spans="3:19" x14ac:dyDescent="0.25">
      <c r="C48" s="5" t="str">
        <f>IF(Supuestos!B59="","",Supuestos!B59)</f>
        <v>Originación voz internacional Mundial Otros geográficos</v>
      </c>
      <c r="D48" s="78">
        <f>INDEX('Informacion del AEP'!$F$90:$AE$108,MATCH('Pagos Mayoristas'!$C48,'Informacion del AEP'!$C$90:$C$108,0),MATCH('Pagos Mayoristas'!C$36,'Informacion del AEP'!$F$89:$AE$89,0))*INDEX('Hoja Auxiliar'!$D$40:$D$58,MATCH('Pagos Mayoristas'!$C48,'Hoja Auxiliar'!$C$40:$C$58,0))</f>
        <v>90000</v>
      </c>
      <c r="F48" s="238">
        <f>IF(C48="","",('Precio Mayorista'!$D$100*INDEX('Informacion del AEP'!$D$90:$AE$108,MATCH(C48,'Informacion del AEP'!$C$90:$C$108,0),MATCH($C$36,'Informacion del AEP'!$D$89:$AE$89,0))*INDEX('Informacion del AEP'!$F$169:$F$187,MATCH(C48,'Informacion del AEP'!$C$169:$C$187,0))))</f>
        <v>0</v>
      </c>
      <c r="N48" s="209">
        <f>INDEX('Precio Mayorista'!$D$76:$D$94,MATCH('Pagos Mayoristas'!C48,'Precio Mayorista'!$G$76:$G$94,0))*INDEX('Informacion del AEP'!$F$90:$AE$108,MATCH('Pagos Mayoristas'!C48,'Informacion del AEP'!$C$90:$C$108,0),MATCH('Pagos Mayoristas'!$C$36,'Informacion del AEP'!$F$89:$AE$89,0))</f>
        <v>15000000</v>
      </c>
    </row>
    <row r="49" spans="3:20" x14ac:dyDescent="0.25">
      <c r="C49" s="5" t="str">
        <f>IF(Supuestos!B60="","",Supuestos!B60)</f>
        <v>Originación voz internacional Cuba</v>
      </c>
      <c r="D49" s="78">
        <f>INDEX('Informacion del AEP'!$F$90:$AE$108,MATCH('Pagos Mayoristas'!$C49,'Informacion del AEP'!$C$90:$C$108,0),MATCH('Pagos Mayoristas'!C$36,'Informacion del AEP'!$F$89:$AE$89,0))*INDEX('Hoja Auxiliar'!$D$40:$D$58,MATCH('Pagos Mayoristas'!$C49,'Hoja Auxiliar'!$C$40:$C$58,0))</f>
        <v>4500</v>
      </c>
      <c r="F49" s="238">
        <f>IF(C49="","",('Precio Mayorista'!$D$100*INDEX('Informacion del AEP'!$D$90:$AE$108,MATCH(C49,'Informacion del AEP'!$C$90:$C$108,0),MATCH($C$36,'Informacion del AEP'!$D$89:$AE$89,0))*INDEX('Informacion del AEP'!$F$169:$F$187,MATCH(C49,'Informacion del AEP'!$C$169:$C$187,0))))</f>
        <v>0</v>
      </c>
      <c r="N49" s="209">
        <f>INDEX('Precio Mayorista'!$D$76:$D$94,MATCH('Pagos Mayoristas'!C49,'Precio Mayorista'!$G$76:$G$94,0))*INDEX('Informacion del AEP'!$F$90:$AE$108,MATCH('Pagos Mayoristas'!C49,'Informacion del AEP'!$C$90:$C$108,0),MATCH('Pagos Mayoristas'!$C$36,'Informacion del AEP'!$F$89:$AE$89,0))</f>
        <v>2250000</v>
      </c>
    </row>
    <row r="50" spans="3:20" x14ac:dyDescent="0.25">
      <c r="C50" s="5" t="str">
        <f>IF(Supuestos!B61="","",Supuestos!B61)</f>
        <v>Originación voz Mundial destinos no geográficos</v>
      </c>
      <c r="D50" s="78">
        <f>INDEX('Informacion del AEP'!$F$90:$AE$108,MATCH('Pagos Mayoristas'!$C50,'Informacion del AEP'!$C$90:$C$108,0),MATCH('Pagos Mayoristas'!C$36,'Informacion del AEP'!$F$89:$AE$89,0))*INDEX('Hoja Auxiliar'!$D$40:$D$58,MATCH('Pagos Mayoristas'!$C50,'Hoja Auxiliar'!$C$40:$C$58,0))</f>
        <v>0</v>
      </c>
      <c r="F50" s="238">
        <f>IF(C50="","",('Precio Mayorista'!$D$100*INDEX('Informacion del AEP'!$D$90:$AE$108,MATCH(C50,'Informacion del AEP'!$C$90:$C$108,0),MATCH($C$36,'Informacion del AEP'!$D$89:$AE$89,0))*INDEX('Informacion del AEP'!$F$169:$F$187,MATCH(C50,'Informacion del AEP'!$C$169:$C$187,0))))</f>
        <v>0</v>
      </c>
      <c r="N50" s="209">
        <f>INDEX('Precio Mayorista'!$D$76:$D$94,MATCH('Pagos Mayoristas'!C50,'Precio Mayorista'!$G$76:$G$94,0))*INDEX('Informacion del AEP'!$F$90:$AE$108,MATCH('Pagos Mayoristas'!C50,'Informacion del AEP'!$C$90:$C$108,0),MATCH('Pagos Mayoristas'!$C$36,'Informacion del AEP'!$F$89:$AE$89,0))</f>
        <v>0</v>
      </c>
    </row>
    <row r="51" spans="3:20" x14ac:dyDescent="0.25">
      <c r="C51" s="5" t="str">
        <f>IF(Supuestos!B62="","",Supuestos!B62)</f>
        <v>Originación SMS on-net</v>
      </c>
      <c r="D51" s="78">
        <f>INDEX('Informacion del AEP'!$F$90:$AE$108,MATCH('Pagos Mayoristas'!$C51,'Informacion del AEP'!$C$90:$C$108,0),MATCH('Pagos Mayoristas'!C$36,'Informacion del AEP'!$F$89:$AE$89,0))*INDEX('Hoja Auxiliar'!$D$40:$D$58,MATCH('Pagos Mayoristas'!$C51,'Hoja Auxiliar'!$C$40:$C$58,0))</f>
        <v>9000000</v>
      </c>
      <c r="F51" s="238">
        <f>IF(C51="","",('Precio Mayorista'!$D$100*INDEX('Informacion del AEP'!$D$90:$AE$108,MATCH(C51,'Informacion del AEP'!$C$90:$C$108,0),MATCH($C$36,'Informacion del AEP'!$D$89:$AE$89,0))*INDEX('Informacion del AEP'!$F$169:$F$187,MATCH(C51,'Informacion del AEP'!$C$169:$C$187,0))))</f>
        <v>0</v>
      </c>
      <c r="N51" s="209">
        <f>INDEX('Precio Mayorista'!$D$76:$D$94,MATCH('Pagos Mayoristas'!C51,'Precio Mayorista'!$G$76:$G$94,0))*INDEX('Informacion del AEP'!$F$90:$AE$108,MATCH('Pagos Mayoristas'!C51,'Informacion del AEP'!$C$90:$C$108,0),MATCH('Pagos Mayoristas'!$C$36,'Informacion del AEP'!$F$89:$AE$89,0))</f>
        <v>0</v>
      </c>
    </row>
    <row r="52" spans="3:20" x14ac:dyDescent="0.25">
      <c r="C52" s="5" t="str">
        <f>IF(Supuestos!B63="","",Supuestos!B63)</f>
        <v>Originación SMS - off-net nacional</v>
      </c>
      <c r="D52" s="78">
        <f>INDEX('Informacion del AEP'!$F$90:$AE$108,MATCH('Pagos Mayoristas'!$C52,'Informacion del AEP'!$C$90:$C$108,0),MATCH('Pagos Mayoristas'!C$36,'Informacion del AEP'!$F$89:$AE$89,0))*INDEX('Hoja Auxiliar'!$D$40:$D$58,MATCH('Pagos Mayoristas'!$C52,'Hoja Auxiliar'!$C$40:$C$58,0))</f>
        <v>2250000</v>
      </c>
      <c r="F52" s="238">
        <f>IF(C52="","",('Precio Mayorista'!$D$100*INDEX('Informacion del AEP'!$D$90:$AE$108,MATCH(C52,'Informacion del AEP'!$C$90:$C$108,0),MATCH($C$36,'Informacion del AEP'!$D$89:$AE$89,0))*INDEX('Informacion del AEP'!$F$169:$F$187,MATCH(C52,'Informacion del AEP'!$C$169:$C$187,0))))</f>
        <v>0</v>
      </c>
      <c r="N52" s="209">
        <f>INDEX('Precio Mayorista'!$D$76:$D$94,MATCH('Pagos Mayoristas'!C52,'Precio Mayorista'!$G$76:$G$94,0))*INDEX('Informacion del AEP'!$F$90:$AE$108,MATCH('Pagos Mayoristas'!C52,'Informacion del AEP'!$C$90:$C$108,0),MATCH('Pagos Mayoristas'!$C$36,'Informacion del AEP'!$F$89:$AE$89,0))</f>
        <v>1390800</v>
      </c>
    </row>
    <row r="53" spans="3:20" x14ac:dyDescent="0.25">
      <c r="C53" s="5" t="str">
        <f>IF(Supuestos!B64="","",Supuestos!B64)</f>
        <v>Originación SMS internacional (USA-Canadá)</v>
      </c>
      <c r="D53" s="78">
        <f>INDEX('Informacion del AEP'!$F$90:$AE$108,MATCH('Pagos Mayoristas'!$C53,'Informacion del AEP'!$C$90:$C$108,0),MATCH('Pagos Mayoristas'!C$36,'Informacion del AEP'!$F$89:$AE$89,0))*INDEX('Hoja Auxiliar'!$D$40:$D$58,MATCH('Pagos Mayoristas'!$C53,'Hoja Auxiliar'!$C$40:$C$58,0))</f>
        <v>450000</v>
      </c>
      <c r="F53" s="238">
        <f>IF(C53="","",('Precio Mayorista'!$D$100*INDEX('Informacion del AEP'!$D$90:$AE$108,MATCH(C53,'Informacion del AEP'!$C$90:$C$108,0),MATCH($C$36,'Informacion del AEP'!$D$89:$AE$89,0))*INDEX('Informacion del AEP'!$F$169:$F$187,MATCH(C53,'Informacion del AEP'!$C$169:$C$187,0))))</f>
        <v>0</v>
      </c>
      <c r="N53" s="209">
        <f>INDEX('Precio Mayorista'!$D$76:$D$94,MATCH('Pagos Mayoristas'!C53,'Precio Mayorista'!$G$76:$G$94,0))*INDEX('Informacion del AEP'!$F$90:$AE$108,MATCH('Pagos Mayoristas'!C53,'Informacion del AEP'!$C$90:$C$108,0),MATCH('Pagos Mayoristas'!$C$36,'Informacion del AEP'!$F$89:$AE$89,0))</f>
        <v>15000000</v>
      </c>
    </row>
    <row r="54" spans="3:20" x14ac:dyDescent="0.25">
      <c r="C54" s="5" t="str">
        <f>IF(Supuestos!B65="","",Supuestos!B65)</f>
        <v>Originación SMS internacional (Resto del Mundo)</v>
      </c>
      <c r="D54" s="78">
        <f>INDEX('Informacion del AEP'!$F$90:$AE$108,MATCH('Pagos Mayoristas'!$C54,'Informacion del AEP'!$C$90:$C$108,0),MATCH('Pagos Mayoristas'!C$36,'Informacion del AEP'!$F$89:$AE$89,0))*INDEX('Hoja Auxiliar'!$D$40:$D$58,MATCH('Pagos Mayoristas'!$C54,'Hoja Auxiliar'!$C$40:$C$58,0))</f>
        <v>45000</v>
      </c>
      <c r="F54" s="238">
        <f>IF(C54="","",('Precio Mayorista'!$D$100*INDEX('Informacion del AEP'!$D$90:$AE$108,MATCH(C54,'Informacion del AEP'!$C$90:$C$108,0),MATCH($C$36,'Informacion del AEP'!$D$89:$AE$89,0))*INDEX('Informacion del AEP'!$F$169:$F$187,MATCH(C54,'Informacion del AEP'!$C$169:$C$187,0))))</f>
        <v>0</v>
      </c>
      <c r="N54" s="209">
        <f>INDEX('Precio Mayorista'!$D$76:$D$94,MATCH('Pagos Mayoristas'!C54,'Precio Mayorista'!$G$76:$G$94,0))*INDEX('Informacion del AEP'!$F$90:$AE$108,MATCH('Pagos Mayoristas'!C54,'Informacion del AEP'!$C$90:$C$108,0),MATCH('Pagos Mayoristas'!$C$36,'Informacion del AEP'!$F$89:$AE$89,0))</f>
        <v>2250000</v>
      </c>
    </row>
    <row r="55" spans="3:20" x14ac:dyDescent="0.25">
      <c r="C55" s="5" t="str">
        <f>IF(Supuestos!B66="","",Supuestos!B66)</f>
        <v>Otros servicios (incluyendo marcaciones especiales)</v>
      </c>
      <c r="D55" s="78">
        <f>INDEX('Informacion del AEP'!$F$90:$AE$108,MATCH('Pagos Mayoristas'!$C55,'Informacion del AEP'!$C$90:$C$108,0),MATCH('Pagos Mayoristas'!C$36,'Informacion del AEP'!$F$89:$AE$89,0))*INDEX('Hoja Auxiliar'!$D$40:$D$58,MATCH('Pagos Mayoristas'!$C55,'Hoja Auxiliar'!$C$40:$C$58,0))</f>
        <v>45000000</v>
      </c>
      <c r="F55" s="238">
        <f>IF(C55="","",('Precio Mayorista'!$D$100*INDEX('Informacion del AEP'!$D$90:$AE$108,MATCH(C55,'Informacion del AEP'!$C$90:$C$108,0),MATCH($C$36,'Informacion del AEP'!$D$89:$AE$89,0))*INDEX('Informacion del AEP'!$F$169:$F$187,MATCH(C55,'Informacion del AEP'!$C$169:$C$187,0))))</f>
        <v>0</v>
      </c>
      <c r="N55" s="209">
        <f>INDEX('Precio Mayorista'!$D$76:$D$94,MATCH('Pagos Mayoristas'!C55,'Precio Mayorista'!$G$76:$G$94,0))*INDEX('Informacion del AEP'!$F$90:$AE$108,MATCH('Pagos Mayoristas'!C55,'Informacion del AEP'!$C$90:$C$108,0),MATCH('Pagos Mayoristas'!$C$36,'Informacion del AEP'!$F$89:$AE$89,0))</f>
        <v>0</v>
      </c>
    </row>
    <row r="56" spans="3:20" x14ac:dyDescent="0.25">
      <c r="D56" s="78"/>
      <c r="F56" s="78"/>
      <c r="N56" s="209"/>
    </row>
    <row r="57" spans="3:20" ht="13" x14ac:dyDescent="0.3">
      <c r="C57" s="64"/>
      <c r="D57" s="78"/>
      <c r="F57" s="78"/>
    </row>
    <row r="58" spans="3:20" x14ac:dyDescent="0.25">
      <c r="F58" s="78"/>
    </row>
    <row r="59" spans="3:20" x14ac:dyDescent="0.25">
      <c r="F59" s="78"/>
    </row>
    <row r="61" spans="3:20" x14ac:dyDescent="0.25">
      <c r="D61" s="78"/>
    </row>
    <row r="62" spans="3:20" ht="13" x14ac:dyDescent="0.3">
      <c r="C62" s="74" t="str">
        <f>Supuestos!$B$77</f>
        <v>Segmento Pospago</v>
      </c>
      <c r="D62" s="77">
        <f>SUM(D63:D81)</f>
        <v>1678992700</v>
      </c>
      <c r="E62" s="75"/>
      <c r="F62" s="77">
        <f>SUM(F63:F81)</f>
        <v>0</v>
      </c>
      <c r="G62" s="75"/>
      <c r="H62" s="75"/>
      <c r="I62" s="77">
        <f>INDEX('Informacion del AEP'!$H$31:$H$84,MATCH('Pagos Mayoristas'!C62,'Informacion del AEP'!$C$31:$C$84,0))*'Hoja Auxiliar'!$D$61</f>
        <v>3750000</v>
      </c>
      <c r="J62" s="4"/>
      <c r="K62" s="77"/>
      <c r="L62" s="204">
        <f>$L$10*(INDEX('Informacion del AEP'!$F$12:$AE$12,MATCH('Pagos Mayoristas'!C62,'Informacion del AEP'!$F$11:$AE$11,0))/INDEX('Informacion del AEP'!$F$12:$AE$12,MATCH('Pagos Mayoristas'!$C$10,'Informacion del AEP'!$F$11:$AE$11,0)))</f>
        <v>260542.1686746988</v>
      </c>
      <c r="M62" s="204"/>
      <c r="N62" s="77">
        <f>SUM(N63:N81)</f>
        <v>242146800</v>
      </c>
      <c r="O62" s="204">
        <f>SUM(D62:N62)</f>
        <v>1925150042.1686747</v>
      </c>
      <c r="P62"/>
      <c r="Q62"/>
      <c r="R62"/>
      <c r="S62"/>
      <c r="T62"/>
    </row>
    <row r="63" spans="3:20" x14ac:dyDescent="0.25">
      <c r="C63" s="5" t="str">
        <f>IF(Supuestos!B48="","",Supuestos!B48)</f>
        <v>Datos</v>
      </c>
      <c r="D63" s="78">
        <f>INDEX('Informacion del AEP'!$F$90:$AE$108,MATCH('Pagos Mayoristas'!$C63,'Informacion del AEP'!$C$90:$C$108,0),MATCH('Pagos Mayoristas'!C$62,'Informacion del AEP'!$F$89:$AE$89,0))*INDEX('Hoja Auxiliar'!$D$40:$D$58,MATCH('Pagos Mayoristas'!$C63,'Hoja Auxiliar'!$C$40:$C$58,0))</f>
        <v>889000000</v>
      </c>
      <c r="F63" s="238">
        <f>IF(C63="","",('Precio Mayorista'!$D$100*INDEX('Informacion del AEP'!$D$90:$AE$108,MATCH(C63,'Informacion del AEP'!$C$90:$C$108,0),MATCH($C$62,'Informacion del AEP'!$D$89:$AE$89,0))*INDEX('Informacion del AEP'!$F$169:$F$187,MATCH(C63,'Informacion del AEP'!$C$169:$C$187,0))))</f>
        <v>0</v>
      </c>
      <c r="N63" s="209">
        <f>INDEX('Precio Mayorista'!$D$76:$D$94,MATCH('Pagos Mayoristas'!C63,'Precio Mayorista'!$G$76:$G$94,0))*INDEX('Informacion del AEP'!$F$90:$AE$108,MATCH('Pagos Mayoristas'!C63,'Informacion del AEP'!$C$90:$C$108,0),MATCH('Pagos Mayoristas'!$C$62,'Informacion del AEP'!$F$89:$AE$89,0))</f>
        <v>0</v>
      </c>
    </row>
    <row r="64" spans="3:20" x14ac:dyDescent="0.25">
      <c r="C64" s="5" t="str">
        <f>IF(Supuestos!B49="","",Supuestos!B49)</f>
        <v>Originación voz on-net local</v>
      </c>
      <c r="D64" s="78">
        <f>INDEX('Informacion del AEP'!$F$90:$AE$108,MATCH('Pagos Mayoristas'!$C64,'Informacion del AEP'!$C$90:$C$108,0),MATCH('Pagos Mayoristas'!C$62,'Informacion del AEP'!$F$89:$AE$89,0))*INDEX('Hoja Auxiliar'!$D$40:$D$58,MATCH('Pagos Mayoristas'!$C64,'Hoja Auxiliar'!$C$40:$C$58,0))</f>
        <v>210000000</v>
      </c>
      <c r="F64" s="238">
        <f>IF(C64="","",('Precio Mayorista'!$D$100*INDEX('Informacion del AEP'!$D$90:$AE$108,MATCH(C64,'Informacion del AEP'!$C$90:$C$108,0),MATCH($C$62,'Informacion del AEP'!$D$89:$AE$89,0))*INDEX('Informacion del AEP'!$F$169:$F$187,MATCH(C64,'Informacion del AEP'!$C$169:$C$187,0))))</f>
        <v>0</v>
      </c>
      <c r="N64" s="209">
        <f>INDEX('Precio Mayorista'!$D$76:$D$94,MATCH('Pagos Mayoristas'!C64,'Precio Mayorista'!$G$76:$G$94,0))*INDEX('Informacion del AEP'!$F$90:$AE$108,MATCH('Pagos Mayoristas'!C64,'Informacion del AEP'!$C$90:$C$108,0),MATCH('Pagos Mayoristas'!$C$62,'Informacion del AEP'!$F$89:$AE$89,0))</f>
        <v>0</v>
      </c>
    </row>
    <row r="65" spans="3:14" x14ac:dyDescent="0.25">
      <c r="C65" s="5" t="str">
        <f>IF(Supuestos!B50="","",Supuestos!B50)</f>
        <v>Originación voz off-net móvil local</v>
      </c>
      <c r="D65" s="78">
        <f>INDEX('Informacion del AEP'!$F$90:$AE$108,MATCH('Pagos Mayoristas'!$C65,'Informacion del AEP'!$C$90:$C$108,0),MATCH('Pagos Mayoristas'!C$62,'Informacion del AEP'!$F$89:$AE$89,0))*INDEX('Hoja Auxiliar'!$D$40:$D$58,MATCH('Pagos Mayoristas'!$C65,'Hoja Auxiliar'!$C$40:$C$58,0))</f>
        <v>42000000</v>
      </c>
      <c r="F65" s="238">
        <f>IF(C65="","",('Precio Mayorista'!$D$100*INDEX('Informacion del AEP'!$D$90:$AE$108,MATCH(C65,'Informacion del AEP'!$C$90:$C$108,0),MATCH($C$62,'Informacion del AEP'!$D$89:$AE$89,0))*INDEX('Informacion del AEP'!$F$169:$F$187,MATCH(C65,'Informacion del AEP'!$C$169:$C$187,0))))</f>
        <v>0</v>
      </c>
      <c r="N65" s="209">
        <f>INDEX('Precio Mayorista'!$D$76:$D$94,MATCH('Pagos Mayoristas'!C65,'Precio Mayorista'!$G$76:$G$94,0))*INDEX('Informacion del AEP'!$F$90:$AE$108,MATCH('Pagos Mayoristas'!C65,'Informacion del AEP'!$C$90:$C$108,0),MATCH('Pagos Mayoristas'!$C$62,'Informacion del AEP'!$F$89:$AE$89,0))</f>
        <v>59109400</v>
      </c>
    </row>
    <row r="66" spans="3:14" x14ac:dyDescent="0.25">
      <c r="C66" s="5" t="str">
        <f>IF(Supuestos!B51="","",Supuestos!B51)</f>
        <v>Originación voz off-net fijo local</v>
      </c>
      <c r="D66" s="78">
        <f>INDEX('Informacion del AEP'!$F$90:$AE$108,MATCH('Pagos Mayoristas'!$C66,'Informacion del AEP'!$C$90:$C$108,0),MATCH('Pagos Mayoristas'!C$62,'Informacion del AEP'!$F$89:$AE$89,0))*INDEX('Hoja Auxiliar'!$D$40:$D$58,MATCH('Pagos Mayoristas'!$C66,'Hoja Auxiliar'!$C$40:$C$58,0))</f>
        <v>21000000</v>
      </c>
      <c r="F66" s="238">
        <f>IF(C66="","",('Precio Mayorista'!$D$100*INDEX('Informacion del AEP'!$D$90:$AE$108,MATCH(C66,'Informacion del AEP'!$C$90:$C$108,0),MATCH($C$62,'Informacion del AEP'!$D$89:$AE$89,0))*INDEX('Informacion del AEP'!$F$169:$F$187,MATCH(C66,'Informacion del AEP'!$C$169:$C$187,0))))</f>
        <v>0</v>
      </c>
      <c r="N66" s="209">
        <f>INDEX('Precio Mayorista'!$D$76:$D$94,MATCH('Pagos Mayoristas'!C66,'Precio Mayorista'!$G$76:$G$94,0))*INDEX('Informacion del AEP'!$F$90:$AE$108,MATCH('Pagos Mayoristas'!C66,'Informacion del AEP'!$C$90:$C$108,0),MATCH('Pagos Mayoristas'!$C$62,'Informacion del AEP'!$F$89:$AE$89,0))</f>
        <v>2340100</v>
      </c>
    </row>
    <row r="67" spans="3:14" x14ac:dyDescent="0.25">
      <c r="C67" s="5" t="str">
        <f>IF(Supuestos!B52="","",Supuestos!B52)</f>
        <v>Originación voz on-net LDN</v>
      </c>
      <c r="D67" s="78">
        <f>INDEX('Informacion del AEP'!$F$90:$AE$108,MATCH('Pagos Mayoristas'!$C67,'Informacion del AEP'!$C$90:$C$108,0),MATCH('Pagos Mayoristas'!C$62,'Informacion del AEP'!$F$89:$AE$89,0))*INDEX('Hoja Auxiliar'!$D$40:$D$58,MATCH('Pagos Mayoristas'!$C67,'Hoja Auxiliar'!$C$40:$C$58,0))</f>
        <v>315000000</v>
      </c>
      <c r="F67" s="238">
        <f>IF(C67="","",('Precio Mayorista'!$D$100*INDEX('Informacion del AEP'!$D$90:$AE$108,MATCH(C67,'Informacion del AEP'!$C$90:$C$108,0),MATCH($C$62,'Informacion del AEP'!$D$89:$AE$89,0))*INDEX('Informacion del AEP'!$F$169:$F$187,MATCH(C67,'Informacion del AEP'!$C$169:$C$187,0))))</f>
        <v>0</v>
      </c>
      <c r="N67" s="209">
        <f>INDEX('Precio Mayorista'!$D$76:$D$94,MATCH('Pagos Mayoristas'!C67,'Precio Mayorista'!$G$76:$G$94,0))*INDEX('Informacion del AEP'!$F$90:$AE$108,MATCH('Pagos Mayoristas'!C67,'Informacion del AEP'!$C$90:$C$108,0),MATCH('Pagos Mayoristas'!$C$62,'Informacion del AEP'!$F$89:$AE$89,0))</f>
        <v>0</v>
      </c>
    </row>
    <row r="68" spans="3:14" x14ac:dyDescent="0.25">
      <c r="C68" s="5" t="str">
        <f>IF(Supuestos!B53="","",Supuestos!B53)</f>
        <v>Originación voz off-net móvil LDN</v>
      </c>
      <c r="D68" s="78">
        <f>INDEX('Informacion del AEP'!$F$90:$AE$108,MATCH('Pagos Mayoristas'!$C68,'Informacion del AEP'!$C$90:$C$108,0),MATCH('Pagos Mayoristas'!C$62,'Informacion del AEP'!$F$89:$AE$89,0))*INDEX('Hoja Auxiliar'!$D$40:$D$58,MATCH('Pagos Mayoristas'!$C68,'Hoja Auxiliar'!$C$40:$C$58,0))</f>
        <v>31499999.999999996</v>
      </c>
      <c r="F68" s="238">
        <f>IF(C68="","",('Precio Mayorista'!$D$100*INDEX('Informacion del AEP'!$D$90:$AE$108,MATCH(C68,'Informacion del AEP'!$C$90:$C$108,0),MATCH($C$62,'Informacion del AEP'!$D$89:$AE$89,0))*INDEX('Informacion del AEP'!$F$169:$F$187,MATCH(C68,'Informacion del AEP'!$C$169:$C$187,0))))</f>
        <v>0</v>
      </c>
      <c r="N68" s="209">
        <f>INDEX('Precio Mayorista'!$D$76:$D$94,MATCH('Pagos Mayoristas'!C68,'Precio Mayorista'!$G$76:$G$94,0))*INDEX('Informacion del AEP'!$F$90:$AE$108,MATCH('Pagos Mayoristas'!C68,'Informacion del AEP'!$C$90:$C$108,0),MATCH('Pagos Mayoristas'!$C$62,'Informacion del AEP'!$F$89:$AE$89,0))</f>
        <v>44332050</v>
      </c>
    </row>
    <row r="69" spans="3:14" x14ac:dyDescent="0.25">
      <c r="C69" s="5" t="str">
        <f>IF(Supuestos!B54="","",Supuestos!B54)</f>
        <v>Originación voz off-net fijo LDN</v>
      </c>
      <c r="D69" s="78">
        <f>INDEX('Informacion del AEP'!$F$90:$AE$108,MATCH('Pagos Mayoristas'!$C69,'Informacion del AEP'!$C$90:$C$108,0),MATCH('Pagos Mayoristas'!C$62,'Informacion del AEP'!$F$89:$AE$89,0))*INDEX('Hoja Auxiliar'!$D$40:$D$58,MATCH('Pagos Mayoristas'!$C69,'Hoja Auxiliar'!$C$40:$C$58,0))</f>
        <v>10500000</v>
      </c>
      <c r="F69" s="238">
        <f>IF(C69="","",('Precio Mayorista'!$D$100*INDEX('Informacion del AEP'!$D$90:$AE$108,MATCH(C69,'Informacion del AEP'!$C$90:$C$108,0),MATCH($C$62,'Informacion del AEP'!$D$89:$AE$89,0))*INDEX('Informacion del AEP'!$F$169:$F$187,MATCH(C69,'Informacion del AEP'!$C$169:$C$187,0))))</f>
        <v>0</v>
      </c>
      <c r="N69" s="209">
        <f>INDEX('Precio Mayorista'!$D$76:$D$94,MATCH('Pagos Mayoristas'!C69,'Precio Mayorista'!$G$76:$G$94,0))*INDEX('Informacion del AEP'!$F$90:$AE$108,MATCH('Pagos Mayoristas'!C69,'Informacion del AEP'!$C$90:$C$108,0),MATCH('Pagos Mayoristas'!$C$62,'Informacion del AEP'!$F$89:$AE$89,0))</f>
        <v>1170050</v>
      </c>
    </row>
    <row r="70" spans="3:14" x14ac:dyDescent="0.25">
      <c r="C70" s="5" t="str">
        <f>IF(Supuestos!B55="","",Supuestos!B55)</f>
        <v>Originación voz internacional USA-Canadá</v>
      </c>
      <c r="D70" s="78">
        <f>INDEX('Informacion del AEP'!$F$90:$AE$108,MATCH('Pagos Mayoristas'!$C70,'Informacion del AEP'!$C$90:$C$108,0),MATCH('Pagos Mayoristas'!C$62,'Informacion del AEP'!$F$89:$AE$89,0))*INDEX('Hoja Auxiliar'!$D$40:$D$58,MATCH('Pagos Mayoristas'!$C70,'Hoja Auxiliar'!$C$40:$C$58,0))</f>
        <v>27300000</v>
      </c>
      <c r="F70" s="238">
        <f>IF(C70="","",('Precio Mayorista'!$D$100*INDEX('Informacion del AEP'!$D$90:$AE$108,MATCH(C70,'Informacion del AEP'!$C$90:$C$108,0),MATCH($C$62,'Informacion del AEP'!$D$89:$AE$89,0))*INDEX('Informacion del AEP'!$F$169:$F$187,MATCH(C70,'Informacion del AEP'!$C$169:$C$187,0))))</f>
        <v>0</v>
      </c>
      <c r="N70" s="209">
        <f>INDEX('Precio Mayorista'!$D$76:$D$94,MATCH('Pagos Mayoristas'!C70,'Precio Mayorista'!$G$76:$G$94,0))*INDEX('Informacion del AEP'!$F$90:$AE$108,MATCH('Pagos Mayoristas'!C70,'Informacion del AEP'!$C$90:$C$108,0),MATCH('Pagos Mayoristas'!$C$62,'Informacion del AEP'!$F$89:$AE$89,0))</f>
        <v>45500000</v>
      </c>
    </row>
    <row r="71" spans="3:14" x14ac:dyDescent="0.25">
      <c r="C71" s="5" t="str">
        <f>IF(Supuestos!B56="","",Supuestos!B56)</f>
        <v>Originación voz internacional Mundial Centroamérica</v>
      </c>
      <c r="D71" s="78">
        <f>INDEX('Informacion del AEP'!$F$90:$AE$108,MATCH('Pagos Mayoristas'!$C71,'Informacion del AEP'!$C$90:$C$108,0),MATCH('Pagos Mayoristas'!C$62,'Informacion del AEP'!$F$89:$AE$89,0))*INDEX('Hoja Auxiliar'!$D$40:$D$58,MATCH('Pagos Mayoristas'!$C71,'Hoja Auxiliar'!$C$40:$C$58,0))</f>
        <v>63000</v>
      </c>
      <c r="F71" s="238">
        <f>IF(C71="","",('Precio Mayorista'!$D$100*INDEX('Informacion del AEP'!$D$90:$AE$108,MATCH(C71,'Informacion del AEP'!$C$90:$C$108,0),MATCH($C$62,'Informacion del AEP'!$D$89:$AE$89,0))*INDEX('Informacion del AEP'!$F$169:$F$187,MATCH(C71,'Informacion del AEP'!$C$169:$C$187,0))))</f>
        <v>0</v>
      </c>
      <c r="N71" s="209">
        <f>INDEX('Precio Mayorista'!$D$76:$D$94,MATCH('Pagos Mayoristas'!C71,'Precio Mayorista'!$G$76:$G$94,0))*INDEX('Informacion del AEP'!$F$90:$AE$108,MATCH('Pagos Mayoristas'!C71,'Informacion del AEP'!$C$90:$C$108,0),MATCH('Pagos Mayoristas'!$C$62,'Informacion del AEP'!$F$89:$AE$89,0))</f>
        <v>5250000</v>
      </c>
    </row>
    <row r="72" spans="3:14" x14ac:dyDescent="0.25">
      <c r="C72" s="5" t="str">
        <f>IF(Supuestos!B57="","",Supuestos!B57)</f>
        <v>Originación voz internacional Mundial LATAM y Caribe</v>
      </c>
      <c r="D72" s="78">
        <f>INDEX('Informacion del AEP'!$F$90:$AE$108,MATCH('Pagos Mayoristas'!$C72,'Informacion del AEP'!$C$90:$C$108,0),MATCH('Pagos Mayoristas'!C$62,'Informacion del AEP'!$F$89:$AE$89,0))*INDEX('Hoja Auxiliar'!$D$40:$D$58,MATCH('Pagos Mayoristas'!$C72,'Hoja Auxiliar'!$C$40:$C$58,0))</f>
        <v>4200</v>
      </c>
      <c r="F72" s="238">
        <f>IF(C72="","",('Precio Mayorista'!$D$100*INDEX('Informacion del AEP'!$D$90:$AE$108,MATCH(C72,'Informacion del AEP'!$C$90:$C$108,0),MATCH($C$62,'Informacion del AEP'!$D$89:$AE$89,0))*INDEX('Informacion del AEP'!$F$169:$F$187,MATCH(C72,'Informacion del AEP'!$C$169:$C$187,0))))</f>
        <v>0</v>
      </c>
      <c r="N72" s="209">
        <f>INDEX('Precio Mayorista'!$D$76:$D$94,MATCH('Pagos Mayoristas'!C72,'Precio Mayorista'!$G$76:$G$94,0))*INDEX('Informacion del AEP'!$F$90:$AE$108,MATCH('Pagos Mayoristas'!C72,'Informacion del AEP'!$C$90:$C$108,0),MATCH('Pagos Mayoristas'!$C$62,'Informacion del AEP'!$F$89:$AE$89,0))</f>
        <v>700000</v>
      </c>
    </row>
    <row r="73" spans="3:14" x14ac:dyDescent="0.25">
      <c r="C73" s="5" t="str">
        <f>IF(Supuestos!B58="","",Supuestos!B58)</f>
        <v>Originación voz internacional Europa</v>
      </c>
      <c r="D73" s="78">
        <f>INDEX('Informacion del AEP'!$F$90:$AE$108,MATCH('Pagos Mayoristas'!$C73,'Informacion del AEP'!$C$90:$C$108,0),MATCH('Pagos Mayoristas'!C$62,'Informacion del AEP'!$F$89:$AE$89,0))*INDEX('Hoja Auxiliar'!$D$40:$D$58,MATCH('Pagos Mayoristas'!$C73,'Hoja Auxiliar'!$C$40:$C$58,0))</f>
        <v>0</v>
      </c>
      <c r="F73" s="238">
        <f>IF(C73="","",('Precio Mayorista'!$D$100*INDEX('Informacion del AEP'!$D$90:$AE$108,MATCH(C73,'Informacion del AEP'!$C$90:$C$108,0),MATCH($C$62,'Informacion del AEP'!$D$89:$AE$89,0))*INDEX('Informacion del AEP'!$F$169:$F$187,MATCH(C73,'Informacion del AEP'!$C$169:$C$187,0))))</f>
        <v>0</v>
      </c>
      <c r="N73" s="209">
        <f>INDEX('Precio Mayorista'!$D$76:$D$94,MATCH('Pagos Mayoristas'!C73,'Precio Mayorista'!$G$76:$G$94,0))*INDEX('Informacion del AEP'!$F$90:$AE$108,MATCH('Pagos Mayoristas'!C73,'Informacion del AEP'!$C$90:$C$108,0),MATCH('Pagos Mayoristas'!$C$62,'Informacion del AEP'!$F$89:$AE$89,0))</f>
        <v>0</v>
      </c>
    </row>
    <row r="74" spans="3:14" x14ac:dyDescent="0.25">
      <c r="C74" s="5" t="str">
        <f>IF(Supuestos!B59="","",Supuestos!B59)</f>
        <v>Originación voz internacional Mundial Otros geográficos</v>
      </c>
      <c r="D74" s="78">
        <f>INDEX('Informacion del AEP'!$F$90:$AE$108,MATCH('Pagos Mayoristas'!$C74,'Informacion del AEP'!$C$90:$C$108,0),MATCH('Pagos Mayoristas'!C$62,'Informacion del AEP'!$F$89:$AE$89,0))*INDEX('Hoja Auxiliar'!$D$40:$D$58,MATCH('Pagos Mayoristas'!$C74,'Hoja Auxiliar'!$C$40:$C$58,0))</f>
        <v>210000</v>
      </c>
      <c r="F74" s="238">
        <f>IF(C74="","",('Precio Mayorista'!$D$100*INDEX('Informacion del AEP'!$D$90:$AE$108,MATCH(C74,'Informacion del AEP'!$C$90:$C$108,0),MATCH($C$62,'Informacion del AEP'!$D$89:$AE$89,0))*INDEX('Informacion del AEP'!$F$169:$F$187,MATCH(C74,'Informacion del AEP'!$C$169:$C$187,0))))</f>
        <v>0</v>
      </c>
      <c r="N74" s="209">
        <f>INDEX('Precio Mayorista'!$D$76:$D$94,MATCH('Pagos Mayoristas'!C74,'Precio Mayorista'!$G$76:$G$94,0))*INDEX('Informacion del AEP'!$F$90:$AE$108,MATCH('Pagos Mayoristas'!C74,'Informacion del AEP'!$C$90:$C$108,0),MATCH('Pagos Mayoristas'!$C$62,'Informacion del AEP'!$F$89:$AE$89,0))</f>
        <v>35000000</v>
      </c>
    </row>
    <row r="75" spans="3:14" x14ac:dyDescent="0.25">
      <c r="C75" s="5" t="str">
        <f>IF(Supuestos!B60="","",Supuestos!B60)</f>
        <v>Originación voz internacional Cuba</v>
      </c>
      <c r="D75" s="78">
        <f>INDEX('Informacion del AEP'!$F$90:$AE$108,MATCH('Pagos Mayoristas'!$C75,'Informacion del AEP'!$C$90:$C$108,0),MATCH('Pagos Mayoristas'!C$62,'Informacion del AEP'!$F$89:$AE$89,0))*INDEX('Hoja Auxiliar'!$D$40:$D$58,MATCH('Pagos Mayoristas'!$C75,'Hoja Auxiliar'!$C$40:$C$58,0))</f>
        <v>10500</v>
      </c>
      <c r="F75" s="238">
        <f>IF(C75="","",('Precio Mayorista'!$D$100*INDEX('Informacion del AEP'!$D$90:$AE$108,MATCH(C75,'Informacion del AEP'!$C$90:$C$108,0),MATCH($C$62,'Informacion del AEP'!$D$89:$AE$89,0))*INDEX('Informacion del AEP'!$F$169:$F$187,MATCH(C75,'Informacion del AEP'!$C$169:$C$187,0))))</f>
        <v>0</v>
      </c>
      <c r="N75" s="209">
        <f>INDEX('Precio Mayorista'!$D$76:$D$94,MATCH('Pagos Mayoristas'!C75,'Precio Mayorista'!$G$76:$G$94,0))*INDEX('Informacion del AEP'!$F$90:$AE$108,MATCH('Pagos Mayoristas'!C75,'Informacion del AEP'!$C$90:$C$108,0),MATCH('Pagos Mayoristas'!$C$62,'Informacion del AEP'!$F$89:$AE$89,0))</f>
        <v>5250000</v>
      </c>
    </row>
    <row r="76" spans="3:14" x14ac:dyDescent="0.25">
      <c r="C76" s="5" t="str">
        <f>IF(Supuestos!B61="","",Supuestos!B61)</f>
        <v>Originación voz Mundial destinos no geográficos</v>
      </c>
      <c r="D76" s="78">
        <f>INDEX('Informacion del AEP'!$F$90:$AE$108,MATCH('Pagos Mayoristas'!$C76,'Informacion del AEP'!$C$90:$C$108,0),MATCH('Pagos Mayoristas'!C$62,'Informacion del AEP'!$F$89:$AE$89,0))*INDEX('Hoja Auxiliar'!$D$40:$D$58,MATCH('Pagos Mayoristas'!$C76,'Hoja Auxiliar'!$C$40:$C$58,0))</f>
        <v>0</v>
      </c>
      <c r="F76" s="238">
        <f>IF(C76="","",('Precio Mayorista'!$D$100*INDEX('Informacion del AEP'!$D$90:$AE$108,MATCH(C76,'Informacion del AEP'!$C$90:$C$108,0),MATCH($C$62,'Informacion del AEP'!$D$89:$AE$89,0))*INDEX('Informacion del AEP'!$F$169:$F$187,MATCH(C76,'Informacion del AEP'!$C$169:$C$187,0))))</f>
        <v>0</v>
      </c>
      <c r="N76" s="209">
        <f>INDEX('Precio Mayorista'!$D$76:$D$94,MATCH('Pagos Mayoristas'!C76,'Precio Mayorista'!$G$76:$G$94,0))*INDEX('Informacion del AEP'!$F$90:$AE$108,MATCH('Pagos Mayoristas'!C76,'Informacion del AEP'!$C$90:$C$108,0),MATCH('Pagos Mayoristas'!$C$62,'Informacion del AEP'!$F$89:$AE$89,0))</f>
        <v>0</v>
      </c>
    </row>
    <row r="77" spans="3:14" x14ac:dyDescent="0.25">
      <c r="C77" s="5" t="str">
        <f>IF(Supuestos!B62="","",Supuestos!B62)</f>
        <v>Originación SMS on-net</v>
      </c>
      <c r="D77" s="78">
        <f>INDEX('Informacion del AEP'!$F$90:$AE$108,MATCH('Pagos Mayoristas'!$C77,'Informacion del AEP'!$C$90:$C$108,0),MATCH('Pagos Mayoristas'!C$62,'Informacion del AEP'!$F$89:$AE$89,0))*INDEX('Hoja Auxiliar'!$D$40:$D$58,MATCH('Pagos Mayoristas'!$C77,'Hoja Auxiliar'!$C$40:$C$58,0))</f>
        <v>21000000</v>
      </c>
      <c r="F77" s="238">
        <f>IF(C77="","",('Precio Mayorista'!$D$100*INDEX('Informacion del AEP'!$D$90:$AE$108,MATCH(C77,'Informacion del AEP'!$C$90:$C$108,0),MATCH($C$62,'Informacion del AEP'!$D$89:$AE$89,0))*INDEX('Informacion del AEP'!$F$169:$F$187,MATCH(C77,'Informacion del AEP'!$C$169:$C$187,0))))</f>
        <v>0</v>
      </c>
      <c r="N77" s="209">
        <f>INDEX('Precio Mayorista'!$D$76:$D$94,MATCH('Pagos Mayoristas'!C77,'Precio Mayorista'!$G$76:$G$94,0))*INDEX('Informacion del AEP'!$F$90:$AE$108,MATCH('Pagos Mayoristas'!C77,'Informacion del AEP'!$C$90:$C$108,0),MATCH('Pagos Mayoristas'!$C$62,'Informacion del AEP'!$F$89:$AE$89,0))</f>
        <v>0</v>
      </c>
    </row>
    <row r="78" spans="3:14" x14ac:dyDescent="0.25">
      <c r="C78" s="5" t="str">
        <f>IF(Supuestos!B63="","",Supuestos!B63)</f>
        <v>Originación SMS - off-net nacional</v>
      </c>
      <c r="D78" s="78">
        <f>INDEX('Informacion del AEP'!$F$90:$AE$108,MATCH('Pagos Mayoristas'!$C78,'Informacion del AEP'!$C$90:$C$108,0),MATCH('Pagos Mayoristas'!C$62,'Informacion del AEP'!$F$89:$AE$89,0))*INDEX('Hoja Auxiliar'!$D$40:$D$58,MATCH('Pagos Mayoristas'!$C78,'Hoja Auxiliar'!$C$40:$C$58,0))</f>
        <v>5250000</v>
      </c>
      <c r="F78" s="238">
        <f>IF(C78="","",('Precio Mayorista'!$D$100*INDEX('Informacion del AEP'!$D$90:$AE$108,MATCH(C78,'Informacion del AEP'!$C$90:$C$108,0),MATCH($C$62,'Informacion del AEP'!$D$89:$AE$89,0))*INDEX('Informacion del AEP'!$F$169:$F$187,MATCH(C78,'Informacion del AEP'!$C$169:$C$187,0))))</f>
        <v>0</v>
      </c>
      <c r="N78" s="209">
        <f>INDEX('Precio Mayorista'!$D$76:$D$94,MATCH('Pagos Mayoristas'!C78,'Precio Mayorista'!$G$76:$G$94,0))*INDEX('Informacion del AEP'!$F$90:$AE$108,MATCH('Pagos Mayoristas'!C78,'Informacion del AEP'!$C$90:$C$108,0),MATCH('Pagos Mayoristas'!$C$62,'Informacion del AEP'!$F$89:$AE$89,0))</f>
        <v>3245200.0000000005</v>
      </c>
    </row>
    <row r="79" spans="3:14" x14ac:dyDescent="0.25">
      <c r="C79" s="5" t="str">
        <f>IF(Supuestos!B64="","",Supuestos!B64)</f>
        <v>Originación SMS internacional (USA-Canadá)</v>
      </c>
      <c r="D79" s="78">
        <f>INDEX('Informacion del AEP'!$F$90:$AE$108,MATCH('Pagos Mayoristas'!$C79,'Informacion del AEP'!$C$90:$C$108,0),MATCH('Pagos Mayoristas'!C$62,'Informacion del AEP'!$F$89:$AE$89,0))*INDEX('Hoja Auxiliar'!$D$40:$D$58,MATCH('Pagos Mayoristas'!$C79,'Hoja Auxiliar'!$C$40:$C$58,0))</f>
        <v>1050000</v>
      </c>
      <c r="F79" s="238">
        <f>IF(C79="","",('Precio Mayorista'!$D$100*INDEX('Informacion del AEP'!$D$90:$AE$108,MATCH(C79,'Informacion del AEP'!$C$90:$C$108,0),MATCH($C$62,'Informacion del AEP'!$D$89:$AE$89,0))*INDEX('Informacion del AEP'!$F$169:$F$187,MATCH(C79,'Informacion del AEP'!$C$169:$C$187,0))))</f>
        <v>0</v>
      </c>
      <c r="N79" s="209">
        <f>INDEX('Precio Mayorista'!$D$76:$D$94,MATCH('Pagos Mayoristas'!C79,'Precio Mayorista'!$G$76:$G$94,0))*INDEX('Informacion del AEP'!$F$90:$AE$108,MATCH('Pagos Mayoristas'!C79,'Informacion del AEP'!$C$90:$C$108,0),MATCH('Pagos Mayoristas'!$C$62,'Informacion del AEP'!$F$89:$AE$89,0))</f>
        <v>35000000</v>
      </c>
    </row>
    <row r="80" spans="3:14" x14ac:dyDescent="0.25">
      <c r="C80" s="5" t="str">
        <f>IF(Supuestos!B65="","",Supuestos!B65)</f>
        <v>Originación SMS internacional (Resto del Mundo)</v>
      </c>
      <c r="D80" s="78">
        <f>INDEX('Informacion del AEP'!$F$90:$AE$108,MATCH('Pagos Mayoristas'!$C80,'Informacion del AEP'!$C$90:$C$108,0),MATCH('Pagos Mayoristas'!C$62,'Informacion del AEP'!$F$89:$AE$89,0))*INDEX('Hoja Auxiliar'!$D$40:$D$58,MATCH('Pagos Mayoristas'!$C80,'Hoja Auxiliar'!$C$40:$C$58,0))</f>
        <v>105000</v>
      </c>
      <c r="F80" s="238">
        <f>IF(C80="","",('Precio Mayorista'!$D$100*INDEX('Informacion del AEP'!$D$90:$AE$108,MATCH(C80,'Informacion del AEP'!$C$90:$C$108,0),MATCH($C$62,'Informacion del AEP'!$D$89:$AE$89,0))*INDEX('Informacion del AEP'!$F$169:$F$187,MATCH(C80,'Informacion del AEP'!$C$169:$C$187,0))))</f>
        <v>0</v>
      </c>
      <c r="N80" s="209">
        <f>INDEX('Precio Mayorista'!$D$76:$D$94,MATCH('Pagos Mayoristas'!C80,'Precio Mayorista'!$G$76:$G$94,0))*INDEX('Informacion del AEP'!$F$90:$AE$108,MATCH('Pagos Mayoristas'!C80,'Informacion del AEP'!$C$90:$C$108,0),MATCH('Pagos Mayoristas'!$C$62,'Informacion del AEP'!$F$89:$AE$89,0))</f>
        <v>5250000</v>
      </c>
    </row>
    <row r="81" spans="3:15" x14ac:dyDescent="0.25">
      <c r="C81" s="5" t="str">
        <f>IF(Supuestos!B66="","",Supuestos!B66)</f>
        <v>Otros servicios (incluyendo marcaciones especiales)</v>
      </c>
      <c r="D81" s="78">
        <f>INDEX('Informacion del AEP'!$F$90:$AE$108,MATCH('Pagos Mayoristas'!$C81,'Informacion del AEP'!$C$90:$C$108,0),MATCH('Pagos Mayoristas'!C$62,'Informacion del AEP'!$F$89:$AE$89,0))*INDEX('Hoja Auxiliar'!$D$40:$D$58,MATCH('Pagos Mayoristas'!$C81,'Hoja Auxiliar'!$C$40:$C$58,0))</f>
        <v>105000000</v>
      </c>
      <c r="F81" s="238">
        <f>IF(C81="","",('Precio Mayorista'!$D$100*INDEX('Informacion del AEP'!$D$90:$AE$108,MATCH(C81,'Informacion del AEP'!$C$90:$C$108,0),MATCH($C$62,'Informacion del AEP'!$D$89:$AE$89,0))*INDEX('Informacion del AEP'!$F$169:$F$187,MATCH(C81,'Informacion del AEP'!$C$169:$C$187,0))))</f>
        <v>0</v>
      </c>
      <c r="N81" s="209">
        <f>INDEX('Precio Mayorista'!$D$76:$D$94,MATCH('Pagos Mayoristas'!C81,'Precio Mayorista'!$G$76:$G$94,0))*INDEX('Informacion del AEP'!$F$90:$AE$108,MATCH('Pagos Mayoristas'!C81,'Informacion del AEP'!$C$90:$C$108,0),MATCH('Pagos Mayoristas'!$C$62,'Informacion del AEP'!$F$89:$AE$89,0))</f>
        <v>0</v>
      </c>
    </row>
    <row r="82" spans="3:15" x14ac:dyDescent="0.25">
      <c r="D82" s="78"/>
      <c r="F82" s="78"/>
    </row>
    <row r="83" spans="3:15" ht="13" x14ac:dyDescent="0.3">
      <c r="C83" s="64"/>
      <c r="D83" s="78"/>
      <c r="F83" s="78"/>
    </row>
    <row r="84" spans="3:15" x14ac:dyDescent="0.25">
      <c r="F84" s="78"/>
    </row>
    <row r="85" spans="3:15" x14ac:dyDescent="0.25">
      <c r="F85" s="78"/>
    </row>
    <row r="87" spans="3:15" x14ac:dyDescent="0.25">
      <c r="D87" s="78"/>
    </row>
    <row r="88" spans="3:15" ht="13" x14ac:dyDescent="0.3">
      <c r="C88" s="74" t="str">
        <f>Supuestos!$B$78</f>
        <v>Telcel Prepago 1</v>
      </c>
      <c r="D88" s="77">
        <f>SUM(D89:D107)</f>
        <v>239856100</v>
      </c>
      <c r="E88" s="75"/>
      <c r="F88" s="77">
        <f>SUM(F89:F107)</f>
        <v>0</v>
      </c>
      <c r="G88" s="75"/>
      <c r="H88" s="77"/>
      <c r="I88" s="77">
        <f>INDEX('Informacion del AEP'!$H$31:$H$84,MATCH('Pagos Mayoristas'!C88,'Informacion del AEP'!$C$31:$C$84,0))*'Hoja Auxiliar'!$D$61</f>
        <v>20625000</v>
      </c>
      <c r="J88" s="4"/>
      <c r="K88" s="77"/>
      <c r="L88" s="204">
        <f>$L$10*(INDEX('Informacion del AEP'!$F$12:$AE$12,MATCH('Pagos Mayoristas'!C88,'Informacion del AEP'!$F$11:$AE$11,0))/INDEX('Informacion del AEP'!$F$12:$AE$12,MATCH('Pagos Mayoristas'!$C$10,'Informacion del AEP'!$F$11:$AE$11,0)))</f>
        <v>134036.14457831316</v>
      </c>
      <c r="M88" s="204"/>
      <c r="N88" s="77">
        <f>SUM(N89:N107)</f>
        <v>34592400</v>
      </c>
      <c r="O88" s="204">
        <f>SUM(D88:N88)</f>
        <v>295207536.14457834</v>
      </c>
    </row>
    <row r="89" spans="3:15" x14ac:dyDescent="0.25">
      <c r="C89" s="5" t="str">
        <f>IF(Supuestos!B48="","",Supuestos!B48)</f>
        <v>Datos</v>
      </c>
      <c r="D89" s="78">
        <f>INDEX('Informacion del AEP'!$F$90:$AE$108,MATCH('Pagos Mayoristas'!$C89,'Informacion del AEP'!$C$90:$C$108,0),MATCH('Pagos Mayoristas'!C$88,'Informacion del AEP'!$F$89:$AE$89,0))*INDEX('Hoja Auxiliar'!$D$40:$D$58,MATCH('Pagos Mayoristas'!$C89,'Hoja Auxiliar'!$C$40:$C$58,0))</f>
        <v>127000000</v>
      </c>
      <c r="F89" s="238">
        <f>IF(C89="","",('Precio Mayorista'!$D$100*INDEX('Informacion del AEP'!$D$90:$AE$108,MATCH(C89,'Informacion del AEP'!$C$90:$C$108,0),MATCH($C$88,'Informacion del AEP'!$D$89:$AE$89,0))*INDEX('Informacion del AEP'!$F$169:$F$187,MATCH(C89,'Informacion del AEP'!$C$169:$C$187,0))))</f>
        <v>0</v>
      </c>
      <c r="N89" s="209">
        <f>INDEX('Precio Mayorista'!$D$76:$D$94,MATCH('Pagos Mayoristas'!C89,'Precio Mayorista'!$G$76:$G$94,0))*INDEX('Informacion del AEP'!$F$90:$AE$108,MATCH('Pagos Mayoristas'!C89,'Informacion del AEP'!$C$90:$C$108,0),MATCH('Pagos Mayoristas'!$C$88,'Informacion del AEP'!$F$89:$AE$89,0))</f>
        <v>0</v>
      </c>
    </row>
    <row r="90" spans="3:15" x14ac:dyDescent="0.25">
      <c r="C90" s="5" t="str">
        <f>IF(Supuestos!B49="","",Supuestos!B49)</f>
        <v>Originación voz on-net local</v>
      </c>
      <c r="D90" s="78">
        <f>INDEX('Informacion del AEP'!$F$90:$AE$108,MATCH('Pagos Mayoristas'!$C90,'Informacion del AEP'!$C$90:$C$108,0),MATCH('Pagos Mayoristas'!C$88,'Informacion del AEP'!$F$89:$AE$89,0))*INDEX('Hoja Auxiliar'!$D$40:$D$58,MATCH('Pagos Mayoristas'!$C90,'Hoja Auxiliar'!$C$40:$C$58,0))</f>
        <v>30000000</v>
      </c>
      <c r="F90" s="238">
        <f>IF(C90="","",('Precio Mayorista'!$D$100*INDEX('Informacion del AEP'!$D$90:$AE$108,MATCH(C90,'Informacion del AEP'!$C$90:$C$108,0),MATCH($C$88,'Informacion del AEP'!$D$89:$AE$89,0))*INDEX('Informacion del AEP'!$F$169:$F$187,MATCH(C90,'Informacion del AEP'!$C$169:$C$187,0))))</f>
        <v>0</v>
      </c>
      <c r="N90" s="209">
        <f>INDEX('Precio Mayorista'!$D$76:$D$94,MATCH('Pagos Mayoristas'!C90,'Precio Mayorista'!$G$76:$G$94,0))*INDEX('Informacion del AEP'!$F$90:$AE$108,MATCH('Pagos Mayoristas'!C90,'Informacion del AEP'!$C$90:$C$108,0),MATCH('Pagos Mayoristas'!$C$88,'Informacion del AEP'!$F$89:$AE$89,0))</f>
        <v>0</v>
      </c>
    </row>
    <row r="91" spans="3:15" x14ac:dyDescent="0.25">
      <c r="C91" s="5" t="str">
        <f>IF(Supuestos!B50="","",Supuestos!B50)</f>
        <v>Originación voz off-net móvil local</v>
      </c>
      <c r="D91" s="78">
        <f>INDEX('Informacion del AEP'!$F$90:$AE$108,MATCH('Pagos Mayoristas'!$C91,'Informacion del AEP'!$C$90:$C$108,0),MATCH('Pagos Mayoristas'!C$88,'Informacion del AEP'!$F$89:$AE$89,0))*INDEX('Hoja Auxiliar'!$D$40:$D$58,MATCH('Pagos Mayoristas'!$C91,'Hoja Auxiliar'!$C$40:$C$58,0))</f>
        <v>6000000</v>
      </c>
      <c r="F91" s="238">
        <f>IF(C91="","",('Precio Mayorista'!$D$100*INDEX('Informacion del AEP'!$D$90:$AE$108,MATCH(C91,'Informacion del AEP'!$C$90:$C$108,0),MATCH($C$88,'Informacion del AEP'!$D$89:$AE$89,0))*INDEX('Informacion del AEP'!$F$169:$F$187,MATCH(C91,'Informacion del AEP'!$C$169:$C$187,0))))</f>
        <v>0</v>
      </c>
      <c r="N91" s="209">
        <f>INDEX('Precio Mayorista'!$D$76:$D$94,MATCH('Pagos Mayoristas'!C91,'Precio Mayorista'!$G$76:$G$94,0))*INDEX('Informacion del AEP'!$F$90:$AE$108,MATCH('Pagos Mayoristas'!C91,'Informacion del AEP'!$C$90:$C$108,0),MATCH('Pagos Mayoristas'!$C$88,'Informacion del AEP'!$F$89:$AE$89,0))</f>
        <v>8444200</v>
      </c>
    </row>
    <row r="92" spans="3:15" x14ac:dyDescent="0.25">
      <c r="C92" s="5" t="str">
        <f>IF(Supuestos!B51="","",Supuestos!B51)</f>
        <v>Originación voz off-net fijo local</v>
      </c>
      <c r="D92" s="78">
        <f>INDEX('Informacion del AEP'!$F$90:$AE$108,MATCH('Pagos Mayoristas'!$C92,'Informacion del AEP'!$C$90:$C$108,0),MATCH('Pagos Mayoristas'!C$88,'Informacion del AEP'!$F$89:$AE$89,0))*INDEX('Hoja Auxiliar'!$D$40:$D$58,MATCH('Pagos Mayoristas'!$C92,'Hoja Auxiliar'!$C$40:$C$58,0))</f>
        <v>3000000</v>
      </c>
      <c r="F92" s="238">
        <f>IF(C92="","",('Precio Mayorista'!$D$100*INDEX('Informacion del AEP'!$D$90:$AE$108,MATCH(C92,'Informacion del AEP'!$C$90:$C$108,0),MATCH($C$88,'Informacion del AEP'!$D$89:$AE$89,0))*INDEX('Informacion del AEP'!$F$169:$F$187,MATCH(C92,'Informacion del AEP'!$C$169:$C$187,0))))</f>
        <v>0</v>
      </c>
      <c r="N92" s="209">
        <f>INDEX('Precio Mayorista'!$D$76:$D$94,MATCH('Pagos Mayoristas'!C92,'Precio Mayorista'!$G$76:$G$94,0))*INDEX('Informacion del AEP'!$F$90:$AE$108,MATCH('Pagos Mayoristas'!C92,'Informacion del AEP'!$C$90:$C$108,0),MATCH('Pagos Mayoristas'!$C$88,'Informacion del AEP'!$F$89:$AE$89,0))</f>
        <v>334300</v>
      </c>
    </row>
    <row r="93" spans="3:15" x14ac:dyDescent="0.25">
      <c r="C93" s="5" t="str">
        <f>IF(Supuestos!B52="","",Supuestos!B52)</f>
        <v>Originación voz on-net LDN</v>
      </c>
      <c r="D93" s="78">
        <f>INDEX('Informacion del AEP'!$F$90:$AE$108,MATCH('Pagos Mayoristas'!$C93,'Informacion del AEP'!$C$90:$C$108,0),MATCH('Pagos Mayoristas'!C$88,'Informacion del AEP'!$F$89:$AE$89,0))*INDEX('Hoja Auxiliar'!$D$40:$D$58,MATCH('Pagos Mayoristas'!$C93,'Hoja Auxiliar'!$C$40:$C$58,0))</f>
        <v>45000000</v>
      </c>
      <c r="F93" s="238">
        <f>IF(C93="","",('Precio Mayorista'!$D$100*INDEX('Informacion del AEP'!$D$90:$AE$108,MATCH(C93,'Informacion del AEP'!$C$90:$C$108,0),MATCH($C$88,'Informacion del AEP'!$D$89:$AE$89,0))*INDEX('Informacion del AEP'!$F$169:$F$187,MATCH(C93,'Informacion del AEP'!$C$169:$C$187,0))))</f>
        <v>0</v>
      </c>
      <c r="N93" s="209">
        <f>INDEX('Precio Mayorista'!$D$76:$D$94,MATCH('Pagos Mayoristas'!C93,'Precio Mayorista'!$G$76:$G$94,0))*INDEX('Informacion del AEP'!$F$90:$AE$108,MATCH('Pagos Mayoristas'!C93,'Informacion del AEP'!$C$90:$C$108,0),MATCH('Pagos Mayoristas'!$C$88,'Informacion del AEP'!$F$89:$AE$89,0))</f>
        <v>0</v>
      </c>
    </row>
    <row r="94" spans="3:15" x14ac:dyDescent="0.25">
      <c r="C94" s="5" t="str">
        <f>IF(Supuestos!B53="","",Supuestos!B53)</f>
        <v>Originación voz off-net móvil LDN</v>
      </c>
      <c r="D94" s="78">
        <f>INDEX('Informacion del AEP'!$F$90:$AE$108,MATCH('Pagos Mayoristas'!$C94,'Informacion del AEP'!$C$90:$C$108,0),MATCH('Pagos Mayoristas'!C$88,'Informacion del AEP'!$F$89:$AE$89,0))*INDEX('Hoja Auxiliar'!$D$40:$D$58,MATCH('Pagos Mayoristas'!$C94,'Hoja Auxiliar'!$C$40:$C$58,0))</f>
        <v>4500000</v>
      </c>
      <c r="F94" s="238">
        <f>IF(C94="","",('Precio Mayorista'!$D$100*INDEX('Informacion del AEP'!$D$90:$AE$108,MATCH(C94,'Informacion del AEP'!$C$90:$C$108,0),MATCH($C$88,'Informacion del AEP'!$D$89:$AE$89,0))*INDEX('Informacion del AEP'!$F$169:$F$187,MATCH(C94,'Informacion del AEP'!$C$169:$C$187,0))))</f>
        <v>0</v>
      </c>
      <c r="N94" s="209">
        <f>INDEX('Precio Mayorista'!$D$76:$D$94,MATCH('Pagos Mayoristas'!C94,'Precio Mayorista'!$G$76:$G$94,0))*INDEX('Informacion del AEP'!$F$90:$AE$108,MATCH('Pagos Mayoristas'!C94,'Informacion del AEP'!$C$90:$C$108,0),MATCH('Pagos Mayoristas'!$C$88,'Informacion del AEP'!$F$89:$AE$89,0))</f>
        <v>6333150</v>
      </c>
    </row>
    <row r="95" spans="3:15" x14ac:dyDescent="0.25">
      <c r="C95" s="5" t="str">
        <f>IF(Supuestos!B54="","",Supuestos!B54)</f>
        <v>Originación voz off-net fijo LDN</v>
      </c>
      <c r="D95" s="78">
        <f>INDEX('Informacion del AEP'!$F$90:$AE$108,MATCH('Pagos Mayoristas'!$C95,'Informacion del AEP'!$C$90:$C$108,0),MATCH('Pagos Mayoristas'!C$88,'Informacion del AEP'!$F$89:$AE$89,0))*INDEX('Hoja Auxiliar'!$D$40:$D$58,MATCH('Pagos Mayoristas'!$C95,'Hoja Auxiliar'!$C$40:$C$58,0))</f>
        <v>1500000</v>
      </c>
      <c r="F95" s="238">
        <f>IF(C95="","",('Precio Mayorista'!$D$100*INDEX('Informacion del AEP'!$D$90:$AE$108,MATCH(C95,'Informacion del AEP'!$C$90:$C$108,0),MATCH($C$88,'Informacion del AEP'!$D$89:$AE$89,0))*INDEX('Informacion del AEP'!$F$169:$F$187,MATCH(C95,'Informacion del AEP'!$C$169:$C$187,0))))</f>
        <v>0</v>
      </c>
      <c r="N95" s="209">
        <f>INDEX('Precio Mayorista'!$D$76:$D$94,MATCH('Pagos Mayoristas'!C95,'Precio Mayorista'!$G$76:$G$94,0))*INDEX('Informacion del AEP'!$F$90:$AE$108,MATCH('Pagos Mayoristas'!C95,'Informacion del AEP'!$C$90:$C$108,0),MATCH('Pagos Mayoristas'!$C$88,'Informacion del AEP'!$F$89:$AE$89,0))</f>
        <v>167150</v>
      </c>
    </row>
    <row r="96" spans="3:15" x14ac:dyDescent="0.25">
      <c r="C96" s="5" t="str">
        <f>IF(Supuestos!B55="","",Supuestos!B55)</f>
        <v>Originación voz internacional USA-Canadá</v>
      </c>
      <c r="D96" s="78">
        <f>INDEX('Informacion del AEP'!$F$90:$AE$108,MATCH('Pagos Mayoristas'!$C96,'Informacion del AEP'!$C$90:$C$108,0),MATCH('Pagos Mayoristas'!C$88,'Informacion del AEP'!$F$89:$AE$89,0))*INDEX('Hoja Auxiliar'!$D$40:$D$58,MATCH('Pagos Mayoristas'!$C96,'Hoja Auxiliar'!$C$40:$C$58,0))</f>
        <v>3900000</v>
      </c>
      <c r="F96" s="238">
        <f>IF(C96="","",('Precio Mayorista'!$D$100*INDEX('Informacion del AEP'!$D$90:$AE$108,MATCH(C96,'Informacion del AEP'!$C$90:$C$108,0),MATCH($C$88,'Informacion del AEP'!$D$89:$AE$89,0))*INDEX('Informacion del AEP'!$F$169:$F$187,MATCH(C96,'Informacion del AEP'!$C$169:$C$187,0))))</f>
        <v>0</v>
      </c>
      <c r="N96" s="209">
        <f>INDEX('Precio Mayorista'!$D$76:$D$94,MATCH('Pagos Mayoristas'!C96,'Precio Mayorista'!$G$76:$G$94,0))*INDEX('Informacion del AEP'!$F$90:$AE$108,MATCH('Pagos Mayoristas'!C96,'Informacion del AEP'!$C$90:$C$108,0),MATCH('Pagos Mayoristas'!$C$88,'Informacion del AEP'!$F$89:$AE$89,0))</f>
        <v>6500000</v>
      </c>
    </row>
    <row r="97" spans="3:14" x14ac:dyDescent="0.25">
      <c r="C97" s="5" t="str">
        <f>IF(Supuestos!B56="","",Supuestos!B56)</f>
        <v>Originación voz internacional Mundial Centroamérica</v>
      </c>
      <c r="D97" s="78">
        <f>INDEX('Informacion del AEP'!$F$90:$AE$108,MATCH('Pagos Mayoristas'!$C97,'Informacion del AEP'!$C$90:$C$108,0),MATCH('Pagos Mayoristas'!C$88,'Informacion del AEP'!$F$89:$AE$89,0))*INDEX('Hoja Auxiliar'!$D$40:$D$58,MATCH('Pagos Mayoristas'!$C97,'Hoja Auxiliar'!$C$40:$C$58,0))</f>
        <v>9000</v>
      </c>
      <c r="F97" s="238">
        <f>IF(C97="","",('Precio Mayorista'!$D$100*INDEX('Informacion del AEP'!$D$90:$AE$108,MATCH(C97,'Informacion del AEP'!$C$90:$C$108,0),MATCH($C$88,'Informacion del AEP'!$D$89:$AE$89,0))*INDEX('Informacion del AEP'!$F$169:$F$187,MATCH(C97,'Informacion del AEP'!$C$169:$C$187,0))))</f>
        <v>0</v>
      </c>
      <c r="N97" s="209">
        <f>INDEX('Precio Mayorista'!$D$76:$D$94,MATCH('Pagos Mayoristas'!C97,'Precio Mayorista'!$G$76:$G$94,0))*INDEX('Informacion del AEP'!$F$90:$AE$108,MATCH('Pagos Mayoristas'!C97,'Informacion del AEP'!$C$90:$C$108,0),MATCH('Pagos Mayoristas'!$C$88,'Informacion del AEP'!$F$89:$AE$89,0))</f>
        <v>750000</v>
      </c>
    </row>
    <row r="98" spans="3:14" x14ac:dyDescent="0.25">
      <c r="C98" s="5" t="str">
        <f>IF(Supuestos!B57="","",Supuestos!B57)</f>
        <v>Originación voz internacional Mundial LATAM y Caribe</v>
      </c>
      <c r="D98" s="78">
        <f>INDEX('Informacion del AEP'!$F$90:$AE$108,MATCH('Pagos Mayoristas'!$C98,'Informacion del AEP'!$C$90:$C$108,0),MATCH('Pagos Mayoristas'!C$88,'Informacion del AEP'!$F$89:$AE$89,0))*INDEX('Hoja Auxiliar'!$D$40:$D$58,MATCH('Pagos Mayoristas'!$C98,'Hoja Auxiliar'!$C$40:$C$58,0))</f>
        <v>600</v>
      </c>
      <c r="F98" s="238">
        <f>IF(C98="","",('Precio Mayorista'!$D$100*INDEX('Informacion del AEP'!$D$90:$AE$108,MATCH(C98,'Informacion del AEP'!$C$90:$C$108,0),MATCH($C$88,'Informacion del AEP'!$D$89:$AE$89,0))*INDEX('Informacion del AEP'!$F$169:$F$187,MATCH(C98,'Informacion del AEP'!$C$169:$C$187,0))))</f>
        <v>0</v>
      </c>
      <c r="N98" s="209">
        <f>INDEX('Precio Mayorista'!$D$76:$D$94,MATCH('Pagos Mayoristas'!C98,'Precio Mayorista'!$G$76:$G$94,0))*INDEX('Informacion del AEP'!$F$90:$AE$108,MATCH('Pagos Mayoristas'!C98,'Informacion del AEP'!$C$90:$C$108,0),MATCH('Pagos Mayoristas'!$C$88,'Informacion del AEP'!$F$89:$AE$89,0))</f>
        <v>100000</v>
      </c>
    </row>
    <row r="99" spans="3:14" x14ac:dyDescent="0.25">
      <c r="C99" s="5" t="str">
        <f>IF(Supuestos!B58="","",Supuestos!B58)</f>
        <v>Originación voz internacional Europa</v>
      </c>
      <c r="D99" s="78">
        <f>INDEX('Informacion del AEP'!$F$90:$AE$108,MATCH('Pagos Mayoristas'!$C99,'Informacion del AEP'!$C$90:$C$108,0),MATCH('Pagos Mayoristas'!C$88,'Informacion del AEP'!$F$89:$AE$89,0))*INDEX('Hoja Auxiliar'!$D$40:$D$58,MATCH('Pagos Mayoristas'!$C99,'Hoja Auxiliar'!$C$40:$C$58,0))</f>
        <v>0</v>
      </c>
      <c r="F99" s="238">
        <f>IF(C99="","",('Precio Mayorista'!$D$100*INDEX('Informacion del AEP'!$D$90:$AE$108,MATCH(C99,'Informacion del AEP'!$C$90:$C$108,0),MATCH($C$88,'Informacion del AEP'!$D$89:$AE$89,0))*INDEX('Informacion del AEP'!$F$169:$F$187,MATCH(C99,'Informacion del AEP'!$C$169:$C$187,0))))</f>
        <v>0</v>
      </c>
      <c r="N99" s="209">
        <f>INDEX('Precio Mayorista'!$D$76:$D$94,MATCH('Pagos Mayoristas'!C99,'Precio Mayorista'!$G$76:$G$94,0))*INDEX('Informacion del AEP'!$F$90:$AE$108,MATCH('Pagos Mayoristas'!C99,'Informacion del AEP'!$C$90:$C$108,0),MATCH('Pagos Mayoristas'!$C$88,'Informacion del AEP'!$F$89:$AE$89,0))</f>
        <v>0</v>
      </c>
    </row>
    <row r="100" spans="3:14" x14ac:dyDescent="0.25">
      <c r="C100" s="5" t="str">
        <f>IF(Supuestos!B59="","",Supuestos!B59)</f>
        <v>Originación voz internacional Mundial Otros geográficos</v>
      </c>
      <c r="D100" s="78">
        <f>INDEX('Informacion del AEP'!$F$90:$AE$108,MATCH('Pagos Mayoristas'!$C100,'Informacion del AEP'!$C$90:$C$108,0),MATCH('Pagos Mayoristas'!C$88,'Informacion del AEP'!$F$89:$AE$89,0))*INDEX('Hoja Auxiliar'!$D$40:$D$58,MATCH('Pagos Mayoristas'!$C100,'Hoja Auxiliar'!$C$40:$C$58,0))</f>
        <v>30000</v>
      </c>
      <c r="F100" s="238">
        <f>IF(C100="","",('Precio Mayorista'!$D$100*INDEX('Informacion del AEP'!$D$90:$AE$108,MATCH(C100,'Informacion del AEP'!$C$90:$C$108,0),MATCH($C$88,'Informacion del AEP'!$D$89:$AE$89,0))*INDEX('Informacion del AEP'!$F$169:$F$187,MATCH(C100,'Informacion del AEP'!$C$169:$C$187,0))))</f>
        <v>0</v>
      </c>
      <c r="N100" s="209">
        <f>INDEX('Precio Mayorista'!$D$76:$D$94,MATCH('Pagos Mayoristas'!C100,'Precio Mayorista'!$G$76:$G$94,0))*INDEX('Informacion del AEP'!$F$90:$AE$108,MATCH('Pagos Mayoristas'!C100,'Informacion del AEP'!$C$90:$C$108,0),MATCH('Pagos Mayoristas'!$C$88,'Informacion del AEP'!$F$89:$AE$89,0))</f>
        <v>5000000</v>
      </c>
    </row>
    <row r="101" spans="3:14" x14ac:dyDescent="0.25">
      <c r="C101" s="5" t="str">
        <f>IF(Supuestos!B60="","",Supuestos!B60)</f>
        <v>Originación voz internacional Cuba</v>
      </c>
      <c r="D101" s="78">
        <f>INDEX('Informacion del AEP'!$F$90:$AE$108,MATCH('Pagos Mayoristas'!$C101,'Informacion del AEP'!$C$90:$C$108,0),MATCH('Pagos Mayoristas'!C$88,'Informacion del AEP'!$F$89:$AE$89,0))*INDEX('Hoja Auxiliar'!$D$40:$D$58,MATCH('Pagos Mayoristas'!$C101,'Hoja Auxiliar'!$C$40:$C$58,0))</f>
        <v>1500</v>
      </c>
      <c r="F101" s="238">
        <f>IF(C101="","",('Precio Mayorista'!$D$100*INDEX('Informacion del AEP'!$D$90:$AE$108,MATCH(C101,'Informacion del AEP'!$C$90:$C$108,0),MATCH($C$88,'Informacion del AEP'!$D$89:$AE$89,0))*INDEX('Informacion del AEP'!$F$169:$F$187,MATCH(C101,'Informacion del AEP'!$C$169:$C$187,0))))</f>
        <v>0</v>
      </c>
      <c r="N101" s="209">
        <f>INDEX('Precio Mayorista'!$D$76:$D$94,MATCH('Pagos Mayoristas'!C101,'Precio Mayorista'!$G$76:$G$94,0))*INDEX('Informacion del AEP'!$F$90:$AE$108,MATCH('Pagos Mayoristas'!C101,'Informacion del AEP'!$C$90:$C$108,0),MATCH('Pagos Mayoristas'!$C$88,'Informacion del AEP'!$F$89:$AE$89,0))</f>
        <v>750000</v>
      </c>
    </row>
    <row r="102" spans="3:14" x14ac:dyDescent="0.25">
      <c r="C102" s="5" t="str">
        <f>IF(Supuestos!B61="","",Supuestos!B61)</f>
        <v>Originación voz Mundial destinos no geográficos</v>
      </c>
      <c r="D102" s="78">
        <f>INDEX('Informacion del AEP'!$F$90:$AE$108,MATCH('Pagos Mayoristas'!$C102,'Informacion del AEP'!$C$90:$C$108,0),MATCH('Pagos Mayoristas'!C$88,'Informacion del AEP'!$F$89:$AE$89,0))*INDEX('Hoja Auxiliar'!$D$40:$D$58,MATCH('Pagos Mayoristas'!$C102,'Hoja Auxiliar'!$C$40:$C$58,0))</f>
        <v>0</v>
      </c>
      <c r="F102" s="238">
        <f>IF(C102="","",('Precio Mayorista'!$D$100*INDEX('Informacion del AEP'!$D$90:$AE$108,MATCH(C102,'Informacion del AEP'!$C$90:$C$108,0),MATCH($C$88,'Informacion del AEP'!$D$89:$AE$89,0))*INDEX('Informacion del AEP'!$F$169:$F$187,MATCH(C102,'Informacion del AEP'!$C$169:$C$187,0))))</f>
        <v>0</v>
      </c>
      <c r="N102" s="209">
        <f>INDEX('Precio Mayorista'!$D$76:$D$94,MATCH('Pagos Mayoristas'!C102,'Precio Mayorista'!$G$76:$G$94,0))*INDEX('Informacion del AEP'!$F$90:$AE$108,MATCH('Pagos Mayoristas'!C102,'Informacion del AEP'!$C$90:$C$108,0),MATCH('Pagos Mayoristas'!$C$88,'Informacion del AEP'!$F$89:$AE$89,0))</f>
        <v>0</v>
      </c>
    </row>
    <row r="103" spans="3:14" x14ac:dyDescent="0.25">
      <c r="C103" s="5" t="str">
        <f>IF(Supuestos!B62="","",Supuestos!B62)</f>
        <v>Originación SMS on-net</v>
      </c>
      <c r="D103" s="78">
        <f>INDEX('Informacion del AEP'!$F$90:$AE$108,MATCH('Pagos Mayoristas'!$C103,'Informacion del AEP'!$C$90:$C$108,0),MATCH('Pagos Mayoristas'!C$88,'Informacion del AEP'!$F$89:$AE$89,0))*INDEX('Hoja Auxiliar'!$D$40:$D$58,MATCH('Pagos Mayoristas'!$C103,'Hoja Auxiliar'!$C$40:$C$58,0))</f>
        <v>3000000</v>
      </c>
      <c r="F103" s="238">
        <f>IF(C103="","",('Precio Mayorista'!$D$100*INDEX('Informacion del AEP'!$D$90:$AE$108,MATCH(C103,'Informacion del AEP'!$C$90:$C$108,0),MATCH($C$88,'Informacion del AEP'!$D$89:$AE$89,0))*INDEX('Informacion del AEP'!$F$169:$F$187,MATCH(C103,'Informacion del AEP'!$C$169:$C$187,0))))</f>
        <v>0</v>
      </c>
      <c r="N103" s="209">
        <f>INDEX('Precio Mayorista'!$D$76:$D$94,MATCH('Pagos Mayoristas'!C103,'Precio Mayorista'!$G$76:$G$94,0))*INDEX('Informacion del AEP'!$F$90:$AE$108,MATCH('Pagos Mayoristas'!C103,'Informacion del AEP'!$C$90:$C$108,0),MATCH('Pagos Mayoristas'!$C$88,'Informacion del AEP'!$F$89:$AE$89,0))</f>
        <v>0</v>
      </c>
    </row>
    <row r="104" spans="3:14" x14ac:dyDescent="0.25">
      <c r="C104" s="5" t="str">
        <f>IF(Supuestos!B63="","",Supuestos!B63)</f>
        <v>Originación SMS - off-net nacional</v>
      </c>
      <c r="D104" s="78">
        <f>INDEX('Informacion del AEP'!$F$90:$AE$108,MATCH('Pagos Mayoristas'!$C104,'Informacion del AEP'!$C$90:$C$108,0),MATCH('Pagos Mayoristas'!C$88,'Informacion del AEP'!$F$89:$AE$89,0))*INDEX('Hoja Auxiliar'!$D$40:$D$58,MATCH('Pagos Mayoristas'!$C104,'Hoja Auxiliar'!$C$40:$C$58,0))</f>
        <v>750000</v>
      </c>
      <c r="F104" s="238">
        <f>IF(C104="","",('Precio Mayorista'!$D$100*INDEX('Informacion del AEP'!$D$90:$AE$108,MATCH(C104,'Informacion del AEP'!$C$90:$C$108,0),MATCH($C$88,'Informacion del AEP'!$D$89:$AE$89,0))*INDEX('Informacion del AEP'!$F$169:$F$187,MATCH(C104,'Informacion del AEP'!$C$169:$C$187,0))))</f>
        <v>0</v>
      </c>
      <c r="N104" s="209">
        <f>INDEX('Precio Mayorista'!$D$76:$D$94,MATCH('Pagos Mayoristas'!C104,'Precio Mayorista'!$G$76:$G$94,0))*INDEX('Informacion del AEP'!$F$90:$AE$108,MATCH('Pagos Mayoristas'!C104,'Informacion del AEP'!$C$90:$C$108,0),MATCH('Pagos Mayoristas'!$C$88,'Informacion del AEP'!$F$89:$AE$89,0))</f>
        <v>463600.00000000006</v>
      </c>
    </row>
    <row r="105" spans="3:14" x14ac:dyDescent="0.25">
      <c r="C105" s="5" t="str">
        <f>IF(Supuestos!B64="","",Supuestos!B64)</f>
        <v>Originación SMS internacional (USA-Canadá)</v>
      </c>
      <c r="D105" s="78">
        <f>INDEX('Informacion del AEP'!$F$90:$AE$108,MATCH('Pagos Mayoristas'!$C105,'Informacion del AEP'!$C$90:$C$108,0),MATCH('Pagos Mayoristas'!C$88,'Informacion del AEP'!$F$89:$AE$89,0))*INDEX('Hoja Auxiliar'!$D$40:$D$58,MATCH('Pagos Mayoristas'!$C105,'Hoja Auxiliar'!$C$40:$C$58,0))</f>
        <v>150000</v>
      </c>
      <c r="F105" s="238">
        <f>IF(C105="","",('Precio Mayorista'!$D$100*INDEX('Informacion del AEP'!$D$90:$AE$108,MATCH(C105,'Informacion del AEP'!$C$90:$C$108,0),MATCH($C$88,'Informacion del AEP'!$D$89:$AE$89,0))*INDEX('Informacion del AEP'!$F$169:$F$187,MATCH(C105,'Informacion del AEP'!$C$169:$C$187,0))))</f>
        <v>0</v>
      </c>
      <c r="N105" s="209">
        <f>INDEX('Precio Mayorista'!$D$76:$D$94,MATCH('Pagos Mayoristas'!C105,'Precio Mayorista'!$G$76:$G$94,0))*INDEX('Informacion del AEP'!$F$90:$AE$108,MATCH('Pagos Mayoristas'!C105,'Informacion del AEP'!$C$90:$C$108,0),MATCH('Pagos Mayoristas'!$C$88,'Informacion del AEP'!$F$89:$AE$89,0))</f>
        <v>5000000</v>
      </c>
    </row>
    <row r="106" spans="3:14" x14ac:dyDescent="0.25">
      <c r="C106" s="5" t="str">
        <f>IF(Supuestos!B65="","",Supuestos!B65)</f>
        <v>Originación SMS internacional (Resto del Mundo)</v>
      </c>
      <c r="D106" s="78">
        <f>INDEX('Informacion del AEP'!$F$90:$AE$108,MATCH('Pagos Mayoristas'!$C106,'Informacion del AEP'!$C$90:$C$108,0),MATCH('Pagos Mayoristas'!C$88,'Informacion del AEP'!$F$89:$AE$89,0))*INDEX('Hoja Auxiliar'!$D$40:$D$58,MATCH('Pagos Mayoristas'!$C106,'Hoja Auxiliar'!$C$40:$C$58,0))</f>
        <v>15000</v>
      </c>
      <c r="F106" s="238">
        <f>IF(C106="","",('Precio Mayorista'!$D$100*INDEX('Informacion del AEP'!$D$90:$AE$108,MATCH(C106,'Informacion del AEP'!$C$90:$C$108,0),MATCH($C$88,'Informacion del AEP'!$D$89:$AE$89,0))*INDEX('Informacion del AEP'!$F$169:$F$187,MATCH(C106,'Informacion del AEP'!$C$169:$C$187,0))))</f>
        <v>0</v>
      </c>
      <c r="N106" s="209">
        <f>INDEX('Precio Mayorista'!$D$76:$D$94,MATCH('Pagos Mayoristas'!C106,'Precio Mayorista'!$G$76:$G$94,0))*INDEX('Informacion del AEP'!$F$90:$AE$108,MATCH('Pagos Mayoristas'!C106,'Informacion del AEP'!$C$90:$C$108,0),MATCH('Pagos Mayoristas'!$C$88,'Informacion del AEP'!$F$89:$AE$89,0))</f>
        <v>750000</v>
      </c>
    </row>
    <row r="107" spans="3:14" x14ac:dyDescent="0.25">
      <c r="C107" s="5" t="str">
        <f>IF(Supuestos!B66="","",Supuestos!B66)</f>
        <v>Otros servicios (incluyendo marcaciones especiales)</v>
      </c>
      <c r="D107" s="78">
        <f>INDEX('Informacion del AEP'!$F$90:$AE$108,MATCH('Pagos Mayoristas'!$C107,'Informacion del AEP'!$C$90:$C$108,0),MATCH('Pagos Mayoristas'!C$88,'Informacion del AEP'!$F$89:$AE$89,0))*INDEX('Hoja Auxiliar'!$D$40:$D$58,MATCH('Pagos Mayoristas'!$C107,'Hoja Auxiliar'!$C$40:$C$58,0))</f>
        <v>15000000</v>
      </c>
      <c r="F107" s="238">
        <f>IF(C107="","",('Precio Mayorista'!$D$100*INDEX('Informacion del AEP'!$D$90:$AE$108,MATCH(C107,'Informacion del AEP'!$C$90:$C$108,0),MATCH($C$88,'Informacion del AEP'!$D$89:$AE$89,0))*INDEX('Informacion del AEP'!$F$169:$F$187,MATCH(C107,'Informacion del AEP'!$C$169:$C$187,0))))</f>
        <v>0</v>
      </c>
      <c r="N107" s="209">
        <f>INDEX('Precio Mayorista'!$D$76:$D$94,MATCH('Pagos Mayoristas'!C107,'Precio Mayorista'!$G$76:$G$94,0))*INDEX('Informacion del AEP'!$F$90:$AE$108,MATCH('Pagos Mayoristas'!C107,'Informacion del AEP'!$C$90:$C$108,0),MATCH('Pagos Mayoristas'!$C$88,'Informacion del AEP'!$F$89:$AE$89,0))</f>
        <v>0</v>
      </c>
    </row>
    <row r="108" spans="3:14" x14ac:dyDescent="0.25">
      <c r="D108" s="78"/>
      <c r="F108" s="78"/>
    </row>
    <row r="109" spans="3:14" ht="13" x14ac:dyDescent="0.3">
      <c r="C109" s="64"/>
      <c r="D109" s="78"/>
      <c r="F109" s="78"/>
    </row>
    <row r="110" spans="3:14" x14ac:dyDescent="0.25">
      <c r="F110" s="78"/>
    </row>
    <row r="111" spans="3:14" x14ac:dyDescent="0.25">
      <c r="F111" s="78"/>
    </row>
    <row r="113" spans="3:15" x14ac:dyDescent="0.25">
      <c r="D113" s="78"/>
    </row>
    <row r="114" spans="3:15" ht="13" x14ac:dyDescent="0.3">
      <c r="C114" s="74" t="str">
        <f>Supuestos!$B$79</f>
        <v>Telcel Prepago 2</v>
      </c>
      <c r="D114" s="77">
        <f>SUM(D115:D133)</f>
        <v>688938653.85028601</v>
      </c>
      <c r="E114" s="75"/>
      <c r="F114" s="77">
        <f>SUM(F115:F133)</f>
        <v>0</v>
      </c>
      <c r="G114" s="75"/>
      <c r="H114" s="77"/>
      <c r="I114" s="77">
        <f>INDEX('Informacion del AEP'!$H$31:$H$84,MATCH('Pagos Mayoristas'!C114,'Informacion del AEP'!$C$31:$C$84,0))*'Hoja Auxiliar'!$D$61</f>
        <v>562500</v>
      </c>
      <c r="J114" s="4"/>
      <c r="K114" s="77"/>
      <c r="L114" s="204">
        <f>$L$10*(INDEX('Informacion del AEP'!$F$12:$AE$12,MATCH('Pagos Mayoristas'!C114,'Informacion del AEP'!$F$11:$AE$11,0))/INDEX('Informacion del AEP'!$F$12:$AE$12,MATCH('Pagos Mayoristas'!$C$10,'Informacion del AEP'!$F$11:$AE$11,0)))</f>
        <v>134036.14457831316</v>
      </c>
      <c r="M114" s="204"/>
      <c r="N114" s="77">
        <f>SUM(N115:N133)</f>
        <v>20231858.389023714</v>
      </c>
      <c r="O114" s="204">
        <f>SUM(D114:N114)</f>
        <v>709867048.38388801</v>
      </c>
    </row>
    <row r="115" spans="3:15" x14ac:dyDescent="0.25">
      <c r="C115" s="5" t="str">
        <f>IF(Supuestos!B48="","",Supuestos!B48)</f>
        <v>Datos</v>
      </c>
      <c r="D115" s="78">
        <f>INDEX('Informacion del AEP'!$F$90:$AE$108,MATCH('Pagos Mayoristas'!$C115,'Informacion del AEP'!$C$90:$C$108,0),MATCH('Pagos Mayoristas'!C$114,'Informacion del AEP'!$F$89:$AE$89,0))*INDEX('Hoja Auxiliar'!$D$40:$D$58,MATCH('Pagos Mayoristas'!$C115,'Hoja Auxiliar'!$C$40:$C$58,0))</f>
        <v>617854078.69928586</v>
      </c>
      <c r="F115" s="238">
        <f>IF(C115="","",('Precio Mayorista'!$D$100*INDEX('Informacion del AEP'!$D$90:$AE$108,MATCH(C115,'Informacion del AEP'!$C$90:$C$108,0),MATCH($C$114,'Informacion del AEP'!$D$89:$AE$89,0))*INDEX('Informacion del AEP'!$F$169:$F$187,MATCH(C115,'Informacion del AEP'!$C$169:$C$187,0))))</f>
        <v>0</v>
      </c>
      <c r="N115" s="209">
        <f>INDEX('Precio Mayorista'!$D$76:$D$94,MATCH('Pagos Mayoristas'!C115,'Precio Mayorista'!$G$76:$G$94,0))*INDEX('Informacion del AEP'!$F$90:$AE$108,MATCH('Pagos Mayoristas'!C115,'Informacion del AEP'!$C$90:$C$108,0),MATCH('Pagos Mayoristas'!$C$114,'Informacion del AEP'!$F$89:$AE$89,0))</f>
        <v>0</v>
      </c>
    </row>
    <row r="116" spans="3:15" x14ac:dyDescent="0.25">
      <c r="C116" s="5" t="str">
        <f>IF(Supuestos!B49="","",Supuestos!B49)</f>
        <v>Originación voz on-net local</v>
      </c>
      <c r="D116" s="78">
        <f>INDEX('Informacion del AEP'!$F$90:$AE$108,MATCH('Pagos Mayoristas'!$C116,'Informacion del AEP'!$C$90:$C$108,0),MATCH('Pagos Mayoristas'!C$114,'Informacion del AEP'!$F$89:$AE$89,0))*INDEX('Hoja Auxiliar'!$D$40:$D$58,MATCH('Pagos Mayoristas'!$C116,'Hoja Auxiliar'!$C$40:$C$58,0))</f>
        <v>31140152.959499944</v>
      </c>
      <c r="F116" s="238">
        <f>IF(C116="","",('Precio Mayorista'!$D$100*INDEX('Informacion del AEP'!$D$90:$AE$108,MATCH(C116,'Informacion del AEP'!$C$90:$C$108,0),MATCH($C$114,'Informacion del AEP'!$D$89:$AE$89,0))*INDEX('Informacion del AEP'!$F$169:$F$187,MATCH(C116,'Informacion del AEP'!$C$169:$C$187,0))))</f>
        <v>0</v>
      </c>
      <c r="N116" s="209">
        <f>INDEX('Precio Mayorista'!$D$76:$D$94,MATCH('Pagos Mayoristas'!C116,'Precio Mayorista'!$G$76:$G$94,0))*INDEX('Informacion del AEP'!$F$90:$AE$108,MATCH('Pagos Mayoristas'!C116,'Informacion del AEP'!$C$90:$C$108,0),MATCH('Pagos Mayoristas'!$C$114,'Informacion del AEP'!$F$89:$AE$89,0))</f>
        <v>0</v>
      </c>
    </row>
    <row r="117" spans="3:15" x14ac:dyDescent="0.25">
      <c r="C117" s="5" t="str">
        <f>IF(Supuestos!B50="","",Supuestos!B50)</f>
        <v>Originación voz off-net móvil local</v>
      </c>
      <c r="D117" s="78">
        <f>INDEX('Informacion del AEP'!$F$90:$AE$108,MATCH('Pagos Mayoristas'!$C117,'Informacion del AEP'!$C$90:$C$108,0),MATCH('Pagos Mayoristas'!C$114,'Informacion del AEP'!$F$89:$AE$89,0))*INDEX('Hoja Auxiliar'!$D$40:$D$58,MATCH('Pagos Mayoristas'!$C117,'Hoja Auxiliar'!$C$40:$C$58,0))</f>
        <v>4744327.0699999947</v>
      </c>
      <c r="F117" s="238">
        <f>IF(C117="","",('Precio Mayorista'!$D$100*INDEX('Informacion del AEP'!$D$90:$AE$108,MATCH(C117,'Informacion del AEP'!$C$90:$C$108,0),MATCH($C$114,'Informacion del AEP'!$D$89:$AE$89,0))*INDEX('Informacion del AEP'!$F$169:$F$187,MATCH(C117,'Informacion del AEP'!$C$169:$C$187,0))))</f>
        <v>0</v>
      </c>
      <c r="N117" s="209">
        <f>INDEX('Precio Mayorista'!$D$76:$D$94,MATCH('Pagos Mayoristas'!C117,'Precio Mayorista'!$G$76:$G$94,0))*INDEX('Informacion del AEP'!$F$90:$AE$108,MATCH('Pagos Mayoristas'!C117,'Informacion del AEP'!$C$90:$C$108,0),MATCH('Pagos Mayoristas'!$C$114,'Informacion del AEP'!$F$89:$AE$89,0))</f>
        <v>6677007.7740823273</v>
      </c>
    </row>
    <row r="118" spans="3:15" x14ac:dyDescent="0.25">
      <c r="C118" s="5" t="str">
        <f>IF(Supuestos!B51="","",Supuestos!B51)</f>
        <v>Originación voz off-net fijo local</v>
      </c>
      <c r="D118" s="78">
        <f>INDEX('Informacion del AEP'!$F$90:$AE$108,MATCH('Pagos Mayoristas'!$C118,'Informacion del AEP'!$C$90:$C$108,0),MATCH('Pagos Mayoristas'!C$114,'Informacion del AEP'!$F$89:$AE$89,0))*INDEX('Hoja Auxiliar'!$D$40:$D$58,MATCH('Pagos Mayoristas'!$C118,'Hoja Auxiliar'!$C$40:$C$58,0))</f>
        <v>2392022.6774999918</v>
      </c>
      <c r="F118" s="238">
        <f>IF(C118="","",('Precio Mayorista'!$D$100*INDEX('Informacion del AEP'!$D$90:$AE$108,MATCH(C118,'Informacion del AEP'!$C$90:$C$108,0),MATCH($C$114,'Informacion del AEP'!$D$89:$AE$89,0))*INDEX('Informacion del AEP'!$F$169:$F$187,MATCH(C118,'Informacion del AEP'!$C$169:$C$187,0))))</f>
        <v>0</v>
      </c>
      <c r="N118" s="209">
        <f>INDEX('Precio Mayorista'!$D$76:$D$94,MATCH('Pagos Mayoristas'!C118,'Precio Mayorista'!$G$76:$G$94,0))*INDEX('Informacion del AEP'!$F$90:$AE$108,MATCH('Pagos Mayoristas'!C118,'Informacion del AEP'!$C$90:$C$108,0),MATCH('Pagos Mayoristas'!$C$114,'Informacion del AEP'!$F$89:$AE$89,0))</f>
        <v>266551.06036274909</v>
      </c>
    </row>
    <row r="119" spans="3:15" x14ac:dyDescent="0.25">
      <c r="C119" s="5" t="str">
        <f>IF(Supuestos!B52="","",Supuestos!B52)</f>
        <v>Originación voz on-net LDN</v>
      </c>
      <c r="D119" s="78">
        <f>INDEX('Informacion del AEP'!$F$90:$AE$108,MATCH('Pagos Mayoristas'!$C119,'Informacion del AEP'!$C$90:$C$108,0),MATCH('Pagos Mayoristas'!C$114,'Informacion del AEP'!$F$89:$AE$89,0))*INDEX('Hoja Auxiliar'!$D$40:$D$58,MATCH('Pagos Mayoristas'!$C119,'Hoja Auxiliar'!$C$40:$C$58,0))</f>
        <v>17525221.912499983</v>
      </c>
      <c r="F119" s="238">
        <f>IF(C119="","",('Precio Mayorista'!$D$100*INDEX('Informacion del AEP'!$D$90:$AE$108,MATCH(C119,'Informacion del AEP'!$C$90:$C$108,0),MATCH($C$114,'Informacion del AEP'!$D$89:$AE$89,0))*INDEX('Informacion del AEP'!$F$169:$F$187,MATCH(C119,'Informacion del AEP'!$C$169:$C$187,0))))</f>
        <v>0</v>
      </c>
      <c r="N119" s="209">
        <f>INDEX('Precio Mayorista'!$D$76:$D$94,MATCH('Pagos Mayoristas'!C119,'Precio Mayorista'!$G$76:$G$94,0))*INDEX('Informacion del AEP'!$F$90:$AE$108,MATCH('Pagos Mayoristas'!C119,'Informacion del AEP'!$C$90:$C$108,0),MATCH('Pagos Mayoristas'!$C$114,'Informacion del AEP'!$F$89:$AE$89,0))</f>
        <v>0</v>
      </c>
    </row>
    <row r="120" spans="3:15" x14ac:dyDescent="0.25">
      <c r="C120" s="5" t="str">
        <f>IF(Supuestos!B53="","",Supuestos!B53)</f>
        <v>Originación voz off-net móvil LDN</v>
      </c>
      <c r="D120" s="78">
        <f>INDEX('Informacion del AEP'!$F$90:$AE$108,MATCH('Pagos Mayoristas'!$C120,'Informacion del AEP'!$C$90:$C$108,0),MATCH('Pagos Mayoristas'!C$114,'Informacion del AEP'!$F$89:$AE$89,0))*INDEX('Hoja Auxiliar'!$D$40:$D$58,MATCH('Pagos Mayoristas'!$C120,'Hoja Auxiliar'!$C$40:$C$58,0))</f>
        <v>3349143.3934999905</v>
      </c>
      <c r="F120" s="238">
        <f>IF(C120="","",('Precio Mayorista'!$D$100*INDEX('Informacion del AEP'!$D$90:$AE$108,MATCH(C120,'Informacion del AEP'!$C$90:$C$108,0),MATCH($C$114,'Informacion del AEP'!$D$89:$AE$89,0))*INDEX('Informacion del AEP'!$F$169:$F$187,MATCH(C120,'Informacion del AEP'!$C$169:$C$187,0))))</f>
        <v>0</v>
      </c>
      <c r="N120" s="209">
        <f>INDEX('Precio Mayorista'!$D$76:$D$94,MATCH('Pagos Mayoristas'!C120,'Precio Mayorista'!$G$76:$G$94,0))*INDEX('Informacion del AEP'!$F$90:$AE$108,MATCH('Pagos Mayoristas'!C120,'Informacion del AEP'!$C$90:$C$108,0),MATCH('Pagos Mayoristas'!$C$114,'Informacion del AEP'!$F$89:$AE$89,0))</f>
        <v>4713472.7738987701</v>
      </c>
    </row>
    <row r="121" spans="3:15" x14ac:dyDescent="0.25">
      <c r="C121" s="5" t="str">
        <f>IF(Supuestos!B54="","",Supuestos!B54)</f>
        <v>Originación voz off-net fijo LDN</v>
      </c>
      <c r="D121" s="78">
        <f>INDEX('Informacion del AEP'!$F$90:$AE$108,MATCH('Pagos Mayoristas'!$C121,'Informacion del AEP'!$C$90:$C$108,0),MATCH('Pagos Mayoristas'!C$114,'Informacion del AEP'!$F$89:$AE$89,0))*INDEX('Hoja Auxiliar'!$D$40:$D$58,MATCH('Pagos Mayoristas'!$C121,'Hoja Auxiliar'!$C$40:$C$58,0))</f>
        <v>1757748.8189999976</v>
      </c>
      <c r="F121" s="238">
        <f>IF(C121="","",('Precio Mayorista'!$D$100*INDEX('Informacion del AEP'!$D$90:$AE$108,MATCH(C121,'Informacion del AEP'!$C$90:$C$108,0),MATCH($C$114,'Informacion del AEP'!$D$89:$AE$89,0))*INDEX('Informacion del AEP'!$F$169:$F$187,MATCH(C121,'Informacion del AEP'!$C$169:$C$187,0))))</f>
        <v>0</v>
      </c>
      <c r="N121" s="209">
        <f>INDEX('Precio Mayorista'!$D$76:$D$94,MATCH('Pagos Mayoristas'!C121,'Precio Mayorista'!$G$76:$G$94,0))*INDEX('Informacion del AEP'!$F$90:$AE$108,MATCH('Pagos Mayoristas'!C121,'Informacion del AEP'!$C$90:$C$108,0),MATCH('Pagos Mayoristas'!$C$114,'Informacion del AEP'!$F$89:$AE$89,0))</f>
        <v>195871.81006389976</v>
      </c>
    </row>
    <row r="122" spans="3:15" x14ac:dyDescent="0.25">
      <c r="C122" s="5" t="str">
        <f>IF(Supuestos!B55="","",Supuestos!B55)</f>
        <v>Originación voz internacional USA-Canadá</v>
      </c>
      <c r="D122" s="78">
        <f>INDEX('Informacion del AEP'!$F$90:$AE$108,MATCH('Pagos Mayoristas'!$C122,'Informacion del AEP'!$C$90:$C$108,0),MATCH('Pagos Mayoristas'!C$114,'Informacion del AEP'!$F$89:$AE$89,0))*INDEX('Hoja Auxiliar'!$D$40:$D$58,MATCH('Pagos Mayoristas'!$C122,'Hoja Auxiliar'!$C$40:$C$58,0))</f>
        <v>2104920.710999995</v>
      </c>
      <c r="F122" s="238">
        <f>IF(C122="","",('Precio Mayorista'!$D$100*INDEX('Informacion del AEP'!$D$90:$AE$108,MATCH(C122,'Informacion del AEP'!$C$90:$C$108,0),MATCH($C$114,'Informacion del AEP'!$D$89:$AE$89,0))*INDEX('Informacion del AEP'!$F$169:$F$187,MATCH(C122,'Informacion del AEP'!$C$169:$C$187,0))))</f>
        <v>0</v>
      </c>
      <c r="N122" s="209">
        <f>INDEX('Precio Mayorista'!$D$76:$D$94,MATCH('Pagos Mayoristas'!C122,'Precio Mayorista'!$G$76:$G$94,0))*INDEX('Informacion del AEP'!$F$90:$AE$108,MATCH('Pagos Mayoristas'!C122,'Informacion del AEP'!$C$90:$C$108,0),MATCH('Pagos Mayoristas'!$C$114,'Informacion del AEP'!$F$89:$AE$89,0))</f>
        <v>3508201.1849999921</v>
      </c>
    </row>
    <row r="123" spans="3:15" x14ac:dyDescent="0.25">
      <c r="C123" s="5" t="str">
        <f>IF(Supuestos!B56="","",Supuestos!B56)</f>
        <v>Originación voz internacional Mundial Centroamérica</v>
      </c>
      <c r="D123" s="78">
        <f>INDEX('Informacion del AEP'!$F$90:$AE$108,MATCH('Pagos Mayoristas'!$C123,'Informacion del AEP'!$C$90:$C$108,0),MATCH('Pagos Mayoristas'!C$114,'Informacion del AEP'!$F$89:$AE$89,0))*INDEX('Hoja Auxiliar'!$D$40:$D$58,MATCH('Pagos Mayoristas'!$C123,'Hoja Auxiliar'!$C$40:$C$58,0))</f>
        <v>872.76399999999114</v>
      </c>
      <c r="F123" s="238">
        <f>IF(C123="","",('Precio Mayorista'!$D$100*INDEX('Informacion del AEP'!$D$90:$AE$108,MATCH(C123,'Informacion del AEP'!$C$90:$C$108,0),MATCH($C$114,'Informacion del AEP'!$D$89:$AE$89,0))*INDEX('Informacion del AEP'!$F$169:$F$187,MATCH(C123,'Informacion del AEP'!$C$169:$C$187,0))))</f>
        <v>0</v>
      </c>
      <c r="N123" s="209">
        <f>INDEX('Precio Mayorista'!$D$76:$D$94,MATCH('Pagos Mayoristas'!C123,'Precio Mayorista'!$G$76:$G$94,0))*INDEX('Informacion del AEP'!$F$90:$AE$108,MATCH('Pagos Mayoristas'!C123,'Informacion del AEP'!$C$90:$C$108,0),MATCH('Pagos Mayoristas'!$C$114,'Informacion del AEP'!$F$89:$AE$89,0))</f>
        <v>72730.333333332601</v>
      </c>
    </row>
    <row r="124" spans="3:15" x14ac:dyDescent="0.25">
      <c r="C124" s="5" t="str">
        <f>IF(Supuestos!B57="","",Supuestos!B57)</f>
        <v>Originación voz internacional Mundial LATAM y Caribe</v>
      </c>
      <c r="D124" s="78">
        <f>INDEX('Informacion del AEP'!$F$90:$AE$108,MATCH('Pagos Mayoristas'!$C124,'Informacion del AEP'!$C$90:$C$108,0),MATCH('Pagos Mayoristas'!C$114,'Informacion del AEP'!$F$89:$AE$89,0))*INDEX('Hoja Auxiliar'!$D$40:$D$58,MATCH('Pagos Mayoristas'!$C124,'Hoja Auxiliar'!$C$40:$C$58,0))</f>
        <v>775.34499999998627</v>
      </c>
      <c r="F124" s="238">
        <f>IF(C124="","",('Precio Mayorista'!$D$100*INDEX('Informacion del AEP'!$D$90:$AE$108,MATCH(C124,'Informacion del AEP'!$C$90:$C$108,0),MATCH($C$114,'Informacion del AEP'!$D$89:$AE$89,0))*INDEX('Informacion del AEP'!$F$169:$F$187,MATCH(C124,'Informacion del AEP'!$C$169:$C$187,0))))</f>
        <v>0</v>
      </c>
      <c r="N124" s="209">
        <f>INDEX('Precio Mayorista'!$D$76:$D$94,MATCH('Pagos Mayoristas'!C124,'Precio Mayorista'!$G$76:$G$94,0))*INDEX('Informacion del AEP'!$F$90:$AE$108,MATCH('Pagos Mayoristas'!C124,'Informacion del AEP'!$C$90:$C$108,0),MATCH('Pagos Mayoristas'!$C$114,'Informacion del AEP'!$F$89:$AE$89,0))</f>
        <v>129224.16666666439</v>
      </c>
    </row>
    <row r="125" spans="3:15" x14ac:dyDescent="0.25">
      <c r="C125" s="5" t="str">
        <f>IF(Supuestos!B58="","",Supuestos!B58)</f>
        <v>Originación voz internacional Europa</v>
      </c>
      <c r="D125" s="78">
        <f>INDEX('Informacion del AEP'!$F$90:$AE$108,MATCH('Pagos Mayoristas'!$C125,'Informacion del AEP'!$C$90:$C$108,0),MATCH('Pagos Mayoristas'!C$114,'Informacion del AEP'!$F$89:$AE$89,0))*INDEX('Hoja Auxiliar'!$D$40:$D$58,MATCH('Pagos Mayoristas'!$C125,'Hoja Auxiliar'!$C$40:$C$58,0))</f>
        <v>0</v>
      </c>
      <c r="F125" s="238">
        <f>IF(C125="","",('Precio Mayorista'!$D$100*INDEX('Informacion del AEP'!$D$90:$AE$108,MATCH(C125,'Informacion del AEP'!$C$90:$C$108,0),MATCH($C$114,'Informacion del AEP'!$D$89:$AE$89,0))*INDEX('Informacion del AEP'!$F$169:$F$187,MATCH(C125,'Informacion del AEP'!$C$169:$C$187,0))))</f>
        <v>0</v>
      </c>
      <c r="N125" s="209">
        <f>INDEX('Precio Mayorista'!$D$76:$D$94,MATCH('Pagos Mayoristas'!C125,'Precio Mayorista'!$G$76:$G$94,0))*INDEX('Informacion del AEP'!$F$90:$AE$108,MATCH('Pagos Mayoristas'!C125,'Informacion del AEP'!$C$90:$C$108,0),MATCH('Pagos Mayoristas'!$C$114,'Informacion del AEP'!$F$89:$AE$89,0))</f>
        <v>0</v>
      </c>
    </row>
    <row r="126" spans="3:15" x14ac:dyDescent="0.25">
      <c r="C126" s="5" t="str">
        <f>IF(Supuestos!B59="","",Supuestos!B59)</f>
        <v>Originación voz internacional Mundial Otros geográficos</v>
      </c>
      <c r="D126" s="78">
        <f>INDEX('Informacion del AEP'!$F$90:$AE$108,MATCH('Pagos Mayoristas'!$C126,'Informacion del AEP'!$C$90:$C$108,0),MATCH('Pagos Mayoristas'!C$114,'Informacion del AEP'!$F$89:$AE$89,0))*INDEX('Hoja Auxiliar'!$D$40:$D$58,MATCH('Pagos Mayoristas'!$C126,'Hoja Auxiliar'!$C$40:$C$58,0))</f>
        <v>7413.2744999998586</v>
      </c>
      <c r="F126" s="238">
        <f>IF(C126="","",('Precio Mayorista'!$D$100*INDEX('Informacion del AEP'!$D$90:$AE$108,MATCH(C126,'Informacion del AEP'!$C$90:$C$108,0),MATCH($C$114,'Informacion del AEP'!$D$89:$AE$89,0))*INDEX('Informacion del AEP'!$F$169:$F$187,MATCH(C126,'Informacion del AEP'!$C$169:$C$187,0))))</f>
        <v>0</v>
      </c>
      <c r="N126" s="209">
        <f>INDEX('Precio Mayorista'!$D$76:$D$94,MATCH('Pagos Mayoristas'!C126,'Precio Mayorista'!$G$76:$G$94,0))*INDEX('Informacion del AEP'!$F$90:$AE$108,MATCH('Pagos Mayoristas'!C126,'Informacion del AEP'!$C$90:$C$108,0),MATCH('Pagos Mayoristas'!$C$114,'Informacion del AEP'!$F$89:$AE$89,0))</f>
        <v>1235545.7499999765</v>
      </c>
    </row>
    <row r="127" spans="3:15" x14ac:dyDescent="0.25">
      <c r="C127" s="5" t="str">
        <f>IF(Supuestos!B60="","",Supuestos!B60)</f>
        <v>Originación voz internacional Cuba</v>
      </c>
      <c r="D127" s="78">
        <f>INDEX('Informacion del AEP'!$F$90:$AE$108,MATCH('Pagos Mayoristas'!$C127,'Informacion del AEP'!$C$90:$C$108,0),MATCH('Pagos Mayoristas'!C$114,'Informacion del AEP'!$F$89:$AE$89,0))*INDEX('Hoja Auxiliar'!$D$40:$D$58,MATCH('Pagos Mayoristas'!$C127,'Hoja Auxiliar'!$C$40:$C$58,0))</f>
        <v>240.913999999998</v>
      </c>
      <c r="F127" s="238">
        <f>IF(C127="","",('Precio Mayorista'!$D$100*INDEX('Informacion del AEP'!$D$90:$AE$108,MATCH(C127,'Informacion del AEP'!$C$90:$C$108,0),MATCH($C$114,'Informacion del AEP'!$D$89:$AE$89,0))*INDEX('Informacion del AEP'!$F$169:$F$187,MATCH(C127,'Informacion del AEP'!$C$169:$C$187,0))))</f>
        <v>0</v>
      </c>
      <c r="N127" s="209">
        <f>INDEX('Precio Mayorista'!$D$76:$D$94,MATCH('Pagos Mayoristas'!C127,'Precio Mayorista'!$G$76:$G$94,0))*INDEX('Informacion del AEP'!$F$90:$AE$108,MATCH('Pagos Mayoristas'!C127,'Informacion del AEP'!$C$90:$C$108,0),MATCH('Pagos Mayoristas'!$C$114,'Informacion del AEP'!$F$89:$AE$89,0))</f>
        <v>120456.999999999</v>
      </c>
    </row>
    <row r="128" spans="3:15" x14ac:dyDescent="0.25">
      <c r="C128" s="5" t="str">
        <f>IF(Supuestos!B61="","",Supuestos!B61)</f>
        <v>Originación voz Mundial destinos no geográficos</v>
      </c>
      <c r="D128" s="78">
        <f>INDEX('Informacion del AEP'!$F$90:$AE$108,MATCH('Pagos Mayoristas'!$C128,'Informacion del AEP'!$C$90:$C$108,0),MATCH('Pagos Mayoristas'!C$114,'Informacion del AEP'!$F$89:$AE$89,0))*INDEX('Hoja Auxiliar'!$D$40:$D$58,MATCH('Pagos Mayoristas'!$C128,'Hoja Auxiliar'!$C$40:$C$58,0))</f>
        <v>0</v>
      </c>
      <c r="F128" s="238">
        <f>IF(C128="","",('Precio Mayorista'!$D$100*INDEX('Informacion del AEP'!$D$90:$AE$108,MATCH(C128,'Informacion del AEP'!$C$90:$C$108,0),MATCH($C$114,'Informacion del AEP'!$D$89:$AE$89,0))*INDEX('Informacion del AEP'!$F$169:$F$187,MATCH(C128,'Informacion del AEP'!$C$169:$C$187,0))))</f>
        <v>0</v>
      </c>
      <c r="N128" s="209">
        <f>INDEX('Precio Mayorista'!$D$76:$D$94,MATCH('Pagos Mayoristas'!C128,'Precio Mayorista'!$G$76:$G$94,0))*INDEX('Informacion del AEP'!$F$90:$AE$108,MATCH('Pagos Mayoristas'!C128,'Informacion del AEP'!$C$90:$C$108,0),MATCH('Pagos Mayoristas'!$C$114,'Informacion del AEP'!$F$89:$AE$89,0))</f>
        <v>0</v>
      </c>
    </row>
    <row r="129" spans="3:15" x14ac:dyDescent="0.25">
      <c r="C129" s="5" t="str">
        <f>IF(Supuestos!B62="","",Supuestos!B62)</f>
        <v>Originación SMS on-net</v>
      </c>
      <c r="D129" s="78">
        <f>INDEX('Informacion del AEP'!$F$90:$AE$108,MATCH('Pagos Mayoristas'!$C129,'Informacion del AEP'!$C$90:$C$108,0),MATCH('Pagos Mayoristas'!C$114,'Informacion del AEP'!$F$89:$AE$89,0))*INDEX('Hoja Auxiliar'!$D$40:$D$58,MATCH('Pagos Mayoristas'!$C129,'Hoja Auxiliar'!$C$40:$C$58,0))</f>
        <v>1591389.7649999999</v>
      </c>
      <c r="F129" s="238">
        <f>IF(C129="","",('Precio Mayorista'!$D$100*INDEX('Informacion del AEP'!$D$90:$AE$108,MATCH(C129,'Informacion del AEP'!$C$90:$C$108,0),MATCH($C$114,'Informacion del AEP'!$D$89:$AE$89,0))*INDEX('Informacion del AEP'!$F$169:$F$187,MATCH(C129,'Informacion del AEP'!$C$169:$C$187,0))))</f>
        <v>0</v>
      </c>
      <c r="N129" s="209">
        <f>INDEX('Precio Mayorista'!$D$76:$D$94,MATCH('Pagos Mayoristas'!C129,'Precio Mayorista'!$G$76:$G$94,0))*INDEX('Informacion del AEP'!$F$90:$AE$108,MATCH('Pagos Mayoristas'!C129,'Informacion del AEP'!$C$90:$C$108,0),MATCH('Pagos Mayoristas'!$C$114,'Informacion del AEP'!$F$89:$AE$89,0))</f>
        <v>0</v>
      </c>
    </row>
    <row r="130" spans="3:15" x14ac:dyDescent="0.25">
      <c r="C130" s="5" t="str">
        <f>IF(Supuestos!B63="","",Supuestos!B63)</f>
        <v>Originación SMS - off-net nacional</v>
      </c>
      <c r="D130" s="78">
        <f>INDEX('Informacion del AEP'!$F$90:$AE$108,MATCH('Pagos Mayoristas'!$C130,'Informacion del AEP'!$C$90:$C$108,0),MATCH('Pagos Mayoristas'!C$114,'Informacion del AEP'!$F$89:$AE$89,0))*INDEX('Hoja Auxiliar'!$D$40:$D$58,MATCH('Pagos Mayoristas'!$C130,'Hoja Auxiliar'!$C$40:$C$58,0))</f>
        <v>361339.17</v>
      </c>
      <c r="F130" s="238">
        <f>IF(C130="","",('Precio Mayorista'!$D$100*INDEX('Informacion del AEP'!$D$90:$AE$108,MATCH(C130,'Informacion del AEP'!$C$90:$C$108,0),MATCH($C$114,'Informacion del AEP'!$D$89:$AE$89,0))*INDEX('Informacion del AEP'!$F$169:$F$187,MATCH(C130,'Informacion del AEP'!$C$169:$C$187,0))))</f>
        <v>0</v>
      </c>
      <c r="N130" s="209">
        <f>INDEX('Precio Mayorista'!$D$76:$D$94,MATCH('Pagos Mayoristas'!C130,'Precio Mayorista'!$G$76:$G$94,0))*INDEX('Informacion del AEP'!$F$90:$AE$108,MATCH('Pagos Mayoristas'!C130,'Informacion del AEP'!$C$90:$C$108,0),MATCH('Pagos Mayoristas'!$C$114,'Informacion del AEP'!$F$89:$AE$89,0))</f>
        <v>223355.78561600001</v>
      </c>
    </row>
    <row r="131" spans="3:15" x14ac:dyDescent="0.25">
      <c r="C131" s="5" t="str">
        <f>IF(Supuestos!B64="","",Supuestos!B64)</f>
        <v>Originación SMS internacional (USA-Canadá)</v>
      </c>
      <c r="D131" s="78">
        <f>INDEX('Informacion del AEP'!$F$90:$AE$108,MATCH('Pagos Mayoristas'!$C131,'Informacion del AEP'!$C$90:$C$108,0),MATCH('Pagos Mayoristas'!C$114,'Informacion del AEP'!$F$89:$AE$89,0))*INDEX('Hoja Auxiliar'!$D$40:$D$58,MATCH('Pagos Mayoristas'!$C131,'Hoja Auxiliar'!$C$40:$C$58,0))</f>
        <v>84629.955000000002</v>
      </c>
      <c r="F131" s="238">
        <f>IF(C131="","",('Precio Mayorista'!$D$100*INDEX('Informacion del AEP'!$D$90:$AE$108,MATCH(C131,'Informacion del AEP'!$C$90:$C$108,0),MATCH($C$114,'Informacion del AEP'!$D$89:$AE$89,0))*INDEX('Informacion del AEP'!$F$169:$F$187,MATCH(C131,'Informacion del AEP'!$C$169:$C$187,0))))</f>
        <v>0</v>
      </c>
      <c r="N131" s="209">
        <f>INDEX('Precio Mayorista'!$D$76:$D$94,MATCH('Pagos Mayoristas'!C131,'Precio Mayorista'!$G$76:$G$94,0))*INDEX('Informacion del AEP'!$F$90:$AE$108,MATCH('Pagos Mayoristas'!C131,'Informacion del AEP'!$C$90:$C$108,0),MATCH('Pagos Mayoristas'!$C$114,'Informacion del AEP'!$F$89:$AE$89,0))</f>
        <v>2820998.5</v>
      </c>
    </row>
    <row r="132" spans="3:15" x14ac:dyDescent="0.25">
      <c r="C132" s="5" t="str">
        <f>IF(Supuestos!B65="","",Supuestos!B65)</f>
        <v>Originación SMS internacional (Resto del Mundo)</v>
      </c>
      <c r="D132" s="78">
        <f>INDEX('Informacion del AEP'!$F$90:$AE$108,MATCH('Pagos Mayoristas'!$C132,'Informacion del AEP'!$C$90:$C$108,0),MATCH('Pagos Mayoristas'!C$114,'Informacion del AEP'!$F$89:$AE$89,0))*INDEX('Hoja Auxiliar'!$D$40:$D$58,MATCH('Pagos Mayoristas'!$C132,'Hoja Auxiliar'!$C$40:$C$58,0))</f>
        <v>5368.8450000000003</v>
      </c>
      <c r="F132" s="238">
        <f>IF(C132="","",('Precio Mayorista'!$D$100*INDEX('Informacion del AEP'!$D$90:$AE$108,MATCH(C132,'Informacion del AEP'!$C$90:$C$108,0),MATCH($C$114,'Informacion del AEP'!$D$89:$AE$89,0))*INDEX('Informacion del AEP'!$F$169:$F$187,MATCH(C132,'Informacion del AEP'!$C$169:$C$187,0))))</f>
        <v>0</v>
      </c>
      <c r="N132" s="209">
        <f>INDEX('Precio Mayorista'!$D$76:$D$94,MATCH('Pagos Mayoristas'!C132,'Precio Mayorista'!$G$76:$G$94,0))*INDEX('Informacion del AEP'!$F$90:$AE$108,MATCH('Pagos Mayoristas'!C132,'Informacion del AEP'!$C$90:$C$108,0),MATCH('Pagos Mayoristas'!$C$114,'Informacion del AEP'!$F$89:$AE$89,0))</f>
        <v>268442.25</v>
      </c>
    </row>
    <row r="133" spans="3:15" x14ac:dyDescent="0.25">
      <c r="C133" s="5" t="str">
        <f>IF(Supuestos!B66="","",Supuestos!B66)</f>
        <v>Otros servicios (incluyendo marcaciones especiales)</v>
      </c>
      <c r="D133" s="78">
        <f>INDEX('Informacion del AEP'!$F$90:$AE$108,MATCH('Pagos Mayoristas'!$C133,'Informacion del AEP'!$C$90:$C$108,0),MATCH('Pagos Mayoristas'!C$114,'Informacion del AEP'!$F$89:$AE$89,0))*INDEX('Hoja Auxiliar'!$D$40:$D$58,MATCH('Pagos Mayoristas'!$C133,'Hoja Auxiliar'!$C$40:$C$58,0))</f>
        <v>6019007.5754999937</v>
      </c>
      <c r="F133" s="238">
        <f>IF(C133="","",('Precio Mayorista'!$D$100*INDEX('Informacion del AEP'!$D$90:$AE$108,MATCH(C133,'Informacion del AEP'!$C$90:$C$108,0),MATCH($C$114,'Informacion del AEP'!$D$89:$AE$89,0))*INDEX('Informacion del AEP'!$F$169:$F$187,MATCH(C133,'Informacion del AEP'!$C$169:$C$187,0))))</f>
        <v>0</v>
      </c>
      <c r="N133" s="209">
        <f>INDEX('Precio Mayorista'!$D$76:$D$94,MATCH('Pagos Mayoristas'!C133,'Precio Mayorista'!$G$76:$G$94,0))*INDEX('Informacion del AEP'!$F$90:$AE$108,MATCH('Pagos Mayoristas'!C133,'Informacion del AEP'!$C$90:$C$108,0),MATCH('Pagos Mayoristas'!$C$114,'Informacion del AEP'!$F$89:$AE$89,0))</f>
        <v>0</v>
      </c>
    </row>
    <row r="134" spans="3:15" x14ac:dyDescent="0.25">
      <c r="D134" s="78"/>
      <c r="F134" s="78"/>
    </row>
    <row r="135" spans="3:15" ht="13" x14ac:dyDescent="0.3">
      <c r="C135" s="64"/>
      <c r="D135" s="78"/>
      <c r="F135" s="78"/>
    </row>
    <row r="136" spans="3:15" x14ac:dyDescent="0.25">
      <c r="F136" s="78"/>
    </row>
    <row r="137" spans="3:15" x14ac:dyDescent="0.25">
      <c r="F137" s="78"/>
    </row>
    <row r="139" spans="3:15" x14ac:dyDescent="0.25">
      <c r="D139" s="78"/>
    </row>
    <row r="140" spans="3:15" ht="13" x14ac:dyDescent="0.3">
      <c r="C140" s="74" t="str">
        <f>Supuestos!$B$80</f>
        <v>Telcel Prepago 3</v>
      </c>
      <c r="D140" s="77">
        <f>SUM(D141:D159)</f>
        <v>239856100</v>
      </c>
      <c r="E140" s="75"/>
      <c r="F140" s="77">
        <f>SUM(F141:F159)</f>
        <v>0</v>
      </c>
      <c r="G140" s="75"/>
      <c r="H140" s="77"/>
      <c r="I140" s="77">
        <f>INDEX('Informacion del AEP'!$H$31:$H$84,MATCH('Pagos Mayoristas'!C140,'Informacion del AEP'!$C$31:$C$84,0))*'Hoja Auxiliar'!$D$61</f>
        <v>187500</v>
      </c>
      <c r="J140" s="4"/>
      <c r="K140" s="77"/>
      <c r="L140" s="204">
        <f>$L$10*(INDEX('Informacion del AEP'!$F$12:$AE$12,MATCH('Pagos Mayoristas'!C140,'Informacion del AEP'!$F$11:$AE$11,0))/INDEX('Informacion del AEP'!$F$12:$AE$12,MATCH('Pagos Mayoristas'!$C$10,'Informacion del AEP'!$F$11:$AE$11,0)))</f>
        <v>134036.14457831316</v>
      </c>
      <c r="M140" s="204"/>
      <c r="N140" s="77">
        <f>SUM(N141:N159)</f>
        <v>34592400</v>
      </c>
      <c r="O140" s="204">
        <f>SUM(D140:N140)</f>
        <v>274770036.14457834</v>
      </c>
    </row>
    <row r="141" spans="3:15" x14ac:dyDescent="0.25">
      <c r="C141" s="5" t="str">
        <f>IF(Supuestos!B48="","",Supuestos!B48)</f>
        <v>Datos</v>
      </c>
      <c r="D141" s="78">
        <f>INDEX('Informacion del AEP'!$F$90:$AE$108,MATCH('Pagos Mayoristas'!$C141,'Informacion del AEP'!$C$90:$C$108,0),MATCH('Pagos Mayoristas'!C$140,'Informacion del AEP'!$F$89:$AE$89,0))*INDEX('Hoja Auxiliar'!$D$40:$D$58,MATCH('Pagos Mayoristas'!$C141,'Hoja Auxiliar'!$C$40:$C$58,0))</f>
        <v>127000000</v>
      </c>
      <c r="F141" s="238">
        <f>IF(C141="","",('Precio Mayorista'!$D$100*INDEX('Informacion del AEP'!$D$90:$AE$108,MATCH(C141,'Informacion del AEP'!$C$90:$C$108,0),MATCH($C$140,'Informacion del AEP'!$D$89:$AE$89,0))*INDEX('Informacion del AEP'!$F$169:$F$187,MATCH(C141,'Informacion del AEP'!$C$169:$C$187,0))))</f>
        <v>0</v>
      </c>
      <c r="N141" s="209">
        <f>INDEX('Precio Mayorista'!$D$76:$D$94,MATCH('Pagos Mayoristas'!C141,'Precio Mayorista'!$G$76:$G$94,0))*INDEX('Informacion del AEP'!$F$90:$AE$108,MATCH('Pagos Mayoristas'!C141,'Informacion del AEP'!$C$90:$C$108,0),MATCH('Pagos Mayoristas'!$C$140,'Informacion del AEP'!$F$89:$AE$89,0))</f>
        <v>0</v>
      </c>
    </row>
    <row r="142" spans="3:15" x14ac:dyDescent="0.25">
      <c r="C142" s="5" t="str">
        <f>IF(Supuestos!B49="","",Supuestos!B49)</f>
        <v>Originación voz on-net local</v>
      </c>
      <c r="D142" s="78">
        <f>INDEX('Informacion del AEP'!$F$90:$AE$108,MATCH('Pagos Mayoristas'!$C142,'Informacion del AEP'!$C$90:$C$108,0),MATCH('Pagos Mayoristas'!C$140,'Informacion del AEP'!$F$89:$AE$89,0))*INDEX('Hoja Auxiliar'!$D$40:$D$58,MATCH('Pagos Mayoristas'!$C142,'Hoja Auxiliar'!$C$40:$C$58,0))</f>
        <v>30000000</v>
      </c>
      <c r="F142" s="238">
        <f>IF(C142="","",('Precio Mayorista'!$D$100*INDEX('Informacion del AEP'!$D$90:$AE$108,MATCH(C142,'Informacion del AEP'!$C$90:$C$108,0),MATCH($C$140,'Informacion del AEP'!$D$89:$AE$89,0))*INDEX('Informacion del AEP'!$F$169:$F$187,MATCH(C142,'Informacion del AEP'!$C$169:$C$187,0))))</f>
        <v>0</v>
      </c>
      <c r="N142" s="209">
        <f>INDEX('Precio Mayorista'!$D$76:$D$94,MATCH('Pagos Mayoristas'!C142,'Precio Mayorista'!$G$76:$G$94,0))*INDEX('Informacion del AEP'!$F$90:$AE$108,MATCH('Pagos Mayoristas'!C142,'Informacion del AEP'!$C$90:$C$108,0),MATCH('Pagos Mayoristas'!$C$140,'Informacion del AEP'!$F$89:$AE$89,0))</f>
        <v>0</v>
      </c>
    </row>
    <row r="143" spans="3:15" x14ac:dyDescent="0.25">
      <c r="C143" s="5" t="str">
        <f>IF(Supuestos!B50="","",Supuestos!B50)</f>
        <v>Originación voz off-net móvil local</v>
      </c>
      <c r="D143" s="78">
        <f>INDEX('Informacion del AEP'!$F$90:$AE$108,MATCH('Pagos Mayoristas'!$C143,'Informacion del AEP'!$C$90:$C$108,0),MATCH('Pagos Mayoristas'!C$140,'Informacion del AEP'!$F$89:$AE$89,0))*INDEX('Hoja Auxiliar'!$D$40:$D$58,MATCH('Pagos Mayoristas'!$C143,'Hoja Auxiliar'!$C$40:$C$58,0))</f>
        <v>6000000</v>
      </c>
      <c r="F143" s="238">
        <f>IF(C143="","",('Precio Mayorista'!$D$100*INDEX('Informacion del AEP'!$D$90:$AE$108,MATCH(C143,'Informacion del AEP'!$C$90:$C$108,0),MATCH($C$140,'Informacion del AEP'!$D$89:$AE$89,0))*INDEX('Informacion del AEP'!$F$169:$F$187,MATCH(C143,'Informacion del AEP'!$C$169:$C$187,0))))</f>
        <v>0</v>
      </c>
      <c r="N143" s="209">
        <f>INDEX('Precio Mayorista'!$D$76:$D$94,MATCH('Pagos Mayoristas'!C143,'Precio Mayorista'!$G$76:$G$94,0))*INDEX('Informacion del AEP'!$F$90:$AE$108,MATCH('Pagos Mayoristas'!C143,'Informacion del AEP'!$C$90:$C$108,0),MATCH('Pagos Mayoristas'!$C$140,'Informacion del AEP'!$F$89:$AE$89,0))</f>
        <v>8444200</v>
      </c>
    </row>
    <row r="144" spans="3:15" x14ac:dyDescent="0.25">
      <c r="C144" s="5" t="str">
        <f>IF(Supuestos!B51="","",Supuestos!B51)</f>
        <v>Originación voz off-net fijo local</v>
      </c>
      <c r="D144" s="78">
        <f>INDEX('Informacion del AEP'!$F$90:$AE$108,MATCH('Pagos Mayoristas'!$C144,'Informacion del AEP'!$C$90:$C$108,0),MATCH('Pagos Mayoristas'!C$140,'Informacion del AEP'!$F$89:$AE$89,0))*INDEX('Hoja Auxiliar'!$D$40:$D$58,MATCH('Pagos Mayoristas'!$C144,'Hoja Auxiliar'!$C$40:$C$58,0))</f>
        <v>3000000</v>
      </c>
      <c r="F144" s="238">
        <f>IF(C144="","",('Precio Mayorista'!$D$100*INDEX('Informacion del AEP'!$D$90:$AE$108,MATCH(C144,'Informacion del AEP'!$C$90:$C$108,0),MATCH($C$140,'Informacion del AEP'!$D$89:$AE$89,0))*INDEX('Informacion del AEP'!$F$169:$F$187,MATCH(C144,'Informacion del AEP'!$C$169:$C$187,0))))</f>
        <v>0</v>
      </c>
      <c r="N144" s="209">
        <f>INDEX('Precio Mayorista'!$D$76:$D$94,MATCH('Pagos Mayoristas'!C144,'Precio Mayorista'!$G$76:$G$94,0))*INDEX('Informacion del AEP'!$F$90:$AE$108,MATCH('Pagos Mayoristas'!C144,'Informacion del AEP'!$C$90:$C$108,0),MATCH('Pagos Mayoristas'!$C$140,'Informacion del AEP'!$F$89:$AE$89,0))</f>
        <v>334300</v>
      </c>
    </row>
    <row r="145" spans="1:14" x14ac:dyDescent="0.25">
      <c r="C145" s="5" t="str">
        <f>IF(Supuestos!B52="","",Supuestos!B52)</f>
        <v>Originación voz on-net LDN</v>
      </c>
      <c r="D145" s="78">
        <f>INDEX('Informacion del AEP'!$F$90:$AE$108,MATCH('Pagos Mayoristas'!$C145,'Informacion del AEP'!$C$90:$C$108,0),MATCH('Pagos Mayoristas'!C$140,'Informacion del AEP'!$F$89:$AE$89,0))*INDEX('Hoja Auxiliar'!$D$40:$D$58,MATCH('Pagos Mayoristas'!$C145,'Hoja Auxiliar'!$C$40:$C$58,0))</f>
        <v>45000000</v>
      </c>
      <c r="F145" s="238">
        <f>IF(C145="","",('Precio Mayorista'!$D$100*INDEX('Informacion del AEP'!$D$90:$AE$108,MATCH(C145,'Informacion del AEP'!$C$90:$C$108,0),MATCH($C$140,'Informacion del AEP'!$D$89:$AE$89,0))*INDEX('Informacion del AEP'!$F$169:$F$187,MATCH(C145,'Informacion del AEP'!$C$169:$C$187,0))))</f>
        <v>0</v>
      </c>
      <c r="N145" s="209">
        <f>INDEX('Precio Mayorista'!$D$76:$D$94,MATCH('Pagos Mayoristas'!C145,'Precio Mayorista'!$G$76:$G$94,0))*INDEX('Informacion del AEP'!$F$90:$AE$108,MATCH('Pagos Mayoristas'!C145,'Informacion del AEP'!$C$90:$C$108,0),MATCH('Pagos Mayoristas'!$C$140,'Informacion del AEP'!$F$89:$AE$89,0))</f>
        <v>0</v>
      </c>
    </row>
    <row r="146" spans="1:14" x14ac:dyDescent="0.25">
      <c r="C146" s="5" t="str">
        <f>IF(Supuestos!B53="","",Supuestos!B53)</f>
        <v>Originación voz off-net móvil LDN</v>
      </c>
      <c r="D146" s="78">
        <f>INDEX('Informacion del AEP'!$F$90:$AE$108,MATCH('Pagos Mayoristas'!$C146,'Informacion del AEP'!$C$90:$C$108,0),MATCH('Pagos Mayoristas'!C$140,'Informacion del AEP'!$F$89:$AE$89,0))*INDEX('Hoja Auxiliar'!$D$40:$D$58,MATCH('Pagos Mayoristas'!$C146,'Hoja Auxiliar'!$C$40:$C$58,0))</f>
        <v>4500000</v>
      </c>
      <c r="F146" s="238">
        <f>IF(C146="","",('Precio Mayorista'!$D$100*INDEX('Informacion del AEP'!$D$90:$AE$108,MATCH(C146,'Informacion del AEP'!$C$90:$C$108,0),MATCH($C$140,'Informacion del AEP'!$D$89:$AE$89,0))*INDEX('Informacion del AEP'!$F$169:$F$187,MATCH(C146,'Informacion del AEP'!$C$169:$C$187,0))))</f>
        <v>0</v>
      </c>
      <c r="N146" s="209">
        <f>INDEX('Precio Mayorista'!$D$76:$D$94,MATCH('Pagos Mayoristas'!C146,'Precio Mayorista'!$G$76:$G$94,0))*INDEX('Informacion del AEP'!$F$90:$AE$108,MATCH('Pagos Mayoristas'!C146,'Informacion del AEP'!$C$90:$C$108,0),MATCH('Pagos Mayoristas'!$C$140,'Informacion del AEP'!$F$89:$AE$89,0))</f>
        <v>6333150</v>
      </c>
    </row>
    <row r="147" spans="1:14" x14ac:dyDescent="0.25">
      <c r="C147" s="5" t="str">
        <f>IF(Supuestos!B54="","",Supuestos!B54)</f>
        <v>Originación voz off-net fijo LDN</v>
      </c>
      <c r="D147" s="78">
        <f>INDEX('Informacion del AEP'!$F$90:$AE$108,MATCH('Pagos Mayoristas'!$C147,'Informacion del AEP'!$C$90:$C$108,0),MATCH('Pagos Mayoristas'!C$140,'Informacion del AEP'!$F$89:$AE$89,0))*INDEX('Hoja Auxiliar'!$D$40:$D$58,MATCH('Pagos Mayoristas'!$C147,'Hoja Auxiliar'!$C$40:$C$58,0))</f>
        <v>1500000</v>
      </c>
      <c r="F147" s="238">
        <f>IF(C147="","",('Precio Mayorista'!$D$100*INDEX('Informacion del AEP'!$D$90:$AE$108,MATCH(C147,'Informacion del AEP'!$C$90:$C$108,0),MATCH($C$140,'Informacion del AEP'!$D$89:$AE$89,0))*INDEX('Informacion del AEP'!$F$169:$F$187,MATCH(C147,'Informacion del AEP'!$C$169:$C$187,0))))</f>
        <v>0</v>
      </c>
      <c r="N147" s="209">
        <f>INDEX('Precio Mayorista'!$D$76:$D$94,MATCH('Pagos Mayoristas'!C147,'Precio Mayorista'!$G$76:$G$94,0))*INDEX('Informacion del AEP'!$F$90:$AE$108,MATCH('Pagos Mayoristas'!C147,'Informacion del AEP'!$C$90:$C$108,0),MATCH('Pagos Mayoristas'!$C$140,'Informacion del AEP'!$F$89:$AE$89,0))</f>
        <v>167150</v>
      </c>
    </row>
    <row r="148" spans="1:14" x14ac:dyDescent="0.25">
      <c r="C148" s="5" t="str">
        <f>IF(Supuestos!B55="","",Supuestos!B55)</f>
        <v>Originación voz internacional USA-Canadá</v>
      </c>
      <c r="D148" s="78">
        <f>INDEX('Informacion del AEP'!$F$90:$AE$108,MATCH('Pagos Mayoristas'!$C148,'Informacion del AEP'!$C$90:$C$108,0),MATCH('Pagos Mayoristas'!C$140,'Informacion del AEP'!$F$89:$AE$89,0))*INDEX('Hoja Auxiliar'!$D$40:$D$58,MATCH('Pagos Mayoristas'!$C148,'Hoja Auxiliar'!$C$40:$C$58,0))</f>
        <v>3900000</v>
      </c>
      <c r="F148" s="238">
        <f>IF(C148="","",('Precio Mayorista'!$D$100*INDEX('Informacion del AEP'!$D$90:$AE$108,MATCH(C148,'Informacion del AEP'!$C$90:$C$108,0),MATCH($C$140,'Informacion del AEP'!$D$89:$AE$89,0))*INDEX('Informacion del AEP'!$F$169:$F$187,MATCH(C148,'Informacion del AEP'!$C$169:$C$187,0))))</f>
        <v>0</v>
      </c>
      <c r="N148" s="209">
        <f>INDEX('Precio Mayorista'!$D$76:$D$94,MATCH('Pagos Mayoristas'!C148,'Precio Mayorista'!$G$76:$G$94,0))*INDEX('Informacion del AEP'!$F$90:$AE$108,MATCH('Pagos Mayoristas'!C148,'Informacion del AEP'!$C$90:$C$108,0),MATCH('Pagos Mayoristas'!$C$140,'Informacion del AEP'!$F$89:$AE$89,0))</f>
        <v>6500000</v>
      </c>
    </row>
    <row r="149" spans="1:14" x14ac:dyDescent="0.25">
      <c r="C149" s="5" t="str">
        <f>IF(Supuestos!B56="","",Supuestos!B56)</f>
        <v>Originación voz internacional Mundial Centroamérica</v>
      </c>
      <c r="D149" s="78">
        <f>INDEX('Informacion del AEP'!$F$90:$AE$108,MATCH('Pagos Mayoristas'!$C149,'Informacion del AEP'!$C$90:$C$108,0),MATCH('Pagos Mayoristas'!C$140,'Informacion del AEP'!$F$89:$AE$89,0))*INDEX('Hoja Auxiliar'!$D$40:$D$58,MATCH('Pagos Mayoristas'!$C149,'Hoja Auxiliar'!$C$40:$C$58,0))</f>
        <v>9000</v>
      </c>
      <c r="F149" s="238">
        <f>IF(C149="","",('Precio Mayorista'!$D$100*INDEX('Informacion del AEP'!$D$90:$AE$108,MATCH(C149,'Informacion del AEP'!$C$90:$C$108,0),MATCH($C$140,'Informacion del AEP'!$D$89:$AE$89,0))*INDEX('Informacion del AEP'!$F$169:$F$187,MATCH(C149,'Informacion del AEP'!$C$169:$C$187,0))))</f>
        <v>0</v>
      </c>
      <c r="N149" s="209">
        <f>INDEX('Precio Mayorista'!$D$76:$D$94,MATCH('Pagos Mayoristas'!C149,'Precio Mayorista'!$G$76:$G$94,0))*INDEX('Informacion del AEP'!$F$90:$AE$108,MATCH('Pagos Mayoristas'!C149,'Informacion del AEP'!$C$90:$C$108,0),MATCH('Pagos Mayoristas'!$C$140,'Informacion del AEP'!$F$89:$AE$89,0))</f>
        <v>750000</v>
      </c>
    </row>
    <row r="150" spans="1:14" x14ac:dyDescent="0.25">
      <c r="A150" s="5" t="s">
        <v>69</v>
      </c>
      <c r="C150" s="5" t="str">
        <f>IF(Supuestos!B57="","",Supuestos!B57)</f>
        <v>Originación voz internacional Mundial LATAM y Caribe</v>
      </c>
      <c r="D150" s="78">
        <f>INDEX('Informacion del AEP'!$F$90:$AE$108,MATCH('Pagos Mayoristas'!$C150,'Informacion del AEP'!$C$90:$C$108,0),MATCH('Pagos Mayoristas'!C$140,'Informacion del AEP'!$F$89:$AE$89,0))*INDEX('Hoja Auxiliar'!$D$40:$D$58,MATCH('Pagos Mayoristas'!$C150,'Hoja Auxiliar'!$C$40:$C$58,0))</f>
        <v>600</v>
      </c>
      <c r="F150" s="238">
        <f>IF(C150="","",('Precio Mayorista'!$D$100*INDEX('Informacion del AEP'!$D$90:$AE$108,MATCH(C150,'Informacion del AEP'!$C$90:$C$108,0),MATCH($C$140,'Informacion del AEP'!$D$89:$AE$89,0))*INDEX('Informacion del AEP'!$F$169:$F$187,MATCH(C150,'Informacion del AEP'!$C$169:$C$187,0))))</f>
        <v>0</v>
      </c>
      <c r="N150" s="209">
        <f>INDEX('Precio Mayorista'!$D$76:$D$94,MATCH('Pagos Mayoristas'!C150,'Precio Mayorista'!$G$76:$G$94,0))*INDEX('Informacion del AEP'!$F$90:$AE$108,MATCH('Pagos Mayoristas'!C150,'Informacion del AEP'!$C$90:$C$108,0),MATCH('Pagos Mayoristas'!$C$140,'Informacion del AEP'!$F$89:$AE$89,0))</f>
        <v>100000</v>
      </c>
    </row>
    <row r="151" spans="1:14" x14ac:dyDescent="0.25">
      <c r="C151" s="5" t="str">
        <f>IF(Supuestos!B58="","",Supuestos!B58)</f>
        <v>Originación voz internacional Europa</v>
      </c>
      <c r="D151" s="78">
        <f>INDEX('Informacion del AEP'!$F$90:$AE$108,MATCH('Pagos Mayoristas'!$C151,'Informacion del AEP'!$C$90:$C$108,0),MATCH('Pagos Mayoristas'!C$140,'Informacion del AEP'!$F$89:$AE$89,0))*INDEX('Hoja Auxiliar'!$D$40:$D$58,MATCH('Pagos Mayoristas'!$C151,'Hoja Auxiliar'!$C$40:$C$58,0))</f>
        <v>0</v>
      </c>
      <c r="F151" s="238">
        <f>IF(C151="","",('Precio Mayorista'!$D$100*INDEX('Informacion del AEP'!$D$90:$AE$108,MATCH(C151,'Informacion del AEP'!$C$90:$C$108,0),MATCH($C$140,'Informacion del AEP'!$D$89:$AE$89,0))*INDEX('Informacion del AEP'!$F$169:$F$187,MATCH(C151,'Informacion del AEP'!$C$169:$C$187,0))))</f>
        <v>0</v>
      </c>
      <c r="N151" s="209">
        <f>INDEX('Precio Mayorista'!$D$76:$D$94,MATCH('Pagos Mayoristas'!C151,'Precio Mayorista'!$G$76:$G$94,0))*INDEX('Informacion del AEP'!$F$90:$AE$108,MATCH('Pagos Mayoristas'!C151,'Informacion del AEP'!$C$90:$C$108,0),MATCH('Pagos Mayoristas'!$C$140,'Informacion del AEP'!$F$89:$AE$89,0))</f>
        <v>0</v>
      </c>
    </row>
    <row r="152" spans="1:14" x14ac:dyDescent="0.25">
      <c r="C152" s="5" t="str">
        <f>IF(Supuestos!B59="","",Supuestos!B59)</f>
        <v>Originación voz internacional Mundial Otros geográficos</v>
      </c>
      <c r="D152" s="78">
        <f>INDEX('Informacion del AEP'!$F$90:$AE$108,MATCH('Pagos Mayoristas'!$C152,'Informacion del AEP'!$C$90:$C$108,0),MATCH('Pagos Mayoristas'!C$140,'Informacion del AEP'!$F$89:$AE$89,0))*INDEX('Hoja Auxiliar'!$D$40:$D$58,MATCH('Pagos Mayoristas'!$C152,'Hoja Auxiliar'!$C$40:$C$58,0))</f>
        <v>30000</v>
      </c>
      <c r="F152" s="238">
        <f>IF(C152="","",('Precio Mayorista'!$D$100*INDEX('Informacion del AEP'!$D$90:$AE$108,MATCH(C152,'Informacion del AEP'!$C$90:$C$108,0),MATCH($C$140,'Informacion del AEP'!$D$89:$AE$89,0))*INDEX('Informacion del AEP'!$F$169:$F$187,MATCH(C152,'Informacion del AEP'!$C$169:$C$187,0))))</f>
        <v>0</v>
      </c>
      <c r="N152" s="209">
        <f>INDEX('Precio Mayorista'!$D$76:$D$94,MATCH('Pagos Mayoristas'!C152,'Precio Mayorista'!$G$76:$G$94,0))*INDEX('Informacion del AEP'!$F$90:$AE$108,MATCH('Pagos Mayoristas'!C152,'Informacion del AEP'!$C$90:$C$108,0),MATCH('Pagos Mayoristas'!$C$140,'Informacion del AEP'!$F$89:$AE$89,0))</f>
        <v>5000000</v>
      </c>
    </row>
    <row r="153" spans="1:14" x14ac:dyDescent="0.25">
      <c r="C153" s="5" t="str">
        <f>IF(Supuestos!B60="","",Supuestos!B60)</f>
        <v>Originación voz internacional Cuba</v>
      </c>
      <c r="D153" s="78">
        <f>INDEX('Informacion del AEP'!$F$90:$AE$108,MATCH('Pagos Mayoristas'!$C153,'Informacion del AEP'!$C$90:$C$108,0),MATCH('Pagos Mayoristas'!C$140,'Informacion del AEP'!$F$89:$AE$89,0))*INDEX('Hoja Auxiliar'!$D$40:$D$58,MATCH('Pagos Mayoristas'!$C153,'Hoja Auxiliar'!$C$40:$C$58,0))</f>
        <v>1500</v>
      </c>
      <c r="F153" s="238">
        <f>IF(C153="","",('Precio Mayorista'!$D$100*INDEX('Informacion del AEP'!$D$90:$AE$108,MATCH(C153,'Informacion del AEP'!$C$90:$C$108,0),MATCH($C$140,'Informacion del AEP'!$D$89:$AE$89,0))*INDEX('Informacion del AEP'!$F$169:$F$187,MATCH(C153,'Informacion del AEP'!$C$169:$C$187,0))))</f>
        <v>0</v>
      </c>
      <c r="N153" s="209">
        <f>INDEX('Precio Mayorista'!$D$76:$D$94,MATCH('Pagos Mayoristas'!C153,'Precio Mayorista'!$G$76:$G$94,0))*INDEX('Informacion del AEP'!$F$90:$AE$108,MATCH('Pagos Mayoristas'!C153,'Informacion del AEP'!$C$90:$C$108,0),MATCH('Pagos Mayoristas'!$C$140,'Informacion del AEP'!$F$89:$AE$89,0))</f>
        <v>750000</v>
      </c>
    </row>
    <row r="154" spans="1:14" x14ac:dyDescent="0.25">
      <c r="C154" s="5" t="str">
        <f>IF(Supuestos!B61="","",Supuestos!B61)</f>
        <v>Originación voz Mundial destinos no geográficos</v>
      </c>
      <c r="D154" s="78">
        <f>INDEX('Informacion del AEP'!$F$90:$AE$108,MATCH('Pagos Mayoristas'!$C154,'Informacion del AEP'!$C$90:$C$108,0),MATCH('Pagos Mayoristas'!C$140,'Informacion del AEP'!$F$89:$AE$89,0))*INDEX('Hoja Auxiliar'!$D$40:$D$58,MATCH('Pagos Mayoristas'!$C154,'Hoja Auxiliar'!$C$40:$C$58,0))</f>
        <v>0</v>
      </c>
      <c r="F154" s="238">
        <f>IF(C154="","",('Precio Mayorista'!$D$100*INDEX('Informacion del AEP'!$D$90:$AE$108,MATCH(C154,'Informacion del AEP'!$C$90:$C$108,0),MATCH($C$140,'Informacion del AEP'!$D$89:$AE$89,0))*INDEX('Informacion del AEP'!$F$169:$F$187,MATCH(C154,'Informacion del AEP'!$C$169:$C$187,0))))</f>
        <v>0</v>
      </c>
      <c r="N154" s="209">
        <f>INDEX('Precio Mayorista'!$D$76:$D$94,MATCH('Pagos Mayoristas'!C154,'Precio Mayorista'!$G$76:$G$94,0))*INDEX('Informacion del AEP'!$F$90:$AE$108,MATCH('Pagos Mayoristas'!C154,'Informacion del AEP'!$C$90:$C$108,0),MATCH('Pagos Mayoristas'!$C$140,'Informacion del AEP'!$F$89:$AE$89,0))</f>
        <v>0</v>
      </c>
    </row>
    <row r="155" spans="1:14" x14ac:dyDescent="0.25">
      <c r="C155" s="5" t="str">
        <f>IF(Supuestos!B62="","",Supuestos!B62)</f>
        <v>Originación SMS on-net</v>
      </c>
      <c r="D155" s="78">
        <f>INDEX('Informacion del AEP'!$F$90:$AE$108,MATCH('Pagos Mayoristas'!$C155,'Informacion del AEP'!$C$90:$C$108,0),MATCH('Pagos Mayoristas'!C$140,'Informacion del AEP'!$F$89:$AE$89,0))*INDEX('Hoja Auxiliar'!$D$40:$D$58,MATCH('Pagos Mayoristas'!$C155,'Hoja Auxiliar'!$C$40:$C$58,0))</f>
        <v>3000000</v>
      </c>
      <c r="F155" s="238">
        <f>IF(C155="","",('Precio Mayorista'!$D$100*INDEX('Informacion del AEP'!$D$90:$AE$108,MATCH(C155,'Informacion del AEP'!$C$90:$C$108,0),MATCH($C$140,'Informacion del AEP'!$D$89:$AE$89,0))*INDEX('Informacion del AEP'!$F$169:$F$187,MATCH(C155,'Informacion del AEP'!$C$169:$C$187,0))))</f>
        <v>0</v>
      </c>
      <c r="N155" s="209">
        <f>INDEX('Precio Mayorista'!$D$76:$D$94,MATCH('Pagos Mayoristas'!C155,'Precio Mayorista'!$G$76:$G$94,0))*INDEX('Informacion del AEP'!$F$90:$AE$108,MATCH('Pagos Mayoristas'!C155,'Informacion del AEP'!$C$90:$C$108,0),MATCH('Pagos Mayoristas'!$C$140,'Informacion del AEP'!$F$89:$AE$89,0))</f>
        <v>0</v>
      </c>
    </row>
    <row r="156" spans="1:14" x14ac:dyDescent="0.25">
      <c r="C156" s="5" t="str">
        <f>IF(Supuestos!B63="","",Supuestos!B63)</f>
        <v>Originación SMS - off-net nacional</v>
      </c>
      <c r="D156" s="78">
        <f>INDEX('Informacion del AEP'!$F$90:$AE$108,MATCH('Pagos Mayoristas'!$C156,'Informacion del AEP'!$C$90:$C$108,0),MATCH('Pagos Mayoristas'!C$140,'Informacion del AEP'!$F$89:$AE$89,0))*INDEX('Hoja Auxiliar'!$D$40:$D$58,MATCH('Pagos Mayoristas'!$C156,'Hoja Auxiliar'!$C$40:$C$58,0))</f>
        <v>750000</v>
      </c>
      <c r="F156" s="238">
        <f>IF(C156="","",('Precio Mayorista'!$D$100*INDEX('Informacion del AEP'!$D$90:$AE$108,MATCH(C156,'Informacion del AEP'!$C$90:$C$108,0),MATCH($C$140,'Informacion del AEP'!$D$89:$AE$89,0))*INDEX('Informacion del AEP'!$F$169:$F$187,MATCH(C156,'Informacion del AEP'!$C$169:$C$187,0))))</f>
        <v>0</v>
      </c>
      <c r="N156" s="209">
        <f>INDEX('Precio Mayorista'!$D$76:$D$94,MATCH('Pagos Mayoristas'!C156,'Precio Mayorista'!$G$76:$G$94,0))*INDEX('Informacion del AEP'!$F$90:$AE$108,MATCH('Pagos Mayoristas'!C156,'Informacion del AEP'!$C$90:$C$108,0),MATCH('Pagos Mayoristas'!$C$140,'Informacion del AEP'!$F$89:$AE$89,0))</f>
        <v>463600.00000000006</v>
      </c>
    </row>
    <row r="157" spans="1:14" x14ac:dyDescent="0.25">
      <c r="C157" s="5" t="str">
        <f>IF(Supuestos!B64="","",Supuestos!B64)</f>
        <v>Originación SMS internacional (USA-Canadá)</v>
      </c>
      <c r="D157" s="78">
        <f>INDEX('Informacion del AEP'!$F$90:$AE$108,MATCH('Pagos Mayoristas'!$C157,'Informacion del AEP'!$C$90:$C$108,0),MATCH('Pagos Mayoristas'!C$140,'Informacion del AEP'!$F$89:$AE$89,0))*INDEX('Hoja Auxiliar'!$D$40:$D$58,MATCH('Pagos Mayoristas'!$C157,'Hoja Auxiliar'!$C$40:$C$58,0))</f>
        <v>150000</v>
      </c>
      <c r="F157" s="238">
        <f>IF(C157="","",('Precio Mayorista'!$D$100*INDEX('Informacion del AEP'!$D$90:$AE$108,MATCH(C157,'Informacion del AEP'!$C$90:$C$108,0),MATCH($C$140,'Informacion del AEP'!$D$89:$AE$89,0))*INDEX('Informacion del AEP'!$F$169:$F$187,MATCH(C157,'Informacion del AEP'!$C$169:$C$187,0))))</f>
        <v>0</v>
      </c>
      <c r="N157" s="209">
        <f>INDEX('Precio Mayorista'!$D$76:$D$94,MATCH('Pagos Mayoristas'!C157,'Precio Mayorista'!$G$76:$G$94,0))*INDEX('Informacion del AEP'!$F$90:$AE$108,MATCH('Pagos Mayoristas'!C157,'Informacion del AEP'!$C$90:$C$108,0),MATCH('Pagos Mayoristas'!$C$140,'Informacion del AEP'!$F$89:$AE$89,0))</f>
        <v>5000000</v>
      </c>
    </row>
    <row r="158" spans="1:14" x14ac:dyDescent="0.25">
      <c r="C158" s="5" t="str">
        <f>IF(Supuestos!B65="","",Supuestos!B65)</f>
        <v>Originación SMS internacional (Resto del Mundo)</v>
      </c>
      <c r="D158" s="78">
        <f>INDEX('Informacion del AEP'!$F$90:$AE$108,MATCH('Pagos Mayoristas'!$C158,'Informacion del AEP'!$C$90:$C$108,0),MATCH('Pagos Mayoristas'!C$140,'Informacion del AEP'!$F$89:$AE$89,0))*INDEX('Hoja Auxiliar'!$D$40:$D$58,MATCH('Pagos Mayoristas'!$C158,'Hoja Auxiliar'!$C$40:$C$58,0))</f>
        <v>15000</v>
      </c>
      <c r="F158" s="238">
        <f>IF(C158="","",('Precio Mayorista'!$D$100*INDEX('Informacion del AEP'!$D$90:$AE$108,MATCH(C158,'Informacion del AEP'!$C$90:$C$108,0),MATCH($C$140,'Informacion del AEP'!$D$89:$AE$89,0))*INDEX('Informacion del AEP'!$F$169:$F$187,MATCH(C158,'Informacion del AEP'!$C$169:$C$187,0))))</f>
        <v>0</v>
      </c>
      <c r="N158" s="209">
        <f>INDEX('Precio Mayorista'!$D$76:$D$94,MATCH('Pagos Mayoristas'!C158,'Precio Mayorista'!$G$76:$G$94,0))*INDEX('Informacion del AEP'!$F$90:$AE$108,MATCH('Pagos Mayoristas'!C158,'Informacion del AEP'!$C$90:$C$108,0),MATCH('Pagos Mayoristas'!$C$140,'Informacion del AEP'!$F$89:$AE$89,0))</f>
        <v>750000</v>
      </c>
    </row>
    <row r="159" spans="1:14" x14ac:dyDescent="0.25">
      <c r="C159" s="5" t="str">
        <f>IF(Supuestos!B66="","",Supuestos!B66)</f>
        <v>Otros servicios (incluyendo marcaciones especiales)</v>
      </c>
      <c r="D159" s="78">
        <f>INDEX('Informacion del AEP'!$F$90:$AE$108,MATCH('Pagos Mayoristas'!$C159,'Informacion del AEP'!$C$90:$C$108,0),MATCH('Pagos Mayoristas'!C$140,'Informacion del AEP'!$F$89:$AE$89,0))*INDEX('Hoja Auxiliar'!$D$40:$D$58,MATCH('Pagos Mayoristas'!$C159,'Hoja Auxiliar'!$C$40:$C$58,0))</f>
        <v>15000000</v>
      </c>
      <c r="F159" s="238">
        <f>IF(C159="","",('Precio Mayorista'!$D$100*INDEX('Informacion del AEP'!$D$90:$AE$108,MATCH(C159,'Informacion del AEP'!$C$90:$C$108,0),MATCH($C$140,'Informacion del AEP'!$D$89:$AE$89,0))*INDEX('Informacion del AEP'!$F$169:$F$187,MATCH(C159,'Informacion del AEP'!$C$169:$C$187,0))))</f>
        <v>0</v>
      </c>
      <c r="N159" s="209">
        <f>INDEX('Precio Mayorista'!$D$76:$D$94,MATCH('Pagos Mayoristas'!C159,'Precio Mayorista'!$G$76:$G$94,0))*INDEX('Informacion del AEP'!$F$90:$AE$108,MATCH('Pagos Mayoristas'!C159,'Informacion del AEP'!$C$90:$C$108,0),MATCH('Pagos Mayoristas'!$C$140,'Informacion del AEP'!$F$89:$AE$89,0))</f>
        <v>0</v>
      </c>
    </row>
    <row r="160" spans="1:14" x14ac:dyDescent="0.25">
      <c r="D160" s="78"/>
      <c r="F160" s="78"/>
      <c r="N160" s="209"/>
    </row>
    <row r="161" spans="1:15" ht="13" x14ac:dyDescent="0.3">
      <c r="C161" s="64"/>
      <c r="D161" s="78"/>
      <c r="F161" s="78"/>
    </row>
    <row r="162" spans="1:15" x14ac:dyDescent="0.25">
      <c r="F162" s="78"/>
    </row>
    <row r="163" spans="1:15" x14ac:dyDescent="0.25">
      <c r="F163" s="78"/>
    </row>
    <row r="165" spans="1:15" ht="27.5" x14ac:dyDescent="0.25">
      <c r="D165" s="78"/>
      <c r="I165" s="440" t="s">
        <v>125</v>
      </c>
    </row>
    <row r="166" spans="1:15" ht="13" x14ac:dyDescent="0.3">
      <c r="C166" s="74" t="str">
        <f>Supuestos!$B$91</f>
        <v>Monto 1</v>
      </c>
      <c r="D166" s="77">
        <f>SUM(D167:D185)</f>
        <v>239856100.49269995</v>
      </c>
      <c r="E166" s="75"/>
      <c r="F166" s="77">
        <f>SUM(F167:F185)</f>
        <v>0</v>
      </c>
      <c r="G166" s="75"/>
      <c r="H166" s="77"/>
      <c r="I166" s="77">
        <f>INDEX('Administración usuario prepago'!$L$11:$L$19,MATCH('Pagos Mayoristas'!C166,'Administración usuario prepago'!$C$11:$C$19,0))</f>
        <v>10919117.647058824</v>
      </c>
      <c r="J166" s="4"/>
      <c r="K166" s="77"/>
      <c r="L166" s="204">
        <f>$L$10*(INDEX('Informacion del AEP'!$F$12:$AE$12,MATCH('Pagos Mayoristas'!C166,'Informacion del AEP'!$F$11:$AE$11,0))/INDEX('Informacion del AEP'!$F$12:$AE$12,MATCH('Pagos Mayoristas'!$C$10,'Informacion del AEP'!$F$11:$AE$11,0)))</f>
        <v>45180.722891566264</v>
      </c>
      <c r="M166" s="204"/>
      <c r="N166" s="77">
        <f>SUM(N167:N185)</f>
        <v>34592508.900399998</v>
      </c>
      <c r="O166" s="204">
        <f>SUM(D166:N166)</f>
        <v>285412907.76305032</v>
      </c>
    </row>
    <row r="167" spans="1:15" x14ac:dyDescent="0.25">
      <c r="C167" s="5" t="str">
        <f>IF(Supuestos!$B$48="","",Supuestos!$B$48)</f>
        <v>Datos</v>
      </c>
      <c r="D167" s="78">
        <f>INDEX('Informacion del AEP'!$F$90:$AE$108,MATCH('Pagos Mayoristas'!$C167,'Informacion del AEP'!$C$90:$C$108,0),MATCH('Pagos Mayoristas'!C$166,'Informacion del AEP'!$F$89:$AE$89,0))*INDEX('Hoja Auxiliar'!$D$40:$D$58,MATCH('Pagos Mayoristas'!$C167,'Hoja Auxiliar'!$C$40:$C$58,0))</f>
        <v>127000000.01269999</v>
      </c>
      <c r="F167" s="238">
        <f>IF(C167="","",('Precio Mayorista'!$D$100*INDEX('Informacion del AEP'!$D$90:$AE$108,MATCH(C167,'Informacion del AEP'!$C$90:$C$108,0),MATCH($C$166,'Informacion del AEP'!$D$89:$AE$89,0))*INDEX('Informacion del AEP'!$F$169:$F$187,MATCH(C167,'Informacion del AEP'!$C$169:$C$187,0))))</f>
        <v>0</v>
      </c>
      <c r="N167" s="209">
        <f>INDEX('Precio Mayorista'!$D$76:$D$94,MATCH('Pagos Mayoristas'!C167,'Precio Mayorista'!$G$76:$G$94,0))*INDEX('Informacion del AEP'!$F$90:$AE$108,MATCH('Pagos Mayoristas'!C167,'Informacion del AEP'!$C$90:$C$108,0),MATCH('Pagos Mayoristas'!$C$166,'Informacion del AEP'!$F$89:$AE$89,0))</f>
        <v>0</v>
      </c>
    </row>
    <row r="168" spans="1:15" x14ac:dyDescent="0.25">
      <c r="C168" s="5" t="str">
        <f>IF(Supuestos!$B$49="","",Supuestos!$B$49)</f>
        <v>Originación voz on-net local</v>
      </c>
      <c r="D168" s="78">
        <f>INDEX('Informacion del AEP'!$F$90:$AE$108,MATCH('Pagos Mayoristas'!$C168,'Informacion del AEP'!$C$90:$C$108,0),MATCH('Pagos Mayoristas'!C$166,'Informacion del AEP'!$F$89:$AE$89,0))*INDEX('Hoja Auxiliar'!$D$40:$D$58,MATCH('Pagos Mayoristas'!$C168,'Hoja Auxiliar'!$C$40:$C$58,0))</f>
        <v>30000000.029999997</v>
      </c>
      <c r="F168" s="238">
        <f>IF(C168="","",('Precio Mayorista'!$D$100*INDEX('Informacion del AEP'!$D$90:$AE$108,MATCH(C168,'Informacion del AEP'!$C$90:$C$108,0),MATCH($C$166,'Informacion del AEP'!$D$89:$AE$89,0))*INDEX('Informacion del AEP'!$F$169:$F$187,MATCH(C168,'Informacion del AEP'!$C$169:$C$187,0))))</f>
        <v>0</v>
      </c>
      <c r="N168" s="209">
        <f>INDEX('Precio Mayorista'!$D$76:$D$94,MATCH('Pagos Mayoristas'!C168,'Precio Mayorista'!$G$76:$G$94,0))*INDEX('Informacion del AEP'!$F$90:$AE$108,MATCH('Pagos Mayoristas'!C168,'Informacion del AEP'!$C$90:$C$108,0),MATCH('Pagos Mayoristas'!$C$166,'Informacion del AEP'!$F$89:$AE$89,0))</f>
        <v>0</v>
      </c>
    </row>
    <row r="169" spans="1:15" x14ac:dyDescent="0.25">
      <c r="C169" s="5" t="str">
        <f>IF(Supuestos!$B$50="","",Supuestos!$B$50)</f>
        <v>Originación voz off-net móvil local</v>
      </c>
      <c r="D169" s="78">
        <f>INDEX('Informacion del AEP'!$F$90:$AE$108,MATCH('Pagos Mayoristas'!$C169,'Informacion del AEP'!$C$90:$C$108,0),MATCH('Pagos Mayoristas'!C$166,'Informacion del AEP'!$F$89:$AE$89,0))*INDEX('Hoja Auxiliar'!$D$40:$D$58,MATCH('Pagos Mayoristas'!$C169,'Hoja Auxiliar'!$C$40:$C$58,0))</f>
        <v>6000000.0299999993</v>
      </c>
      <c r="F169" s="238">
        <f>IF(C169="","",('Precio Mayorista'!$D$100*INDEX('Informacion del AEP'!$D$90:$AE$108,MATCH(C169,'Informacion del AEP'!$C$90:$C$108,0),MATCH($C$166,'Informacion del AEP'!$D$89:$AE$89,0))*INDEX('Informacion del AEP'!$F$169:$F$187,MATCH(C169,'Informacion del AEP'!$C$169:$C$187,0))))</f>
        <v>0</v>
      </c>
      <c r="N169" s="209">
        <f>INDEX('Precio Mayorista'!$D$76:$D$94,MATCH('Pagos Mayoristas'!C169,'Precio Mayorista'!$G$76:$G$94,0))*INDEX('Informacion del AEP'!$F$90:$AE$108,MATCH('Pagos Mayoristas'!C169,'Informacion del AEP'!$C$90:$C$108,0),MATCH('Pagos Mayoristas'!$C$166,'Informacion del AEP'!$F$89:$AE$89,0))</f>
        <v>8444200.0422210004</v>
      </c>
    </row>
    <row r="170" spans="1:15" x14ac:dyDescent="0.25">
      <c r="C170" s="5" t="str">
        <f>IF(Supuestos!$B$51="","",Supuestos!$B$51)</f>
        <v>Originación voz off-net fijo local</v>
      </c>
      <c r="D170" s="78">
        <f>INDEX('Informacion del AEP'!$F$90:$AE$108,MATCH('Pagos Mayoristas'!$C170,'Informacion del AEP'!$C$90:$C$108,0),MATCH('Pagos Mayoristas'!C$166,'Informacion del AEP'!$F$89:$AE$89,0))*INDEX('Hoja Auxiliar'!$D$40:$D$58,MATCH('Pagos Mayoristas'!$C170,'Hoja Auxiliar'!$C$40:$C$58,0))</f>
        <v>3000000.03</v>
      </c>
      <c r="F170" s="238">
        <f>IF(C170="","",('Precio Mayorista'!$D$100*INDEX('Informacion del AEP'!$D$90:$AE$108,MATCH(C170,'Informacion del AEP'!$C$90:$C$108,0),MATCH($C$166,'Informacion del AEP'!$D$89:$AE$89,0))*INDEX('Informacion del AEP'!$F$169:$F$187,MATCH(C170,'Informacion del AEP'!$C$169:$C$187,0))))</f>
        <v>0</v>
      </c>
      <c r="N170" s="209">
        <f>INDEX('Precio Mayorista'!$D$76:$D$94,MATCH('Pagos Mayoristas'!C170,'Precio Mayorista'!$G$76:$G$94,0))*INDEX('Informacion del AEP'!$F$90:$AE$108,MATCH('Pagos Mayoristas'!C170,'Informacion del AEP'!$C$90:$C$108,0),MATCH('Pagos Mayoristas'!$C$166,'Informacion del AEP'!$F$89:$AE$89,0))</f>
        <v>334300.00334300002</v>
      </c>
    </row>
    <row r="171" spans="1:15" x14ac:dyDescent="0.25">
      <c r="C171" s="5" t="str">
        <f>IF(Supuestos!$B$52="","",Supuestos!$B$52)</f>
        <v>Originación voz on-net LDN</v>
      </c>
      <c r="D171" s="78">
        <f>INDEX('Informacion del AEP'!$F$90:$AE$108,MATCH('Pagos Mayoristas'!$C171,'Informacion del AEP'!$C$90:$C$108,0),MATCH('Pagos Mayoristas'!C$166,'Informacion del AEP'!$F$89:$AE$89,0))*INDEX('Hoja Auxiliar'!$D$40:$D$58,MATCH('Pagos Mayoristas'!$C171,'Hoja Auxiliar'!$C$40:$C$58,0))</f>
        <v>45000000.030000001</v>
      </c>
      <c r="F171" s="238">
        <f>IF(C171="","",('Precio Mayorista'!$D$100*INDEX('Informacion del AEP'!$D$90:$AE$108,MATCH(C171,'Informacion del AEP'!$C$90:$C$108,0),MATCH($C$166,'Informacion del AEP'!$D$89:$AE$89,0))*INDEX('Informacion del AEP'!$F$169:$F$187,MATCH(C171,'Informacion del AEP'!$C$169:$C$187,0))))</f>
        <v>0</v>
      </c>
      <c r="N171" s="209">
        <f>INDEX('Precio Mayorista'!$D$76:$D$94,MATCH('Pagos Mayoristas'!C171,'Precio Mayorista'!$G$76:$G$94,0))*INDEX('Informacion del AEP'!$F$90:$AE$108,MATCH('Pagos Mayoristas'!C171,'Informacion del AEP'!$C$90:$C$108,0),MATCH('Pagos Mayoristas'!$C$166,'Informacion del AEP'!$F$89:$AE$89,0))</f>
        <v>0</v>
      </c>
    </row>
    <row r="172" spans="1:15" x14ac:dyDescent="0.25">
      <c r="C172" s="5" t="str">
        <f>IF(Supuestos!$B$53="","",Supuestos!$B$53)</f>
        <v>Originación voz off-net móvil LDN</v>
      </c>
      <c r="D172" s="78">
        <f>INDEX('Informacion del AEP'!$F$90:$AE$108,MATCH('Pagos Mayoristas'!$C172,'Informacion del AEP'!$C$90:$C$108,0),MATCH('Pagos Mayoristas'!C$166,'Informacion del AEP'!$F$89:$AE$89,0))*INDEX('Hoja Auxiliar'!$D$40:$D$58,MATCH('Pagos Mayoristas'!$C172,'Hoja Auxiliar'!$C$40:$C$58,0))</f>
        <v>4500000.03</v>
      </c>
      <c r="F172" s="238">
        <f>IF(C172="","",('Precio Mayorista'!$D$100*INDEX('Informacion del AEP'!$D$90:$AE$108,MATCH(C172,'Informacion del AEP'!$C$90:$C$108,0),MATCH($C$166,'Informacion del AEP'!$D$89:$AE$89,0))*INDEX('Informacion del AEP'!$F$169:$F$187,MATCH(C172,'Informacion del AEP'!$C$169:$C$187,0))))</f>
        <v>0</v>
      </c>
      <c r="N172" s="209">
        <f>INDEX('Precio Mayorista'!$D$76:$D$94,MATCH('Pagos Mayoristas'!C172,'Precio Mayorista'!$G$76:$G$94,0))*INDEX('Informacion del AEP'!$F$90:$AE$108,MATCH('Pagos Mayoristas'!C172,'Informacion del AEP'!$C$90:$C$108,0),MATCH('Pagos Mayoristas'!$C$166,'Informacion del AEP'!$F$89:$AE$89,0))</f>
        <v>6333150.0422210004</v>
      </c>
    </row>
    <row r="173" spans="1:15" x14ac:dyDescent="0.25">
      <c r="C173" s="5" t="str">
        <f>IF(Supuestos!$B$54="","",Supuestos!$B$54)</f>
        <v>Originación voz off-net fijo LDN</v>
      </c>
      <c r="D173" s="78">
        <f>INDEX('Informacion del AEP'!$F$90:$AE$108,MATCH('Pagos Mayoristas'!$C173,'Informacion del AEP'!$C$90:$C$108,0),MATCH('Pagos Mayoristas'!C$166,'Informacion del AEP'!$F$89:$AE$89,0))*INDEX('Hoja Auxiliar'!$D$40:$D$58,MATCH('Pagos Mayoristas'!$C173,'Hoja Auxiliar'!$C$40:$C$58,0))</f>
        <v>1500000.03</v>
      </c>
      <c r="F173" s="238">
        <f>IF(C173="","",('Precio Mayorista'!$D$100*INDEX('Informacion del AEP'!$D$90:$AE$108,MATCH(C173,'Informacion del AEP'!$C$90:$C$108,0),MATCH($C$166,'Informacion del AEP'!$D$89:$AE$89,0))*INDEX('Informacion del AEP'!$F$169:$F$187,MATCH(C173,'Informacion del AEP'!$C$169:$C$187,0))))</f>
        <v>0</v>
      </c>
      <c r="N173" s="209">
        <f>INDEX('Precio Mayorista'!$D$76:$D$94,MATCH('Pagos Mayoristas'!C173,'Precio Mayorista'!$G$76:$G$94,0))*INDEX('Informacion del AEP'!$F$90:$AE$108,MATCH('Pagos Mayoristas'!C173,'Informacion del AEP'!$C$90:$C$108,0),MATCH('Pagos Mayoristas'!$C$166,'Informacion del AEP'!$F$89:$AE$89,0))</f>
        <v>167150.00334299999</v>
      </c>
    </row>
    <row r="174" spans="1:15" x14ac:dyDescent="0.25">
      <c r="C174" s="5" t="str">
        <f>IF(Supuestos!$B$55="","",Supuestos!$B$55)</f>
        <v>Originación voz internacional USA-Canadá</v>
      </c>
      <c r="D174" s="78">
        <f>INDEX('Informacion del AEP'!$F$90:$AE$108,MATCH('Pagos Mayoristas'!$C174,'Informacion del AEP'!$C$90:$C$108,0),MATCH('Pagos Mayoristas'!C$166,'Informacion del AEP'!$F$89:$AE$89,0))*INDEX('Hoja Auxiliar'!$D$40:$D$58,MATCH('Pagos Mayoristas'!$C174,'Hoja Auxiliar'!$C$40:$C$58,0))</f>
        <v>3900000.03</v>
      </c>
      <c r="F174" s="238">
        <f>IF(C174="","",('Precio Mayorista'!$D$100*INDEX('Informacion del AEP'!$D$90:$AE$108,MATCH(C174,'Informacion del AEP'!$C$90:$C$108,0),MATCH($C$166,'Informacion del AEP'!$D$89:$AE$89,0))*INDEX('Informacion del AEP'!$F$169:$F$187,MATCH(C174,'Informacion del AEP'!$C$169:$C$187,0))))</f>
        <v>0</v>
      </c>
      <c r="N174" s="209">
        <f>INDEX('Precio Mayorista'!$D$76:$D$94,MATCH('Pagos Mayoristas'!C174,'Precio Mayorista'!$G$76:$G$94,0))*INDEX('Informacion del AEP'!$F$90:$AE$108,MATCH('Pagos Mayoristas'!C174,'Informacion del AEP'!$C$90:$C$108,0),MATCH('Pagos Mayoristas'!$C$166,'Informacion del AEP'!$F$89:$AE$89,0))</f>
        <v>6500000.0500000007</v>
      </c>
    </row>
    <row r="175" spans="1:15" x14ac:dyDescent="0.25">
      <c r="C175" s="5" t="str">
        <f>IF(Supuestos!$B$56="","",Supuestos!$B$56)</f>
        <v>Originación voz internacional Mundial Centroamérica</v>
      </c>
      <c r="D175" s="78">
        <f>INDEX('Informacion del AEP'!$F$90:$AE$108,MATCH('Pagos Mayoristas'!$C175,'Informacion del AEP'!$C$90:$C$108,0),MATCH('Pagos Mayoristas'!C$166,'Informacion del AEP'!$F$89:$AE$89,0))*INDEX('Hoja Auxiliar'!$D$40:$D$58,MATCH('Pagos Mayoristas'!$C175,'Hoja Auxiliar'!$C$40:$C$58,0))</f>
        <v>9000.0299999999988</v>
      </c>
      <c r="F175" s="238">
        <f>IF(C175="","",('Precio Mayorista'!$D$100*INDEX('Informacion del AEP'!$D$90:$AE$108,MATCH(C175,'Informacion del AEP'!$C$90:$C$108,0),MATCH($C$166,'Informacion del AEP'!$D$89:$AE$89,0))*INDEX('Informacion del AEP'!$F$169:$F$187,MATCH(C175,'Informacion del AEP'!$C$169:$C$187,0))))</f>
        <v>0</v>
      </c>
      <c r="N175" s="209">
        <f>INDEX('Precio Mayorista'!$D$76:$D$94,MATCH('Pagos Mayoristas'!C175,'Precio Mayorista'!$G$76:$G$94,0))*INDEX('Informacion del AEP'!$F$90:$AE$108,MATCH('Pagos Mayoristas'!C175,'Informacion del AEP'!$C$90:$C$108,0),MATCH('Pagos Mayoristas'!$C$166,'Informacion del AEP'!$F$89:$AE$89,0))</f>
        <v>750002.5</v>
      </c>
    </row>
    <row r="176" spans="1:15" x14ac:dyDescent="0.25">
      <c r="A176" s="5" t="s">
        <v>69</v>
      </c>
      <c r="C176" s="5" t="str">
        <f>IF(Supuestos!$B$57="","",Supuestos!$B$57)</f>
        <v>Originación voz internacional Mundial LATAM y Caribe</v>
      </c>
      <c r="D176" s="78">
        <f>INDEX('Informacion del AEP'!$F$90:$AE$108,MATCH('Pagos Mayoristas'!$C176,'Informacion del AEP'!$C$90:$C$108,0),MATCH('Pagos Mayoristas'!C$166,'Informacion del AEP'!$F$89:$AE$89,0))*INDEX('Hoja Auxiliar'!$D$40:$D$58,MATCH('Pagos Mayoristas'!$C176,'Hoja Auxiliar'!$C$40:$C$58,0))</f>
        <v>600.03</v>
      </c>
      <c r="F176" s="238">
        <f>IF(C176="","",('Precio Mayorista'!$D$100*INDEX('Informacion del AEP'!$D$90:$AE$108,MATCH(C176,'Informacion del AEP'!$C$90:$C$108,0),MATCH($C$166,'Informacion del AEP'!$D$89:$AE$89,0))*INDEX('Informacion del AEP'!$F$169:$F$187,MATCH(C176,'Informacion del AEP'!$C$169:$C$187,0))))</f>
        <v>0</v>
      </c>
      <c r="N176" s="209">
        <f>INDEX('Precio Mayorista'!$D$76:$D$94,MATCH('Pagos Mayoristas'!C176,'Precio Mayorista'!$G$76:$G$94,0))*INDEX('Informacion del AEP'!$F$90:$AE$108,MATCH('Pagos Mayoristas'!C176,'Informacion del AEP'!$C$90:$C$108,0),MATCH('Pagos Mayoristas'!$C$166,'Informacion del AEP'!$F$89:$AE$89,0))</f>
        <v>100005</v>
      </c>
    </row>
    <row r="177" spans="3:15" x14ac:dyDescent="0.25">
      <c r="C177" s="5" t="str">
        <f>IF(Supuestos!$B$58="","",Supuestos!$B$58)</f>
        <v>Originación voz internacional Europa</v>
      </c>
      <c r="D177" s="439">
        <f>INDEX('Informacion del AEP'!$F$90:$AE$108,MATCH('Pagos Mayoristas'!$C177,'Informacion del AEP'!$C$90:$C$108,0),MATCH('Pagos Mayoristas'!C$166,'Informacion del AEP'!$F$89:$AE$89,0))*INDEX('Hoja Auxiliar'!$D$40:$D$58,MATCH('Pagos Mayoristas'!$C177,'Hoja Auxiliar'!$C$40:$C$58,0))</f>
        <v>0.03</v>
      </c>
      <c r="F177" s="238">
        <f>IF(C177="","",('Precio Mayorista'!$D$100*INDEX('Informacion del AEP'!$D$90:$AE$108,MATCH(C177,'Informacion del AEP'!$C$90:$C$108,0),MATCH($C$166,'Informacion del AEP'!$D$89:$AE$89,0))*INDEX('Informacion del AEP'!$F$169:$F$187,MATCH(C177,'Informacion del AEP'!$C$169:$C$187,0))))</f>
        <v>0</v>
      </c>
      <c r="N177" s="209">
        <f>INDEX('Precio Mayorista'!$D$76:$D$94,MATCH('Pagos Mayoristas'!C177,'Precio Mayorista'!$G$76:$G$94,0))*INDEX('Informacion del AEP'!$F$90:$AE$108,MATCH('Pagos Mayoristas'!C177,'Informacion del AEP'!$C$90:$C$108,0),MATCH('Pagos Mayoristas'!$C$166,'Informacion del AEP'!$F$89:$AE$89,0))</f>
        <v>5</v>
      </c>
    </row>
    <row r="178" spans="3:15" x14ac:dyDescent="0.25">
      <c r="C178" s="5" t="str">
        <f>IF(Supuestos!$B$59="","",Supuestos!$B$59)</f>
        <v>Originación voz internacional Mundial Otros geográficos</v>
      </c>
      <c r="D178" s="78">
        <f>INDEX('Informacion del AEP'!$F$90:$AE$108,MATCH('Pagos Mayoristas'!$C178,'Informacion del AEP'!$C$90:$C$108,0),MATCH('Pagos Mayoristas'!C$166,'Informacion del AEP'!$F$89:$AE$89,0))*INDEX('Hoja Auxiliar'!$D$40:$D$58,MATCH('Pagos Mayoristas'!$C178,'Hoja Auxiliar'!$C$40:$C$58,0))</f>
        <v>30000.03</v>
      </c>
      <c r="F178" s="238">
        <f>IF(C178="","",('Precio Mayorista'!$D$100*INDEX('Informacion del AEP'!$D$90:$AE$108,MATCH(C178,'Informacion del AEP'!$C$90:$C$108,0),MATCH($C$166,'Informacion del AEP'!$D$89:$AE$89,0))*INDEX('Informacion del AEP'!$F$169:$F$187,MATCH(C178,'Informacion del AEP'!$C$169:$C$187,0))))</f>
        <v>0</v>
      </c>
      <c r="N178" s="209">
        <f>INDEX('Precio Mayorista'!$D$76:$D$94,MATCH('Pagos Mayoristas'!C178,'Precio Mayorista'!$G$76:$G$94,0))*INDEX('Informacion del AEP'!$F$90:$AE$108,MATCH('Pagos Mayoristas'!C178,'Informacion del AEP'!$C$90:$C$108,0),MATCH('Pagos Mayoristas'!$C$166,'Informacion del AEP'!$F$89:$AE$89,0))</f>
        <v>5000005</v>
      </c>
    </row>
    <row r="179" spans="3:15" x14ac:dyDescent="0.25">
      <c r="C179" s="5" t="str">
        <f>IF(Supuestos!$B$60="","",Supuestos!$B$60)</f>
        <v>Originación voz internacional Cuba</v>
      </c>
      <c r="D179" s="78">
        <f>INDEX('Informacion del AEP'!$F$90:$AE$108,MATCH('Pagos Mayoristas'!$C179,'Informacion del AEP'!$C$90:$C$108,0),MATCH('Pagos Mayoristas'!C$166,'Informacion del AEP'!$F$89:$AE$89,0))*INDEX('Hoja Auxiliar'!$D$40:$D$58,MATCH('Pagos Mayoristas'!$C179,'Hoja Auxiliar'!$C$40:$C$58,0))</f>
        <v>1500.03</v>
      </c>
      <c r="F179" s="238">
        <f>IF(C179="","",('Precio Mayorista'!$D$100*INDEX('Informacion del AEP'!$D$90:$AE$108,MATCH(C179,'Informacion del AEP'!$C$90:$C$108,0),MATCH($C$166,'Informacion del AEP'!$D$89:$AE$89,0))*INDEX('Informacion del AEP'!$F$169:$F$187,MATCH(C179,'Informacion del AEP'!$C$169:$C$187,0))))</f>
        <v>0</v>
      </c>
      <c r="N179" s="209">
        <f>INDEX('Precio Mayorista'!$D$76:$D$94,MATCH('Pagos Mayoristas'!C179,'Precio Mayorista'!$G$76:$G$94,0))*INDEX('Informacion del AEP'!$F$90:$AE$108,MATCH('Pagos Mayoristas'!C179,'Informacion del AEP'!$C$90:$C$108,0),MATCH('Pagos Mayoristas'!$C$166,'Informacion del AEP'!$F$89:$AE$89,0))</f>
        <v>750015</v>
      </c>
    </row>
    <row r="180" spans="3:15" x14ac:dyDescent="0.25">
      <c r="C180" s="5" t="str">
        <f>IF(Supuestos!$B$61="","",Supuestos!$B$61)</f>
        <v>Originación voz Mundial destinos no geográficos</v>
      </c>
      <c r="D180" s="78">
        <f>INDEX('Informacion del AEP'!$F$90:$AE$108,MATCH('Pagos Mayoristas'!$C180,'Informacion del AEP'!$C$90:$C$108,0),MATCH('Pagos Mayoristas'!C$166,'Informacion del AEP'!$F$89:$AE$89,0))*INDEX('Hoja Auxiliar'!$D$40:$D$58,MATCH('Pagos Mayoristas'!$C180,'Hoja Auxiliar'!$C$40:$C$58,0))</f>
        <v>0.03</v>
      </c>
      <c r="F180" s="238">
        <f>IF(C180="","",('Precio Mayorista'!$D$100*INDEX('Informacion del AEP'!$D$90:$AE$108,MATCH(C180,'Informacion del AEP'!$C$90:$C$108,0),MATCH($C$166,'Informacion del AEP'!$D$89:$AE$89,0))*INDEX('Informacion del AEP'!$F$169:$F$187,MATCH(C180,'Informacion del AEP'!$C$169:$C$187,0))))</f>
        <v>0</v>
      </c>
      <c r="N180" s="209">
        <f>INDEX('Precio Mayorista'!$D$76:$D$94,MATCH('Pagos Mayoristas'!C180,'Precio Mayorista'!$G$76:$G$94,0))*INDEX('Informacion del AEP'!$F$90:$AE$108,MATCH('Pagos Mayoristas'!C180,'Informacion del AEP'!$C$90:$C$108,0),MATCH('Pagos Mayoristas'!$C$166,'Informacion del AEP'!$F$89:$AE$89,0))</f>
        <v>75</v>
      </c>
    </row>
    <row r="181" spans="3:15" x14ac:dyDescent="0.25">
      <c r="C181" s="5" t="str">
        <f>IF(Supuestos!$B$62="","",Supuestos!$B$62)</f>
        <v>Originación SMS on-net</v>
      </c>
      <c r="D181" s="78">
        <f>INDEX('Informacion del AEP'!$F$90:$AE$108,MATCH('Pagos Mayoristas'!$C181,'Informacion del AEP'!$C$90:$C$108,0),MATCH('Pagos Mayoristas'!C$166,'Informacion del AEP'!$F$89:$AE$89,0))*INDEX('Hoja Auxiliar'!$D$40:$D$58,MATCH('Pagos Mayoristas'!$C181,'Hoja Auxiliar'!$C$40:$C$58,0))</f>
        <v>3000000.0149999997</v>
      </c>
      <c r="F181" s="238">
        <f>IF(C181="","",('Precio Mayorista'!$D$100*INDEX('Informacion del AEP'!$D$90:$AE$108,MATCH(C181,'Informacion del AEP'!$C$90:$C$108,0),MATCH($C$166,'Informacion del AEP'!$D$89:$AE$89,0))*INDEX('Informacion del AEP'!$F$169:$F$187,MATCH(C181,'Informacion del AEP'!$C$169:$C$187,0))))</f>
        <v>0</v>
      </c>
      <c r="N181" s="209">
        <f>INDEX('Precio Mayorista'!$D$76:$D$94,MATCH('Pagos Mayoristas'!C181,'Precio Mayorista'!$G$76:$G$94,0))*INDEX('Informacion del AEP'!$F$90:$AE$108,MATCH('Pagos Mayoristas'!C181,'Informacion del AEP'!$C$90:$C$108,0),MATCH('Pagos Mayoristas'!$C$166,'Informacion del AEP'!$F$89:$AE$89,0))</f>
        <v>0</v>
      </c>
    </row>
    <row r="182" spans="3:15" x14ac:dyDescent="0.25">
      <c r="C182" s="5" t="str">
        <f>IF(Supuestos!$B$63="","",Supuestos!$B$63)</f>
        <v>Originación SMS - off-net nacional</v>
      </c>
      <c r="D182" s="78">
        <f>INDEX('Informacion del AEP'!$F$90:$AE$108,MATCH('Pagos Mayoristas'!$C182,'Informacion del AEP'!$C$90:$C$108,0),MATCH('Pagos Mayoristas'!C$166,'Informacion del AEP'!$F$89:$AE$89,0))*INDEX('Hoja Auxiliar'!$D$40:$D$58,MATCH('Pagos Mayoristas'!$C182,'Hoja Auxiliar'!$C$40:$C$58,0))</f>
        <v>750000.01500000001</v>
      </c>
      <c r="F182" s="238">
        <f>IF(C182="","",('Precio Mayorista'!$D$100*INDEX('Informacion del AEP'!$D$90:$AE$108,MATCH(C182,'Informacion del AEP'!$C$90:$C$108,0),MATCH($C$166,'Informacion del AEP'!$D$89:$AE$89,0))*INDEX('Informacion del AEP'!$F$169:$F$187,MATCH(C182,'Informacion del AEP'!$C$169:$C$187,0))))</f>
        <v>0</v>
      </c>
      <c r="N182" s="209">
        <f>INDEX('Precio Mayorista'!$D$76:$D$94,MATCH('Pagos Mayoristas'!C182,'Precio Mayorista'!$G$76:$G$94,0))*INDEX('Informacion del AEP'!$F$90:$AE$108,MATCH('Pagos Mayoristas'!C182,'Informacion del AEP'!$C$90:$C$108,0),MATCH('Pagos Mayoristas'!$C$166,'Informacion del AEP'!$F$89:$AE$89,0))</f>
        <v>463600.00927200005</v>
      </c>
    </row>
    <row r="183" spans="3:15" x14ac:dyDescent="0.25">
      <c r="C183" s="5" t="str">
        <f>IF(Supuestos!$B$64="","",Supuestos!$B$64)</f>
        <v>Originación SMS internacional (USA-Canadá)</v>
      </c>
      <c r="D183" s="78">
        <f>INDEX('Informacion del AEP'!$F$90:$AE$108,MATCH('Pagos Mayoristas'!$C183,'Informacion del AEP'!$C$90:$C$108,0),MATCH('Pagos Mayoristas'!C$166,'Informacion del AEP'!$F$89:$AE$89,0))*INDEX('Hoja Auxiliar'!$D$40:$D$58,MATCH('Pagos Mayoristas'!$C183,'Hoja Auxiliar'!$C$40:$C$58,0))</f>
        <v>150000.01499999998</v>
      </c>
      <c r="F183" s="238">
        <f>IF(C183="","",('Precio Mayorista'!$D$100*INDEX('Informacion del AEP'!$D$90:$AE$108,MATCH(C183,'Informacion del AEP'!$C$90:$C$108,0),MATCH($C$166,'Informacion del AEP'!$D$89:$AE$89,0))*INDEX('Informacion del AEP'!$F$169:$F$187,MATCH(C183,'Informacion del AEP'!$C$169:$C$187,0))))</f>
        <v>0</v>
      </c>
      <c r="N183" s="209">
        <f>INDEX('Precio Mayorista'!$D$76:$D$94,MATCH('Pagos Mayoristas'!C183,'Precio Mayorista'!$G$76:$G$94,0))*INDEX('Informacion del AEP'!$F$90:$AE$108,MATCH('Pagos Mayoristas'!C183,'Informacion del AEP'!$C$90:$C$108,0),MATCH('Pagos Mayoristas'!$C$166,'Informacion del AEP'!$F$89:$AE$89,0))</f>
        <v>5000000.5</v>
      </c>
    </row>
    <row r="184" spans="3:15" x14ac:dyDescent="0.25">
      <c r="C184" s="5" t="str">
        <f>IF(Supuestos!$B$65="","",Supuestos!$B$65)</f>
        <v>Originación SMS internacional (Resto del Mundo)</v>
      </c>
      <c r="D184" s="78">
        <f>INDEX('Informacion del AEP'!$F$90:$AE$108,MATCH('Pagos Mayoristas'!$C184,'Informacion del AEP'!$C$90:$C$108,0),MATCH('Pagos Mayoristas'!C$166,'Informacion del AEP'!$F$89:$AE$89,0))*INDEX('Hoja Auxiliar'!$D$40:$D$58,MATCH('Pagos Mayoristas'!$C184,'Hoja Auxiliar'!$C$40:$C$58,0))</f>
        <v>15000.014999999999</v>
      </c>
      <c r="F184" s="238">
        <f>IF(C184="","",('Precio Mayorista'!$D$100*INDEX('Informacion del AEP'!$D$90:$AE$108,MATCH(C184,'Informacion del AEP'!$C$90:$C$108,0),MATCH($C$166,'Informacion del AEP'!$D$89:$AE$89,0))*INDEX('Informacion del AEP'!$F$169:$F$187,MATCH(C184,'Informacion del AEP'!$C$169:$C$187,0))))</f>
        <v>0</v>
      </c>
      <c r="N184" s="209">
        <f>INDEX('Precio Mayorista'!$D$76:$D$94,MATCH('Pagos Mayoristas'!C184,'Precio Mayorista'!$G$76:$G$94,0))*INDEX('Informacion del AEP'!$F$90:$AE$108,MATCH('Pagos Mayoristas'!C184,'Informacion del AEP'!$C$90:$C$108,0),MATCH('Pagos Mayoristas'!$C$166,'Informacion del AEP'!$F$89:$AE$89,0))</f>
        <v>750000.75</v>
      </c>
    </row>
    <row r="185" spans="3:15" x14ac:dyDescent="0.25">
      <c r="C185" s="5" t="str">
        <f>IF(Supuestos!$B$66="","",Supuestos!$B$66)</f>
        <v>Otros servicios (incluyendo marcaciones especiales)</v>
      </c>
      <c r="D185" s="78">
        <f>INDEX('Informacion del AEP'!$F$90:$AE$108,MATCH('Pagos Mayoristas'!$C185,'Informacion del AEP'!$C$90:$C$108,0),MATCH('Pagos Mayoristas'!C$166,'Informacion del AEP'!$F$89:$AE$89,0))*INDEX('Hoja Auxiliar'!$D$40:$D$58,MATCH('Pagos Mayoristas'!$C185,'Hoja Auxiliar'!$C$40:$C$58,0))</f>
        <v>15000000.029999999</v>
      </c>
      <c r="F185" s="238">
        <f>IF(C185="","",('Precio Mayorista'!$D$100*INDEX('Informacion del AEP'!$D$90:$AE$108,MATCH(C185,'Informacion del AEP'!$C$90:$C$108,0),MATCH($C$166,'Informacion del AEP'!$D$89:$AE$89,0))*INDEX('Informacion del AEP'!$F$169:$F$187,MATCH(C185,'Informacion del AEP'!$C$169:$C$187,0))))</f>
        <v>0</v>
      </c>
      <c r="N185" s="209">
        <f>INDEX('Precio Mayorista'!$D$76:$D$94,MATCH('Pagos Mayoristas'!C185,'Precio Mayorista'!$G$76:$G$94,0))*INDEX('Informacion del AEP'!$F$90:$AE$108,MATCH('Pagos Mayoristas'!C185,'Informacion del AEP'!$C$90:$C$108,0),MATCH('Pagos Mayoristas'!$C$166,'Informacion del AEP'!$F$89:$AE$89,0))</f>
        <v>0</v>
      </c>
    </row>
    <row r="186" spans="3:15" x14ac:dyDescent="0.25">
      <c r="D186" s="78"/>
      <c r="F186" s="78"/>
      <c r="N186" s="209"/>
    </row>
    <row r="187" spans="3:15" ht="13" x14ac:dyDescent="0.3">
      <c r="C187" s="64"/>
      <c r="D187" s="78"/>
      <c r="F187" s="78"/>
    </row>
    <row r="188" spans="3:15" x14ac:dyDescent="0.25">
      <c r="F188" s="78"/>
    </row>
    <row r="189" spans="3:15" x14ac:dyDescent="0.25">
      <c r="F189" s="78"/>
    </row>
    <row r="191" spans="3:15" ht="27.5" x14ac:dyDescent="0.25">
      <c r="D191" s="78"/>
      <c r="I191" s="440" t="s">
        <v>125</v>
      </c>
    </row>
    <row r="192" spans="3:15" ht="13" x14ac:dyDescent="0.3">
      <c r="C192" s="74" t="str">
        <f>Supuestos!$B$92</f>
        <v>Monto 2</v>
      </c>
      <c r="D192" s="77">
        <f>SUM(D193:D211)</f>
        <v>239856100.92540002</v>
      </c>
      <c r="E192" s="75"/>
      <c r="F192" s="77">
        <f>SUM(F193:F211)</f>
        <v>0</v>
      </c>
      <c r="G192" s="75"/>
      <c r="H192" s="77"/>
      <c r="I192" s="77">
        <f>INDEX('Administración usuario prepago'!$L$11:$L$19,MATCH('Pagos Mayoristas'!C192,'Administración usuario prepago'!$C$11:$C$19,0))</f>
        <v>6066176.4705882352</v>
      </c>
      <c r="J192" s="4"/>
      <c r="K192" s="77"/>
      <c r="L192" s="204">
        <f>$L$10*(INDEX('Informacion del AEP'!$F$12:$AE$12,MATCH('Pagos Mayoristas'!C192,'Informacion del AEP'!$F$11:$AE$11,0))/INDEX('Informacion del AEP'!$F$12:$AE$12,MATCH('Pagos Mayoristas'!$C$10,'Informacion del AEP'!$F$11:$AE$11,0)))</f>
        <v>36144.578313253012</v>
      </c>
      <c r="M192" s="204"/>
      <c r="N192" s="77">
        <f>SUM(N193:N211)</f>
        <v>34592536.550799996</v>
      </c>
      <c r="O192" s="204">
        <f>SUM(D192:N192)</f>
        <v>280550958.52510154</v>
      </c>
    </row>
    <row r="193" spans="1:14" x14ac:dyDescent="0.25">
      <c r="C193" s="5" t="str">
        <f>IF(Supuestos!$B$48="","",Supuestos!$B$48)</f>
        <v>Datos</v>
      </c>
      <c r="D193" s="78">
        <f>INDEX('Informacion del AEP'!$F$90:$AE$108,MATCH('Pagos Mayoristas'!$C193,'Informacion del AEP'!$C$90:$C$108,0),MATCH('Pagos Mayoristas'!C$192,'Informacion del AEP'!$F$89:$AE$89,0))*INDEX('Hoja Auxiliar'!$D$40:$D$58,MATCH('Pagos Mayoristas'!$C193,'Hoja Auxiliar'!$C$40:$C$58,0))</f>
        <v>127000000.0254</v>
      </c>
      <c r="F193" s="238">
        <f>IF(C193="","",('Precio Mayorista'!$D$100*INDEX('Informacion del AEP'!$D$90:$AE$108,MATCH(C193,'Informacion del AEP'!$C$90:$C$108,0),MATCH($C$192,'Informacion del AEP'!$D$89:$AE$89,0))*INDEX('Informacion del AEP'!$F$169:$F$187,MATCH(C193,'Informacion del AEP'!$C$169:$C$187,0))))</f>
        <v>0</v>
      </c>
      <c r="N193" s="441">
        <f>INDEX('Precio Mayorista'!$D$76:$D$94,MATCH('Pagos Mayoristas'!C193,'Precio Mayorista'!$G$76:$G$94,0))*INDEX('Informacion del AEP'!$F$90:$AE$108,MATCH('Pagos Mayoristas'!C193,'Informacion del AEP'!$C$90:$C$108,0),MATCH('Pagos Mayoristas'!$C$192,'Informacion del AEP'!$F$89:$AE$89,0))</f>
        <v>0</v>
      </c>
    </row>
    <row r="194" spans="1:14" x14ac:dyDescent="0.25">
      <c r="C194" s="5" t="str">
        <f>IF(Supuestos!$B$49="","",Supuestos!$B$49)</f>
        <v>Originación voz on-net local</v>
      </c>
      <c r="D194" s="78">
        <f>INDEX('Informacion del AEP'!$F$90:$AE$108,MATCH('Pagos Mayoristas'!$C194,'Informacion del AEP'!$C$90:$C$108,0),MATCH('Pagos Mayoristas'!C$192,'Informacion del AEP'!$F$89:$AE$89,0))*INDEX('Hoja Auxiliar'!$D$40:$D$58,MATCH('Pagos Mayoristas'!$C194,'Hoja Auxiliar'!$C$40:$C$58,0))</f>
        <v>30000000.059999999</v>
      </c>
      <c r="F194" s="238">
        <f>IF(C194="","",('Precio Mayorista'!$D$100*INDEX('Informacion del AEP'!$D$90:$AE$108,MATCH(C194,'Informacion del AEP'!$C$90:$C$108,0),MATCH($C$192,'Informacion del AEP'!$D$89:$AE$89,0))*INDEX('Informacion del AEP'!$F$169:$F$187,MATCH(C194,'Informacion del AEP'!$C$169:$C$187,0))))</f>
        <v>0</v>
      </c>
      <c r="N194" s="441">
        <f>INDEX('Precio Mayorista'!$D$76:$D$94,MATCH('Pagos Mayoristas'!C194,'Precio Mayorista'!$G$76:$G$94,0))*INDEX('Informacion del AEP'!$F$90:$AE$108,MATCH('Pagos Mayoristas'!C194,'Informacion del AEP'!$C$90:$C$108,0),MATCH('Pagos Mayoristas'!$C$192,'Informacion del AEP'!$F$89:$AE$89,0))</f>
        <v>0</v>
      </c>
    </row>
    <row r="195" spans="1:14" x14ac:dyDescent="0.25">
      <c r="C195" s="5" t="str">
        <f>IF(Supuestos!$B$50="","",Supuestos!$B$50)</f>
        <v>Originación voz off-net móvil local</v>
      </c>
      <c r="D195" s="78">
        <f>INDEX('Informacion del AEP'!$F$90:$AE$108,MATCH('Pagos Mayoristas'!$C195,'Informacion del AEP'!$C$90:$C$108,0),MATCH('Pagos Mayoristas'!C$192,'Informacion del AEP'!$F$89:$AE$89,0))*INDEX('Hoja Auxiliar'!$D$40:$D$58,MATCH('Pagos Mayoristas'!$C195,'Hoja Auxiliar'!$C$40:$C$58,0))</f>
        <v>6000000.0599999996</v>
      </c>
      <c r="F195" s="238">
        <f>IF(C195="","",('Precio Mayorista'!$D$100*INDEX('Informacion del AEP'!$D$90:$AE$108,MATCH(C195,'Informacion del AEP'!$C$90:$C$108,0),MATCH($C$192,'Informacion del AEP'!$D$89:$AE$89,0))*INDEX('Informacion del AEP'!$F$169:$F$187,MATCH(C195,'Informacion del AEP'!$C$169:$C$187,0))))</f>
        <v>0</v>
      </c>
      <c r="N195" s="441">
        <f>INDEX('Precio Mayorista'!$D$76:$D$94,MATCH('Pagos Mayoristas'!C195,'Precio Mayorista'!$G$76:$G$94,0))*INDEX('Informacion del AEP'!$F$90:$AE$108,MATCH('Pagos Mayoristas'!C195,'Informacion del AEP'!$C$90:$C$108,0),MATCH('Pagos Mayoristas'!$C$192,'Informacion del AEP'!$F$89:$AE$89,0))</f>
        <v>8444200.0844420008</v>
      </c>
    </row>
    <row r="196" spans="1:14" x14ac:dyDescent="0.25">
      <c r="C196" s="5" t="str">
        <f>IF(Supuestos!$B$51="","",Supuestos!$B$51)</f>
        <v>Originación voz off-net fijo local</v>
      </c>
      <c r="D196" s="78">
        <f>INDEX('Informacion del AEP'!$F$90:$AE$108,MATCH('Pagos Mayoristas'!$C196,'Informacion del AEP'!$C$90:$C$108,0),MATCH('Pagos Mayoristas'!C$192,'Informacion del AEP'!$F$89:$AE$89,0))*INDEX('Hoja Auxiliar'!$D$40:$D$58,MATCH('Pagos Mayoristas'!$C196,'Hoja Auxiliar'!$C$40:$C$58,0))</f>
        <v>3000000.06</v>
      </c>
      <c r="F196" s="238">
        <f>IF(C196="","",('Precio Mayorista'!$D$100*INDEX('Informacion del AEP'!$D$90:$AE$108,MATCH(C196,'Informacion del AEP'!$C$90:$C$108,0),MATCH($C$192,'Informacion del AEP'!$D$89:$AE$89,0))*INDEX('Informacion del AEP'!$F$169:$F$187,MATCH(C196,'Informacion del AEP'!$C$169:$C$187,0))))</f>
        <v>0</v>
      </c>
      <c r="N196" s="441">
        <f>INDEX('Precio Mayorista'!$D$76:$D$94,MATCH('Pagos Mayoristas'!C196,'Precio Mayorista'!$G$76:$G$94,0))*INDEX('Informacion del AEP'!$F$90:$AE$108,MATCH('Pagos Mayoristas'!C196,'Informacion del AEP'!$C$90:$C$108,0),MATCH('Pagos Mayoristas'!$C$192,'Informacion del AEP'!$F$89:$AE$89,0))</f>
        <v>334300.00668599998</v>
      </c>
    </row>
    <row r="197" spans="1:14" x14ac:dyDescent="0.25">
      <c r="C197" s="5" t="str">
        <f>IF(Supuestos!$B$52="","",Supuestos!$B$52)</f>
        <v>Originación voz on-net LDN</v>
      </c>
      <c r="D197" s="78">
        <f>INDEX('Informacion del AEP'!$F$90:$AE$108,MATCH('Pagos Mayoristas'!$C197,'Informacion del AEP'!$C$90:$C$108,0),MATCH('Pagos Mayoristas'!C$192,'Informacion del AEP'!$F$89:$AE$89,0))*INDEX('Hoja Auxiliar'!$D$40:$D$58,MATCH('Pagos Mayoristas'!$C197,'Hoja Auxiliar'!$C$40:$C$58,0))</f>
        <v>45000000.059999995</v>
      </c>
      <c r="F197" s="238">
        <f>IF(C197="","",('Precio Mayorista'!$D$100*INDEX('Informacion del AEP'!$D$90:$AE$108,MATCH(C197,'Informacion del AEP'!$C$90:$C$108,0),MATCH($C$192,'Informacion del AEP'!$D$89:$AE$89,0))*INDEX('Informacion del AEP'!$F$169:$F$187,MATCH(C197,'Informacion del AEP'!$C$169:$C$187,0))))</f>
        <v>0</v>
      </c>
      <c r="N197" s="441">
        <f>INDEX('Precio Mayorista'!$D$76:$D$94,MATCH('Pagos Mayoristas'!C197,'Precio Mayorista'!$G$76:$G$94,0))*INDEX('Informacion del AEP'!$F$90:$AE$108,MATCH('Pagos Mayoristas'!C197,'Informacion del AEP'!$C$90:$C$108,0),MATCH('Pagos Mayoristas'!$C$192,'Informacion del AEP'!$F$89:$AE$89,0))</f>
        <v>0</v>
      </c>
    </row>
    <row r="198" spans="1:14" x14ac:dyDescent="0.25">
      <c r="C198" s="5" t="str">
        <f>IF(Supuestos!$B$53="","",Supuestos!$B$53)</f>
        <v>Originación voz off-net móvil LDN</v>
      </c>
      <c r="D198" s="78">
        <f>INDEX('Informacion del AEP'!$F$90:$AE$108,MATCH('Pagos Mayoristas'!$C198,'Informacion del AEP'!$C$90:$C$108,0),MATCH('Pagos Mayoristas'!C$192,'Informacion del AEP'!$F$89:$AE$89,0))*INDEX('Hoja Auxiliar'!$D$40:$D$58,MATCH('Pagos Mayoristas'!$C198,'Hoja Auxiliar'!$C$40:$C$58,0))</f>
        <v>4500000.0599999996</v>
      </c>
      <c r="F198" s="238">
        <f>IF(C198="","",('Precio Mayorista'!$D$100*INDEX('Informacion del AEP'!$D$90:$AE$108,MATCH(C198,'Informacion del AEP'!$C$90:$C$108,0),MATCH($C$192,'Informacion del AEP'!$D$89:$AE$89,0))*INDEX('Informacion del AEP'!$F$169:$F$187,MATCH(C198,'Informacion del AEP'!$C$169:$C$187,0))))</f>
        <v>0</v>
      </c>
      <c r="N198" s="441">
        <f>INDEX('Precio Mayorista'!$D$76:$D$94,MATCH('Pagos Mayoristas'!C198,'Precio Mayorista'!$G$76:$G$94,0))*INDEX('Informacion del AEP'!$F$90:$AE$108,MATCH('Pagos Mayoristas'!C198,'Informacion del AEP'!$C$90:$C$108,0),MATCH('Pagos Mayoristas'!$C$192,'Informacion del AEP'!$F$89:$AE$89,0))</f>
        <v>6333150.0844419999</v>
      </c>
    </row>
    <row r="199" spans="1:14" x14ac:dyDescent="0.25">
      <c r="C199" s="5" t="str">
        <f>IF(Supuestos!$B$54="","",Supuestos!$B$54)</f>
        <v>Originación voz off-net fijo LDN</v>
      </c>
      <c r="D199" s="78">
        <f>INDEX('Informacion del AEP'!$F$90:$AE$108,MATCH('Pagos Mayoristas'!$C199,'Informacion del AEP'!$C$90:$C$108,0),MATCH('Pagos Mayoristas'!C$192,'Informacion del AEP'!$F$89:$AE$89,0))*INDEX('Hoja Auxiliar'!$D$40:$D$58,MATCH('Pagos Mayoristas'!$C199,'Hoja Auxiliar'!$C$40:$C$58,0))</f>
        <v>1500000.06</v>
      </c>
      <c r="F199" s="238">
        <f>IF(C199="","",('Precio Mayorista'!$D$100*INDEX('Informacion del AEP'!$D$90:$AE$108,MATCH(C199,'Informacion del AEP'!$C$90:$C$108,0),MATCH($C$192,'Informacion del AEP'!$D$89:$AE$89,0))*INDEX('Informacion del AEP'!$F$169:$F$187,MATCH(C199,'Informacion del AEP'!$C$169:$C$187,0))))</f>
        <v>0</v>
      </c>
      <c r="N199" s="441">
        <f>INDEX('Precio Mayorista'!$D$76:$D$94,MATCH('Pagos Mayoristas'!C199,'Precio Mayorista'!$G$76:$G$94,0))*INDEX('Informacion del AEP'!$F$90:$AE$108,MATCH('Pagos Mayoristas'!C199,'Informacion del AEP'!$C$90:$C$108,0),MATCH('Pagos Mayoristas'!$C$192,'Informacion del AEP'!$F$89:$AE$89,0))</f>
        <v>167150.00668600001</v>
      </c>
    </row>
    <row r="200" spans="1:14" x14ac:dyDescent="0.25">
      <c r="C200" s="5" t="str">
        <f>IF(Supuestos!$B$55="","",Supuestos!$B$55)</f>
        <v>Originación voz internacional USA-Canadá</v>
      </c>
      <c r="D200" s="78">
        <f>INDEX('Informacion del AEP'!$F$90:$AE$108,MATCH('Pagos Mayoristas'!$C200,'Informacion del AEP'!$C$90:$C$108,0),MATCH('Pagos Mayoristas'!C$192,'Informacion del AEP'!$F$89:$AE$89,0))*INDEX('Hoja Auxiliar'!$D$40:$D$58,MATCH('Pagos Mayoristas'!$C200,'Hoja Auxiliar'!$C$40:$C$58,0))</f>
        <v>3900000.06</v>
      </c>
      <c r="F200" s="238">
        <f>IF(C200="","",('Precio Mayorista'!$D$100*INDEX('Informacion del AEP'!$D$90:$AE$108,MATCH(C200,'Informacion del AEP'!$C$90:$C$108,0),MATCH($C$192,'Informacion del AEP'!$D$89:$AE$89,0))*INDEX('Informacion del AEP'!$F$169:$F$187,MATCH(C200,'Informacion del AEP'!$C$169:$C$187,0))))</f>
        <v>0</v>
      </c>
      <c r="N200" s="441">
        <f>INDEX('Precio Mayorista'!$D$76:$D$94,MATCH('Pagos Mayoristas'!C200,'Precio Mayorista'!$G$76:$G$94,0))*INDEX('Informacion del AEP'!$F$90:$AE$108,MATCH('Pagos Mayoristas'!C200,'Informacion del AEP'!$C$90:$C$108,0),MATCH('Pagos Mayoristas'!$C$192,'Informacion del AEP'!$F$89:$AE$89,0))</f>
        <v>6500000.1000000006</v>
      </c>
    </row>
    <row r="201" spans="1:14" x14ac:dyDescent="0.25">
      <c r="C201" s="5" t="str">
        <f>IF(Supuestos!$B$56="","",Supuestos!$B$56)</f>
        <v>Originación voz internacional Mundial Centroamérica</v>
      </c>
      <c r="D201" s="78">
        <f>INDEX('Informacion del AEP'!$F$90:$AE$108,MATCH('Pagos Mayoristas'!$C201,'Informacion del AEP'!$C$90:$C$108,0),MATCH('Pagos Mayoristas'!C$192,'Informacion del AEP'!$F$89:$AE$89,0))*INDEX('Hoja Auxiliar'!$D$40:$D$58,MATCH('Pagos Mayoristas'!$C201,'Hoja Auxiliar'!$C$40:$C$58,0))</f>
        <v>9000.06</v>
      </c>
      <c r="F201" s="238">
        <f>IF(C201="","",('Precio Mayorista'!$D$100*INDEX('Informacion del AEP'!$D$90:$AE$108,MATCH(C201,'Informacion del AEP'!$C$90:$C$108,0),MATCH($C$192,'Informacion del AEP'!$D$89:$AE$89,0))*INDEX('Informacion del AEP'!$F$169:$F$187,MATCH(C201,'Informacion del AEP'!$C$169:$C$187,0))))</f>
        <v>0</v>
      </c>
      <c r="N201" s="441">
        <f>INDEX('Precio Mayorista'!$D$76:$D$94,MATCH('Pagos Mayoristas'!C201,'Precio Mayorista'!$G$76:$G$94,0))*INDEX('Informacion del AEP'!$F$90:$AE$108,MATCH('Pagos Mayoristas'!C201,'Informacion del AEP'!$C$90:$C$108,0),MATCH('Pagos Mayoristas'!$C$192,'Informacion del AEP'!$F$89:$AE$89,0))</f>
        <v>750005</v>
      </c>
    </row>
    <row r="202" spans="1:14" x14ac:dyDescent="0.25">
      <c r="A202" s="5" t="s">
        <v>69</v>
      </c>
      <c r="C202" s="5" t="str">
        <f>IF(Supuestos!$B$57="","",Supuestos!$B$57)</f>
        <v>Originación voz internacional Mundial LATAM y Caribe</v>
      </c>
      <c r="D202" s="78">
        <f>INDEX('Informacion del AEP'!$F$90:$AE$108,MATCH('Pagos Mayoristas'!$C202,'Informacion del AEP'!$C$90:$C$108,0),MATCH('Pagos Mayoristas'!C$192,'Informacion del AEP'!$F$89:$AE$89,0))*INDEX('Hoja Auxiliar'!$D$40:$D$58,MATCH('Pagos Mayoristas'!$C202,'Hoja Auxiliar'!$C$40:$C$58,0))</f>
        <v>600.05999999999995</v>
      </c>
      <c r="F202" s="238">
        <f>IF(C202="","",('Precio Mayorista'!$D$100*INDEX('Informacion del AEP'!$D$90:$AE$108,MATCH(C202,'Informacion del AEP'!$C$90:$C$108,0),MATCH($C$192,'Informacion del AEP'!$D$89:$AE$89,0))*INDEX('Informacion del AEP'!$F$169:$F$187,MATCH(C202,'Informacion del AEP'!$C$169:$C$187,0))))</f>
        <v>0</v>
      </c>
      <c r="N202" s="441">
        <f>INDEX('Precio Mayorista'!$D$76:$D$94,MATCH('Pagos Mayoristas'!C202,'Precio Mayorista'!$G$76:$G$94,0))*INDEX('Informacion del AEP'!$F$90:$AE$108,MATCH('Pagos Mayoristas'!C202,'Informacion del AEP'!$C$90:$C$108,0),MATCH('Pagos Mayoristas'!$C$192,'Informacion del AEP'!$F$89:$AE$89,0))</f>
        <v>100010</v>
      </c>
    </row>
    <row r="203" spans="1:14" x14ac:dyDescent="0.25">
      <c r="C203" s="5" t="str">
        <f>IF(Supuestos!$B$58="","",Supuestos!$B$58)</f>
        <v>Originación voz internacional Europa</v>
      </c>
      <c r="D203" s="439">
        <f>INDEX('Informacion del AEP'!$F$90:$AE$108,MATCH('Pagos Mayoristas'!$C203,'Informacion del AEP'!$C$90:$C$108,0),MATCH('Pagos Mayoristas'!C$192,'Informacion del AEP'!$F$89:$AE$89,0))*INDEX('Hoja Auxiliar'!$D$40:$D$58,MATCH('Pagos Mayoristas'!$C203,'Hoja Auxiliar'!$C$40:$C$58,0))</f>
        <v>0.03</v>
      </c>
      <c r="F203" s="238">
        <f>IF(C203="","",('Precio Mayorista'!$D$100*INDEX('Informacion del AEP'!$D$90:$AE$108,MATCH(C203,'Informacion del AEP'!$C$90:$C$108,0),MATCH($C$192,'Informacion del AEP'!$D$89:$AE$89,0))*INDEX('Informacion del AEP'!$F$169:$F$187,MATCH(C203,'Informacion del AEP'!$C$169:$C$187,0))))</f>
        <v>0</v>
      </c>
      <c r="N203" s="441">
        <f>INDEX('Precio Mayorista'!$D$76:$D$94,MATCH('Pagos Mayoristas'!C203,'Precio Mayorista'!$G$76:$G$94,0))*INDEX('Informacion del AEP'!$F$90:$AE$108,MATCH('Pagos Mayoristas'!C203,'Informacion del AEP'!$C$90:$C$108,0),MATCH('Pagos Mayoristas'!$C$192,'Informacion del AEP'!$F$89:$AE$89,0))</f>
        <v>5</v>
      </c>
    </row>
    <row r="204" spans="1:14" x14ac:dyDescent="0.25">
      <c r="C204" s="5" t="str">
        <f>IF(Supuestos!$B$59="","",Supuestos!$B$59)</f>
        <v>Originación voz internacional Mundial Otros geográficos</v>
      </c>
      <c r="D204" s="78">
        <f>INDEX('Informacion del AEP'!$F$90:$AE$108,MATCH('Pagos Mayoristas'!$C204,'Informacion del AEP'!$C$90:$C$108,0),MATCH('Pagos Mayoristas'!C$192,'Informacion del AEP'!$F$89:$AE$89,0))*INDEX('Hoja Auxiliar'!$D$40:$D$58,MATCH('Pagos Mayoristas'!$C204,'Hoja Auxiliar'!$C$40:$C$58,0))</f>
        <v>30000.059999999998</v>
      </c>
      <c r="F204" s="238">
        <f>IF(C204="","",('Precio Mayorista'!$D$100*INDEX('Informacion del AEP'!$D$90:$AE$108,MATCH(C204,'Informacion del AEP'!$C$90:$C$108,0),MATCH($C$192,'Informacion del AEP'!$D$89:$AE$89,0))*INDEX('Informacion del AEP'!$F$169:$F$187,MATCH(C204,'Informacion del AEP'!$C$169:$C$187,0))))</f>
        <v>0</v>
      </c>
      <c r="N204" s="441">
        <f>INDEX('Precio Mayorista'!$D$76:$D$94,MATCH('Pagos Mayoristas'!C204,'Precio Mayorista'!$G$76:$G$94,0))*INDEX('Informacion del AEP'!$F$90:$AE$108,MATCH('Pagos Mayoristas'!C204,'Informacion del AEP'!$C$90:$C$108,0),MATCH('Pagos Mayoristas'!$C$192,'Informacion del AEP'!$F$89:$AE$89,0))</f>
        <v>5000010</v>
      </c>
    </row>
    <row r="205" spans="1:14" x14ac:dyDescent="0.25">
      <c r="C205" s="5" t="str">
        <f>IF(Supuestos!$B$60="","",Supuestos!$B$60)</f>
        <v>Originación voz internacional Cuba</v>
      </c>
      <c r="D205" s="78">
        <f>INDEX('Informacion del AEP'!$F$90:$AE$108,MATCH('Pagos Mayoristas'!$C205,'Informacion del AEP'!$C$90:$C$108,0),MATCH('Pagos Mayoristas'!C$192,'Informacion del AEP'!$F$89:$AE$89,0))*INDEX('Hoja Auxiliar'!$D$40:$D$58,MATCH('Pagos Mayoristas'!$C205,'Hoja Auxiliar'!$C$40:$C$58,0))</f>
        <v>1500.06</v>
      </c>
      <c r="F205" s="238">
        <f>IF(C205="","",('Precio Mayorista'!$D$100*INDEX('Informacion del AEP'!$D$90:$AE$108,MATCH(C205,'Informacion del AEP'!$C$90:$C$108,0),MATCH($C$192,'Informacion del AEP'!$D$89:$AE$89,0))*INDEX('Informacion del AEP'!$F$169:$F$187,MATCH(C205,'Informacion del AEP'!$C$169:$C$187,0))))</f>
        <v>0</v>
      </c>
      <c r="N205" s="441">
        <f>INDEX('Precio Mayorista'!$D$76:$D$94,MATCH('Pagos Mayoristas'!C205,'Precio Mayorista'!$G$76:$G$94,0))*INDEX('Informacion del AEP'!$F$90:$AE$108,MATCH('Pagos Mayoristas'!C205,'Informacion del AEP'!$C$90:$C$108,0),MATCH('Pagos Mayoristas'!$C$192,'Informacion del AEP'!$F$89:$AE$89,0))</f>
        <v>750030</v>
      </c>
    </row>
    <row r="206" spans="1:14" x14ac:dyDescent="0.25">
      <c r="C206" s="5" t="str">
        <f>IF(Supuestos!$B$61="","",Supuestos!$B$61)</f>
        <v>Originación voz Mundial destinos no geográficos</v>
      </c>
      <c r="D206" s="78">
        <f>INDEX('Informacion del AEP'!$F$90:$AE$108,MATCH('Pagos Mayoristas'!$C206,'Informacion del AEP'!$C$90:$C$108,0),MATCH('Pagos Mayoristas'!C$192,'Informacion del AEP'!$F$89:$AE$89,0))*INDEX('Hoja Auxiliar'!$D$40:$D$58,MATCH('Pagos Mayoristas'!$C206,'Hoja Auxiliar'!$C$40:$C$58,0))</f>
        <v>0.03</v>
      </c>
      <c r="F206" s="238">
        <f>IF(C206="","",('Precio Mayorista'!$D$100*INDEX('Informacion del AEP'!$D$90:$AE$108,MATCH(C206,'Informacion del AEP'!$C$90:$C$108,0),MATCH($C$192,'Informacion del AEP'!$D$89:$AE$89,0))*INDEX('Informacion del AEP'!$F$169:$F$187,MATCH(C206,'Informacion del AEP'!$C$169:$C$187,0))))</f>
        <v>0</v>
      </c>
      <c r="N206" s="441">
        <f>INDEX('Precio Mayorista'!$D$76:$D$94,MATCH('Pagos Mayoristas'!C206,'Precio Mayorista'!$G$76:$G$94,0))*INDEX('Informacion del AEP'!$F$90:$AE$108,MATCH('Pagos Mayoristas'!C206,'Informacion del AEP'!$C$90:$C$108,0),MATCH('Pagos Mayoristas'!$C$192,'Informacion del AEP'!$F$89:$AE$89,0))</f>
        <v>75</v>
      </c>
    </row>
    <row r="207" spans="1:14" x14ac:dyDescent="0.25">
      <c r="C207" s="5" t="str">
        <f>IF(Supuestos!$B$62="","",Supuestos!$B$62)</f>
        <v>Originación SMS on-net</v>
      </c>
      <c r="D207" s="78">
        <f>INDEX('Informacion del AEP'!$F$90:$AE$108,MATCH('Pagos Mayoristas'!$C207,'Informacion del AEP'!$C$90:$C$108,0),MATCH('Pagos Mayoristas'!C$192,'Informacion del AEP'!$F$89:$AE$89,0))*INDEX('Hoja Auxiliar'!$D$40:$D$58,MATCH('Pagos Mayoristas'!$C207,'Hoja Auxiliar'!$C$40:$C$58,0))</f>
        <v>3000000.03</v>
      </c>
      <c r="F207" s="238">
        <f>IF(C207="","",('Precio Mayorista'!$D$100*INDEX('Informacion del AEP'!$D$90:$AE$108,MATCH(C207,'Informacion del AEP'!$C$90:$C$108,0),MATCH($C$192,'Informacion del AEP'!$D$89:$AE$89,0))*INDEX('Informacion del AEP'!$F$169:$F$187,MATCH(C207,'Informacion del AEP'!$C$169:$C$187,0))))</f>
        <v>0</v>
      </c>
      <c r="N207" s="441">
        <f>INDEX('Precio Mayorista'!$D$76:$D$94,MATCH('Pagos Mayoristas'!C207,'Precio Mayorista'!$G$76:$G$94,0))*INDEX('Informacion del AEP'!$F$90:$AE$108,MATCH('Pagos Mayoristas'!C207,'Informacion del AEP'!$C$90:$C$108,0),MATCH('Pagos Mayoristas'!$C$192,'Informacion del AEP'!$F$89:$AE$89,0))</f>
        <v>0</v>
      </c>
    </row>
    <row r="208" spans="1:14" x14ac:dyDescent="0.25">
      <c r="C208" s="5" t="str">
        <f>IF(Supuestos!$B$63="","",Supuestos!$B$63)</f>
        <v>Originación SMS - off-net nacional</v>
      </c>
      <c r="D208" s="78">
        <f>INDEX('Informacion del AEP'!$F$90:$AE$108,MATCH('Pagos Mayoristas'!$C208,'Informacion del AEP'!$C$90:$C$108,0),MATCH('Pagos Mayoristas'!C$192,'Informacion del AEP'!$F$89:$AE$89,0))*INDEX('Hoja Auxiliar'!$D$40:$D$58,MATCH('Pagos Mayoristas'!$C208,'Hoja Auxiliar'!$C$40:$C$58,0))</f>
        <v>750000.03</v>
      </c>
      <c r="F208" s="238">
        <f>IF(C208="","",('Precio Mayorista'!$D$100*INDEX('Informacion del AEP'!$D$90:$AE$108,MATCH(C208,'Informacion del AEP'!$C$90:$C$108,0),MATCH($C$192,'Informacion del AEP'!$D$89:$AE$89,0))*INDEX('Informacion del AEP'!$F$169:$F$187,MATCH(C208,'Informacion del AEP'!$C$169:$C$187,0))))</f>
        <v>0</v>
      </c>
      <c r="N208" s="441">
        <f>INDEX('Precio Mayorista'!$D$76:$D$94,MATCH('Pagos Mayoristas'!C208,'Precio Mayorista'!$G$76:$G$94,0))*INDEX('Informacion del AEP'!$F$90:$AE$108,MATCH('Pagos Mayoristas'!C208,'Informacion del AEP'!$C$90:$C$108,0),MATCH('Pagos Mayoristas'!$C$192,'Informacion del AEP'!$F$89:$AE$89,0))</f>
        <v>463600.01854400005</v>
      </c>
    </row>
    <row r="209" spans="3:15" x14ac:dyDescent="0.25">
      <c r="C209" s="5" t="str">
        <f>IF(Supuestos!$B$64="","",Supuestos!$B$64)</f>
        <v>Originación SMS internacional (USA-Canadá)</v>
      </c>
      <c r="D209" s="78">
        <f>INDEX('Informacion del AEP'!$F$90:$AE$108,MATCH('Pagos Mayoristas'!$C209,'Informacion del AEP'!$C$90:$C$108,0),MATCH('Pagos Mayoristas'!C$192,'Informacion del AEP'!$F$89:$AE$89,0))*INDEX('Hoja Auxiliar'!$D$40:$D$58,MATCH('Pagos Mayoristas'!$C209,'Hoja Auxiliar'!$C$40:$C$58,0))</f>
        <v>150000.03</v>
      </c>
      <c r="F209" s="238">
        <f>IF(C209="","",('Precio Mayorista'!$D$100*INDEX('Informacion del AEP'!$D$90:$AE$108,MATCH(C209,'Informacion del AEP'!$C$90:$C$108,0),MATCH($C$192,'Informacion del AEP'!$D$89:$AE$89,0))*INDEX('Informacion del AEP'!$F$169:$F$187,MATCH(C209,'Informacion del AEP'!$C$169:$C$187,0))))</f>
        <v>0</v>
      </c>
      <c r="N209" s="209">
        <f>INDEX('Precio Mayorista'!$D$76:$D$94,MATCH('Pagos Mayoristas'!C209,'Precio Mayorista'!$G$76:$G$94,0))*INDEX('Informacion del AEP'!$F$90:$AE$108,MATCH('Pagos Mayoristas'!C209,'Informacion del AEP'!$C$90:$C$108,0),MATCH('Pagos Mayoristas'!$C$166,'Informacion del AEP'!$F$89:$AE$89,0))</f>
        <v>5000000.5</v>
      </c>
    </row>
    <row r="210" spans="3:15" x14ac:dyDescent="0.25">
      <c r="C210" s="5" t="str">
        <f>IF(Supuestos!$B$65="","",Supuestos!$B$65)</f>
        <v>Originación SMS internacional (Resto del Mundo)</v>
      </c>
      <c r="D210" s="78">
        <f>INDEX('Informacion del AEP'!$F$90:$AE$108,MATCH('Pagos Mayoristas'!$C210,'Informacion del AEP'!$C$90:$C$108,0),MATCH('Pagos Mayoristas'!C$192,'Informacion del AEP'!$F$89:$AE$89,0))*INDEX('Hoja Auxiliar'!$D$40:$D$58,MATCH('Pagos Mayoristas'!$C210,'Hoja Auxiliar'!$C$40:$C$58,0))</f>
        <v>15000.029999999999</v>
      </c>
      <c r="F210" s="238">
        <f>IF(C210="","",('Precio Mayorista'!$D$100*INDEX('Informacion del AEP'!$D$90:$AE$108,MATCH(C210,'Informacion del AEP'!$C$90:$C$108,0),MATCH($C$192,'Informacion del AEP'!$D$89:$AE$89,0))*INDEX('Informacion del AEP'!$F$169:$F$187,MATCH(C210,'Informacion del AEP'!$C$169:$C$187,0))))</f>
        <v>0</v>
      </c>
      <c r="N210" s="209">
        <f>INDEX('Precio Mayorista'!$D$76:$D$94,MATCH('Pagos Mayoristas'!C210,'Precio Mayorista'!$G$76:$G$94,0))*INDEX('Informacion del AEP'!$F$90:$AE$108,MATCH('Pagos Mayoristas'!C210,'Informacion del AEP'!$C$90:$C$108,0),MATCH('Pagos Mayoristas'!$C$166,'Informacion del AEP'!$F$89:$AE$89,0))</f>
        <v>750000.75</v>
      </c>
    </row>
    <row r="211" spans="3:15" x14ac:dyDescent="0.25">
      <c r="C211" s="5" t="str">
        <f>IF(Supuestos!$B$66="","",Supuestos!$B$66)</f>
        <v>Otros servicios (incluyendo marcaciones especiales)</v>
      </c>
      <c r="D211" s="78">
        <f>INDEX('Informacion del AEP'!$F$90:$AE$108,MATCH('Pagos Mayoristas'!$C211,'Informacion del AEP'!$C$90:$C$108,0),MATCH('Pagos Mayoristas'!C$192,'Informacion del AEP'!$F$89:$AE$89,0))*INDEX('Hoja Auxiliar'!$D$40:$D$58,MATCH('Pagos Mayoristas'!$C211,'Hoja Auxiliar'!$C$40:$C$58,0))</f>
        <v>15000000.059999999</v>
      </c>
      <c r="F211" s="238">
        <f>IF(C211="","",('Precio Mayorista'!$D$100*INDEX('Informacion del AEP'!$D$90:$AE$108,MATCH(C211,'Informacion del AEP'!$C$90:$C$108,0),MATCH($C$192,'Informacion del AEP'!$D$89:$AE$89,0))*INDEX('Informacion del AEP'!$F$169:$F$187,MATCH(C211,'Informacion del AEP'!$C$169:$C$187,0))))</f>
        <v>0</v>
      </c>
      <c r="N211" s="209">
        <f>INDEX('Precio Mayorista'!$D$76:$D$94,MATCH('Pagos Mayoristas'!C211,'Precio Mayorista'!$G$76:$G$94,0))*INDEX('Informacion del AEP'!$F$90:$AE$108,MATCH('Pagos Mayoristas'!C211,'Informacion del AEP'!$C$90:$C$108,0),MATCH('Pagos Mayoristas'!$C$166,'Informacion del AEP'!$F$89:$AE$89,0))</f>
        <v>0</v>
      </c>
    </row>
    <row r="212" spans="3:15" x14ac:dyDescent="0.25">
      <c r="D212" s="78"/>
      <c r="F212" s="78"/>
      <c r="N212" s="209"/>
    </row>
    <row r="213" spans="3:15" ht="13" x14ac:dyDescent="0.3">
      <c r="C213" s="64"/>
      <c r="D213" s="78"/>
      <c r="F213" s="78"/>
    </row>
    <row r="214" spans="3:15" x14ac:dyDescent="0.25">
      <c r="F214" s="78"/>
    </row>
    <row r="215" spans="3:15" x14ac:dyDescent="0.25">
      <c r="F215" s="78"/>
    </row>
    <row r="217" spans="3:15" ht="27.5" x14ac:dyDescent="0.25">
      <c r="D217" s="78"/>
      <c r="I217" s="440" t="s">
        <v>125</v>
      </c>
    </row>
    <row r="218" spans="3:15" ht="13" x14ac:dyDescent="0.3">
      <c r="C218" s="74" t="str">
        <f>Supuestos!$B$93</f>
        <v>Monto 3</v>
      </c>
      <c r="D218" s="77">
        <f>SUM(D219:D237)</f>
        <v>239856101.41809997</v>
      </c>
      <c r="E218" s="75"/>
      <c r="F218" s="77">
        <f>SUM(F219:F237)</f>
        <v>0</v>
      </c>
      <c r="G218" s="75"/>
      <c r="H218" s="77"/>
      <c r="I218" s="77">
        <f>INDEX('Administración usuario prepago'!$L$11:$L$19,MATCH('Pagos Mayoristas'!C218,'Administración usuario prepago'!$C$11:$C$19,0))</f>
        <v>1213235.294117647</v>
      </c>
      <c r="J218" s="4"/>
      <c r="K218" s="77"/>
      <c r="L218" s="204">
        <f>$L$10*(INDEX('Informacion del AEP'!$F$12:$AE$12,MATCH('Pagos Mayoristas'!C218,'Informacion del AEP'!$F$11:$AE$11,0))/INDEX('Informacion del AEP'!$F$12:$AE$12,MATCH('Pagos Mayoristas'!$C$10,'Informacion del AEP'!$F$11:$AE$11,0)))</f>
        <v>30120.481927710844</v>
      </c>
      <c r="M218" s="204"/>
      <c r="N218" s="77">
        <f>SUM(N219:N237)</f>
        <v>34592646.701199993</v>
      </c>
      <c r="O218" s="204">
        <f>SUM(D218:N218)</f>
        <v>275692103.89534533</v>
      </c>
    </row>
    <row r="219" spans="3:15" x14ac:dyDescent="0.25">
      <c r="C219" s="5" t="str">
        <f>IF(Supuestos!$B$48="","",Supuestos!$B$48)</f>
        <v>Datos</v>
      </c>
      <c r="D219" s="78">
        <f>INDEX('Informacion del AEP'!$F$90:$AE$108,MATCH('Pagos Mayoristas'!$C219,'Informacion del AEP'!$C$90:$C$108,0),MATCH('Pagos Mayoristas'!C$218,'Informacion del AEP'!$F$89:$AE$89,0))*INDEX('Hoja Auxiliar'!$D$40:$D$58,MATCH('Pagos Mayoristas'!$C219,'Hoja Auxiliar'!$C$40:$C$58,0))</f>
        <v>127000000.03809999</v>
      </c>
      <c r="F219" s="238">
        <f>IF(C219="","",('Precio Mayorista'!$D$100*INDEX('Informacion del AEP'!$D$90:$AE$108,MATCH(C219,'Informacion del AEP'!$C$90:$C$108,0),MATCH($C$218,'Informacion del AEP'!$D$89:$AE$89,0))*INDEX('Informacion del AEP'!$F$169:$F$187,MATCH(C219,'Informacion del AEP'!$C$169:$C$187,0))))</f>
        <v>0</v>
      </c>
      <c r="N219" s="441">
        <f>INDEX('Precio Mayorista'!$D$76:$D$94,MATCH('Pagos Mayoristas'!C219,'Precio Mayorista'!$G$76:$G$94,0))*INDEX('Informacion del AEP'!$F$90:$AE$108,MATCH('Pagos Mayoristas'!C219,'Informacion del AEP'!$C$90:$C$108,0),MATCH('Pagos Mayoristas'!$C$218,'Informacion del AEP'!$F$89:$AE$89,0))</f>
        <v>0</v>
      </c>
    </row>
    <row r="220" spans="3:15" x14ac:dyDescent="0.25">
      <c r="C220" s="5" t="str">
        <f>IF(Supuestos!$B$49="","",Supuestos!$B$49)</f>
        <v>Originación voz on-net local</v>
      </c>
      <c r="D220" s="78">
        <f>INDEX('Informacion del AEP'!$F$90:$AE$108,MATCH('Pagos Mayoristas'!$C220,'Informacion del AEP'!$C$90:$C$108,0),MATCH('Pagos Mayoristas'!C$218,'Informacion del AEP'!$F$89:$AE$89,0))*INDEX('Hoja Auxiliar'!$D$40:$D$58,MATCH('Pagos Mayoristas'!$C220,'Hoja Auxiliar'!$C$40:$C$58,0))</f>
        <v>30000000.09</v>
      </c>
      <c r="F220" s="238">
        <f>IF(C220="","",('Precio Mayorista'!$D$100*INDEX('Informacion del AEP'!$D$90:$AE$108,MATCH(C220,'Informacion del AEP'!$C$90:$C$108,0),MATCH($C$218,'Informacion del AEP'!$D$89:$AE$89,0))*INDEX('Informacion del AEP'!$F$169:$F$187,MATCH(C220,'Informacion del AEP'!$C$169:$C$187,0))))</f>
        <v>0</v>
      </c>
      <c r="N220" s="441">
        <f>INDEX('Precio Mayorista'!$D$76:$D$94,MATCH('Pagos Mayoristas'!C220,'Precio Mayorista'!$G$76:$G$94,0))*INDEX('Informacion del AEP'!$F$90:$AE$108,MATCH('Pagos Mayoristas'!C220,'Informacion del AEP'!$C$90:$C$108,0),MATCH('Pagos Mayoristas'!$C$218,'Informacion del AEP'!$F$89:$AE$89,0))</f>
        <v>0</v>
      </c>
    </row>
    <row r="221" spans="3:15" x14ac:dyDescent="0.25">
      <c r="C221" s="5" t="str">
        <f>IF(Supuestos!$B$50="","",Supuestos!$B$50)</f>
        <v>Originación voz off-net móvil local</v>
      </c>
      <c r="D221" s="78">
        <f>INDEX('Informacion del AEP'!$F$90:$AE$108,MATCH('Pagos Mayoristas'!$C221,'Informacion del AEP'!$C$90:$C$108,0),MATCH('Pagos Mayoristas'!C$218,'Informacion del AEP'!$F$89:$AE$89,0))*INDEX('Hoja Auxiliar'!$D$40:$D$58,MATCH('Pagos Mayoristas'!$C221,'Hoja Auxiliar'!$C$40:$C$58,0))</f>
        <v>6000000.0899999999</v>
      </c>
      <c r="F221" s="238">
        <f>IF(C221="","",('Precio Mayorista'!$D$100*INDEX('Informacion del AEP'!$D$90:$AE$108,MATCH(C221,'Informacion del AEP'!$C$90:$C$108,0),MATCH($C$218,'Informacion del AEP'!$D$89:$AE$89,0))*INDEX('Informacion del AEP'!$F$169:$F$187,MATCH(C221,'Informacion del AEP'!$C$169:$C$187,0))))</f>
        <v>0</v>
      </c>
      <c r="N221" s="441">
        <f>INDEX('Precio Mayorista'!$D$76:$D$94,MATCH('Pagos Mayoristas'!C221,'Precio Mayorista'!$G$76:$G$94,0))*INDEX('Informacion del AEP'!$F$90:$AE$108,MATCH('Pagos Mayoristas'!C221,'Informacion del AEP'!$C$90:$C$108,0),MATCH('Pagos Mayoristas'!$C$218,'Informacion del AEP'!$F$89:$AE$89,0))</f>
        <v>8444200.1266629994</v>
      </c>
    </row>
    <row r="222" spans="3:15" x14ac:dyDescent="0.25">
      <c r="C222" s="5" t="str">
        <f>IF(Supuestos!$B$51="","",Supuestos!$B$51)</f>
        <v>Originación voz off-net fijo local</v>
      </c>
      <c r="D222" s="78">
        <f>INDEX('Informacion del AEP'!$F$90:$AE$108,MATCH('Pagos Mayoristas'!$C222,'Informacion del AEP'!$C$90:$C$108,0),MATCH('Pagos Mayoristas'!C$218,'Informacion del AEP'!$F$89:$AE$89,0))*INDEX('Hoja Auxiliar'!$D$40:$D$58,MATCH('Pagos Mayoristas'!$C222,'Hoja Auxiliar'!$C$40:$C$58,0))</f>
        <v>3000000.09</v>
      </c>
      <c r="F222" s="238">
        <f>IF(C222="","",('Precio Mayorista'!$D$100*INDEX('Informacion del AEP'!$D$90:$AE$108,MATCH(C222,'Informacion del AEP'!$C$90:$C$108,0),MATCH($C$218,'Informacion del AEP'!$D$89:$AE$89,0))*INDEX('Informacion del AEP'!$F$169:$F$187,MATCH(C222,'Informacion del AEP'!$C$169:$C$187,0))))</f>
        <v>0</v>
      </c>
      <c r="N222" s="441">
        <f>INDEX('Precio Mayorista'!$D$76:$D$94,MATCH('Pagos Mayoristas'!C222,'Precio Mayorista'!$G$76:$G$94,0))*INDEX('Informacion del AEP'!$F$90:$AE$108,MATCH('Pagos Mayoristas'!C222,'Informacion del AEP'!$C$90:$C$108,0),MATCH('Pagos Mayoristas'!$C$218,'Informacion del AEP'!$F$89:$AE$89,0))</f>
        <v>334300.010029</v>
      </c>
    </row>
    <row r="223" spans="3:15" x14ac:dyDescent="0.25">
      <c r="C223" s="5" t="str">
        <f>IF(Supuestos!$B$52="","",Supuestos!$B$52)</f>
        <v>Originación voz on-net LDN</v>
      </c>
      <c r="D223" s="78">
        <f>INDEX('Informacion del AEP'!$F$90:$AE$108,MATCH('Pagos Mayoristas'!$C223,'Informacion del AEP'!$C$90:$C$108,0),MATCH('Pagos Mayoristas'!C$218,'Informacion del AEP'!$F$89:$AE$89,0))*INDEX('Hoja Auxiliar'!$D$40:$D$58,MATCH('Pagos Mayoristas'!$C223,'Hoja Auxiliar'!$C$40:$C$58,0))</f>
        <v>45000000.089999996</v>
      </c>
      <c r="F223" s="238">
        <f>IF(C223="","",('Precio Mayorista'!$D$100*INDEX('Informacion del AEP'!$D$90:$AE$108,MATCH(C223,'Informacion del AEP'!$C$90:$C$108,0),MATCH($C$218,'Informacion del AEP'!$D$89:$AE$89,0))*INDEX('Informacion del AEP'!$F$169:$F$187,MATCH(C223,'Informacion del AEP'!$C$169:$C$187,0))))</f>
        <v>0</v>
      </c>
      <c r="N223" s="441">
        <f>INDEX('Precio Mayorista'!$D$76:$D$94,MATCH('Pagos Mayoristas'!C223,'Precio Mayorista'!$G$76:$G$94,0))*INDEX('Informacion del AEP'!$F$90:$AE$108,MATCH('Pagos Mayoristas'!C223,'Informacion del AEP'!$C$90:$C$108,0),MATCH('Pagos Mayoristas'!$C$218,'Informacion del AEP'!$F$89:$AE$89,0))</f>
        <v>0</v>
      </c>
    </row>
    <row r="224" spans="3:15" x14ac:dyDescent="0.25">
      <c r="C224" s="5" t="str">
        <f>IF(Supuestos!$B$53="","",Supuestos!$B$53)</f>
        <v>Originación voz off-net móvil LDN</v>
      </c>
      <c r="D224" s="78">
        <f>INDEX('Informacion del AEP'!$F$90:$AE$108,MATCH('Pagos Mayoristas'!$C224,'Informacion del AEP'!$C$90:$C$108,0),MATCH('Pagos Mayoristas'!C$218,'Informacion del AEP'!$F$89:$AE$89,0))*INDEX('Hoja Auxiliar'!$D$40:$D$58,MATCH('Pagos Mayoristas'!$C224,'Hoja Auxiliar'!$C$40:$C$58,0))</f>
        <v>4500000.09</v>
      </c>
      <c r="F224" s="238">
        <f>IF(C224="","",('Precio Mayorista'!$D$100*INDEX('Informacion del AEP'!$D$90:$AE$108,MATCH(C224,'Informacion del AEP'!$C$90:$C$108,0),MATCH($C$218,'Informacion del AEP'!$D$89:$AE$89,0))*INDEX('Informacion del AEP'!$F$169:$F$187,MATCH(C224,'Informacion del AEP'!$C$169:$C$187,0))))</f>
        <v>0</v>
      </c>
      <c r="N224" s="441">
        <f>INDEX('Precio Mayorista'!$D$76:$D$94,MATCH('Pagos Mayoristas'!C224,'Precio Mayorista'!$G$76:$G$94,0))*INDEX('Informacion del AEP'!$F$90:$AE$108,MATCH('Pagos Mayoristas'!C224,'Informacion del AEP'!$C$90:$C$108,0),MATCH('Pagos Mayoristas'!$C$218,'Informacion del AEP'!$F$89:$AE$89,0))</f>
        <v>6333150.1266630003</v>
      </c>
    </row>
    <row r="225" spans="1:14" x14ac:dyDescent="0.25">
      <c r="C225" s="5" t="str">
        <f>IF(Supuestos!$B$54="","",Supuestos!$B$54)</f>
        <v>Originación voz off-net fijo LDN</v>
      </c>
      <c r="D225" s="78">
        <f>INDEX('Informacion del AEP'!$F$90:$AE$108,MATCH('Pagos Mayoristas'!$C225,'Informacion del AEP'!$C$90:$C$108,0),MATCH('Pagos Mayoristas'!C$218,'Informacion del AEP'!$F$89:$AE$89,0))*INDEX('Hoja Auxiliar'!$D$40:$D$58,MATCH('Pagos Mayoristas'!$C225,'Hoja Auxiliar'!$C$40:$C$58,0))</f>
        <v>1500000.0899999999</v>
      </c>
      <c r="F225" s="238">
        <f>IF(C225="","",('Precio Mayorista'!$D$100*INDEX('Informacion del AEP'!$D$90:$AE$108,MATCH(C225,'Informacion del AEP'!$C$90:$C$108,0),MATCH($C$218,'Informacion del AEP'!$D$89:$AE$89,0))*INDEX('Informacion del AEP'!$F$169:$F$187,MATCH(C225,'Informacion del AEP'!$C$169:$C$187,0))))</f>
        <v>0</v>
      </c>
      <c r="N225" s="441">
        <f>INDEX('Precio Mayorista'!$D$76:$D$94,MATCH('Pagos Mayoristas'!C225,'Precio Mayorista'!$G$76:$G$94,0))*INDEX('Informacion del AEP'!$F$90:$AE$108,MATCH('Pagos Mayoristas'!C225,'Informacion del AEP'!$C$90:$C$108,0),MATCH('Pagos Mayoristas'!$C$218,'Informacion del AEP'!$F$89:$AE$89,0))</f>
        <v>167150.010029</v>
      </c>
    </row>
    <row r="226" spans="1:14" x14ac:dyDescent="0.25">
      <c r="C226" s="5" t="str">
        <f>IF(Supuestos!$B$55="","",Supuestos!$B$55)</f>
        <v>Originación voz internacional USA-Canadá</v>
      </c>
      <c r="D226" s="78">
        <f>INDEX('Informacion del AEP'!$F$90:$AE$108,MATCH('Pagos Mayoristas'!$C226,'Informacion del AEP'!$C$90:$C$108,0),MATCH('Pagos Mayoristas'!C$218,'Informacion del AEP'!$F$89:$AE$89,0))*INDEX('Hoja Auxiliar'!$D$40:$D$58,MATCH('Pagos Mayoristas'!$C226,'Hoja Auxiliar'!$C$40:$C$58,0))</f>
        <v>3900000.09</v>
      </c>
      <c r="F226" s="238">
        <f>IF(C226="","",('Precio Mayorista'!$D$100*INDEX('Informacion del AEP'!$D$90:$AE$108,MATCH(C226,'Informacion del AEP'!$C$90:$C$108,0),MATCH($C$218,'Informacion del AEP'!$D$89:$AE$89,0))*INDEX('Informacion del AEP'!$F$169:$F$187,MATCH(C226,'Informacion del AEP'!$C$169:$C$187,0))))</f>
        <v>0</v>
      </c>
      <c r="N226" s="441">
        <f>INDEX('Precio Mayorista'!$D$76:$D$94,MATCH('Pagos Mayoristas'!C226,'Precio Mayorista'!$G$76:$G$94,0))*INDEX('Informacion del AEP'!$F$90:$AE$108,MATCH('Pagos Mayoristas'!C226,'Informacion del AEP'!$C$90:$C$108,0),MATCH('Pagos Mayoristas'!$C$218,'Informacion del AEP'!$F$89:$AE$89,0))</f>
        <v>6500000.1500000004</v>
      </c>
    </row>
    <row r="227" spans="1:14" x14ac:dyDescent="0.25">
      <c r="C227" s="5" t="str">
        <f>IF(Supuestos!$B$56="","",Supuestos!$B$56)</f>
        <v>Originación voz internacional Mundial Centroamérica</v>
      </c>
      <c r="D227" s="78">
        <f>INDEX('Informacion del AEP'!$F$90:$AE$108,MATCH('Pagos Mayoristas'!$C227,'Informacion del AEP'!$C$90:$C$108,0),MATCH('Pagos Mayoristas'!C$218,'Informacion del AEP'!$F$89:$AE$89,0))*INDEX('Hoja Auxiliar'!$D$40:$D$58,MATCH('Pagos Mayoristas'!$C227,'Hoja Auxiliar'!$C$40:$C$58,0))</f>
        <v>9000.09</v>
      </c>
      <c r="F227" s="238">
        <f>IF(C227="","",('Precio Mayorista'!$D$100*INDEX('Informacion del AEP'!$D$90:$AE$108,MATCH(C227,'Informacion del AEP'!$C$90:$C$108,0),MATCH($C$218,'Informacion del AEP'!$D$89:$AE$89,0))*INDEX('Informacion del AEP'!$F$169:$F$187,MATCH(C227,'Informacion del AEP'!$C$169:$C$187,0))))</f>
        <v>0</v>
      </c>
      <c r="N227" s="441">
        <f>INDEX('Precio Mayorista'!$D$76:$D$94,MATCH('Pagos Mayoristas'!C227,'Precio Mayorista'!$G$76:$G$94,0))*INDEX('Informacion del AEP'!$F$90:$AE$108,MATCH('Pagos Mayoristas'!C227,'Informacion del AEP'!$C$90:$C$108,0),MATCH('Pagos Mayoristas'!$C$218,'Informacion del AEP'!$F$89:$AE$89,0))</f>
        <v>750007.5</v>
      </c>
    </row>
    <row r="228" spans="1:14" x14ac:dyDescent="0.25">
      <c r="A228" s="5" t="s">
        <v>69</v>
      </c>
      <c r="C228" s="5" t="str">
        <f>IF(Supuestos!$B$57="","",Supuestos!$B$57)</f>
        <v>Originación voz internacional Mundial LATAM y Caribe</v>
      </c>
      <c r="D228" s="78">
        <f>INDEX('Informacion del AEP'!$F$90:$AE$108,MATCH('Pagos Mayoristas'!$C228,'Informacion del AEP'!$C$90:$C$108,0),MATCH('Pagos Mayoristas'!C$218,'Informacion del AEP'!$F$89:$AE$89,0))*INDEX('Hoja Auxiliar'!$D$40:$D$58,MATCH('Pagos Mayoristas'!$C228,'Hoja Auxiliar'!$C$40:$C$58,0))</f>
        <v>600.09</v>
      </c>
      <c r="F228" s="238">
        <f>IF(C228="","",('Precio Mayorista'!$D$100*INDEX('Informacion del AEP'!$D$90:$AE$108,MATCH(C228,'Informacion del AEP'!$C$90:$C$108,0),MATCH($C$218,'Informacion del AEP'!$D$89:$AE$89,0))*INDEX('Informacion del AEP'!$F$169:$F$187,MATCH(C228,'Informacion del AEP'!$C$169:$C$187,0))))</f>
        <v>0</v>
      </c>
      <c r="N228" s="441">
        <f>INDEX('Precio Mayorista'!$D$76:$D$94,MATCH('Pagos Mayoristas'!C228,'Precio Mayorista'!$G$76:$G$94,0))*INDEX('Informacion del AEP'!$F$90:$AE$108,MATCH('Pagos Mayoristas'!C228,'Informacion del AEP'!$C$90:$C$108,0),MATCH('Pagos Mayoristas'!$C$218,'Informacion del AEP'!$F$89:$AE$89,0))</f>
        <v>100015</v>
      </c>
    </row>
    <row r="229" spans="1:14" x14ac:dyDescent="0.25">
      <c r="C229" s="5" t="str">
        <f>IF(Supuestos!$B$58="","",Supuestos!$B$58)</f>
        <v>Originación voz internacional Europa</v>
      </c>
      <c r="D229" s="78">
        <f>INDEX('Informacion del AEP'!$F$90:$AE$108,MATCH('Pagos Mayoristas'!$C229,'Informacion del AEP'!$C$90:$C$108,0),MATCH('Pagos Mayoristas'!C$218,'Informacion del AEP'!$F$89:$AE$89,0))*INDEX('Hoja Auxiliar'!$D$40:$D$58,MATCH('Pagos Mayoristas'!$C229,'Hoja Auxiliar'!$C$40:$C$58,0))</f>
        <v>0.06</v>
      </c>
      <c r="F229" s="238">
        <f>IF(C229="","",('Precio Mayorista'!$D$100*INDEX('Informacion del AEP'!$D$90:$AE$108,MATCH(C229,'Informacion del AEP'!$C$90:$C$108,0),MATCH($C$218,'Informacion del AEP'!$D$89:$AE$89,0))*INDEX('Informacion del AEP'!$F$169:$F$187,MATCH(C229,'Informacion del AEP'!$C$169:$C$187,0))))</f>
        <v>0</v>
      </c>
      <c r="N229" s="441">
        <f>INDEX('Precio Mayorista'!$D$76:$D$94,MATCH('Pagos Mayoristas'!C229,'Precio Mayorista'!$G$76:$G$94,0))*INDEX('Informacion del AEP'!$F$90:$AE$108,MATCH('Pagos Mayoristas'!C229,'Informacion del AEP'!$C$90:$C$108,0),MATCH('Pagos Mayoristas'!$C$218,'Informacion del AEP'!$F$89:$AE$89,0))</f>
        <v>10</v>
      </c>
    </row>
    <row r="230" spans="1:14" x14ac:dyDescent="0.25">
      <c r="C230" s="5" t="str">
        <f>IF(Supuestos!$B$59="","",Supuestos!$B$59)</f>
        <v>Originación voz internacional Mundial Otros geográficos</v>
      </c>
      <c r="D230" s="78">
        <f>INDEX('Informacion del AEP'!$F$90:$AE$108,MATCH('Pagos Mayoristas'!$C230,'Informacion del AEP'!$C$90:$C$108,0),MATCH('Pagos Mayoristas'!C$218,'Informacion del AEP'!$F$89:$AE$89,0))*INDEX('Hoja Auxiliar'!$D$40:$D$58,MATCH('Pagos Mayoristas'!$C230,'Hoja Auxiliar'!$C$40:$C$58,0))</f>
        <v>30000.09</v>
      </c>
      <c r="F230" s="238">
        <f>IF(C230="","",('Precio Mayorista'!$D$100*INDEX('Informacion del AEP'!$D$90:$AE$108,MATCH(C230,'Informacion del AEP'!$C$90:$C$108,0),MATCH($C$218,'Informacion del AEP'!$D$89:$AE$89,0))*INDEX('Informacion del AEP'!$F$169:$F$187,MATCH(C230,'Informacion del AEP'!$C$169:$C$187,0))))</f>
        <v>0</v>
      </c>
      <c r="N230" s="441">
        <f>INDEX('Precio Mayorista'!$D$76:$D$94,MATCH('Pagos Mayoristas'!C230,'Precio Mayorista'!$G$76:$G$94,0))*INDEX('Informacion del AEP'!$F$90:$AE$108,MATCH('Pagos Mayoristas'!C230,'Informacion del AEP'!$C$90:$C$108,0),MATCH('Pagos Mayoristas'!$C$218,'Informacion del AEP'!$F$89:$AE$89,0))</f>
        <v>5000015</v>
      </c>
    </row>
    <row r="231" spans="1:14" x14ac:dyDescent="0.25">
      <c r="C231" s="5" t="str">
        <f>IF(Supuestos!$B$60="","",Supuestos!$B$60)</f>
        <v>Originación voz internacional Cuba</v>
      </c>
      <c r="D231" s="78">
        <f>INDEX('Informacion del AEP'!$F$90:$AE$108,MATCH('Pagos Mayoristas'!$C231,'Informacion del AEP'!$C$90:$C$108,0),MATCH('Pagos Mayoristas'!C$218,'Informacion del AEP'!$F$89:$AE$89,0))*INDEX('Hoja Auxiliar'!$D$40:$D$58,MATCH('Pagos Mayoristas'!$C231,'Hoja Auxiliar'!$C$40:$C$58,0))</f>
        <v>1500.09</v>
      </c>
      <c r="F231" s="238">
        <f>IF(C231="","",('Precio Mayorista'!$D$100*INDEX('Informacion del AEP'!$D$90:$AE$108,MATCH(C231,'Informacion del AEP'!$C$90:$C$108,0),MATCH($C$218,'Informacion del AEP'!$D$89:$AE$89,0))*INDEX('Informacion del AEP'!$F$169:$F$187,MATCH(C231,'Informacion del AEP'!$C$169:$C$187,0))))</f>
        <v>0</v>
      </c>
      <c r="N231" s="441">
        <f>INDEX('Precio Mayorista'!$D$76:$D$94,MATCH('Pagos Mayoristas'!C231,'Precio Mayorista'!$G$76:$G$94,0))*INDEX('Informacion del AEP'!$F$90:$AE$108,MATCH('Pagos Mayoristas'!C231,'Informacion del AEP'!$C$90:$C$108,0),MATCH('Pagos Mayoristas'!$C$218,'Informacion del AEP'!$F$89:$AE$89,0))</f>
        <v>750045</v>
      </c>
    </row>
    <row r="232" spans="1:14" x14ac:dyDescent="0.25">
      <c r="C232" s="5" t="str">
        <f>IF(Supuestos!$B$61="","",Supuestos!$B$61)</f>
        <v>Originación voz Mundial destinos no geográficos</v>
      </c>
      <c r="D232" s="78">
        <f>INDEX('Informacion del AEP'!$F$90:$AE$108,MATCH('Pagos Mayoristas'!$C232,'Informacion del AEP'!$C$90:$C$108,0),MATCH('Pagos Mayoristas'!C$218,'Informacion del AEP'!$F$89:$AE$89,0))*INDEX('Hoja Auxiliar'!$D$40:$D$58,MATCH('Pagos Mayoristas'!$C232,'Hoja Auxiliar'!$C$40:$C$58,0))</f>
        <v>0.06</v>
      </c>
      <c r="F232" s="238">
        <f>IF(C232="","",('Precio Mayorista'!$D$100*INDEX('Informacion del AEP'!$D$90:$AE$108,MATCH(C232,'Informacion del AEP'!$C$90:$C$108,0),MATCH($C$218,'Informacion del AEP'!$D$89:$AE$89,0))*INDEX('Informacion del AEP'!$F$169:$F$187,MATCH(C232,'Informacion del AEP'!$C$169:$C$187,0))))</f>
        <v>0</v>
      </c>
      <c r="N232" s="441">
        <f>INDEX('Precio Mayorista'!$D$76:$D$94,MATCH('Pagos Mayoristas'!C232,'Precio Mayorista'!$G$76:$G$94,0))*INDEX('Informacion del AEP'!$F$90:$AE$108,MATCH('Pagos Mayoristas'!C232,'Informacion del AEP'!$C$90:$C$108,0),MATCH('Pagos Mayoristas'!$C$218,'Informacion del AEP'!$F$89:$AE$89,0))</f>
        <v>150</v>
      </c>
    </row>
    <row r="233" spans="1:14" x14ac:dyDescent="0.25">
      <c r="C233" s="5" t="str">
        <f>IF(Supuestos!$B$62="","",Supuestos!$B$62)</f>
        <v>Originación SMS on-net</v>
      </c>
      <c r="D233" s="78">
        <f>INDEX('Informacion del AEP'!$F$90:$AE$108,MATCH('Pagos Mayoristas'!$C233,'Informacion del AEP'!$C$90:$C$108,0),MATCH('Pagos Mayoristas'!C$218,'Informacion del AEP'!$F$89:$AE$89,0))*INDEX('Hoja Auxiliar'!$D$40:$D$58,MATCH('Pagos Mayoristas'!$C233,'Hoja Auxiliar'!$C$40:$C$58,0))</f>
        <v>3000000.0449999999</v>
      </c>
      <c r="F233" s="238">
        <f>IF(C233="","",('Precio Mayorista'!$D$100*INDEX('Informacion del AEP'!$D$90:$AE$108,MATCH(C233,'Informacion del AEP'!$C$90:$C$108,0),MATCH($C$218,'Informacion del AEP'!$D$89:$AE$89,0))*INDEX('Informacion del AEP'!$F$169:$F$187,MATCH(C233,'Informacion del AEP'!$C$169:$C$187,0))))</f>
        <v>0</v>
      </c>
      <c r="N233" s="441">
        <f>INDEX('Precio Mayorista'!$D$76:$D$94,MATCH('Pagos Mayoristas'!C233,'Precio Mayorista'!$G$76:$G$94,0))*INDEX('Informacion del AEP'!$F$90:$AE$108,MATCH('Pagos Mayoristas'!C233,'Informacion del AEP'!$C$90:$C$108,0),MATCH('Pagos Mayoristas'!$C$218,'Informacion del AEP'!$F$89:$AE$89,0))</f>
        <v>0</v>
      </c>
    </row>
    <row r="234" spans="1:14" x14ac:dyDescent="0.25">
      <c r="C234" s="5" t="str">
        <f>IF(Supuestos!$B$63="","",Supuestos!$B$63)</f>
        <v>Originación SMS - off-net nacional</v>
      </c>
      <c r="D234" s="78">
        <f>INDEX('Informacion del AEP'!$F$90:$AE$108,MATCH('Pagos Mayoristas'!$C234,'Informacion del AEP'!$C$90:$C$108,0),MATCH('Pagos Mayoristas'!C$218,'Informacion del AEP'!$F$89:$AE$89,0))*INDEX('Hoja Auxiliar'!$D$40:$D$58,MATCH('Pagos Mayoristas'!$C234,'Hoja Auxiliar'!$C$40:$C$58,0))</f>
        <v>750000.04499999993</v>
      </c>
      <c r="F234" s="238">
        <f>IF(C234="","",('Precio Mayorista'!$D$100*INDEX('Informacion del AEP'!$D$90:$AE$108,MATCH(C234,'Informacion del AEP'!$C$90:$C$108,0),MATCH($C$218,'Informacion del AEP'!$D$89:$AE$89,0))*INDEX('Informacion del AEP'!$F$169:$F$187,MATCH(C234,'Informacion del AEP'!$C$169:$C$187,0))))</f>
        <v>0</v>
      </c>
      <c r="N234" s="441">
        <f>INDEX('Precio Mayorista'!$D$76:$D$94,MATCH('Pagos Mayoristas'!C234,'Precio Mayorista'!$G$76:$G$94,0))*INDEX('Informacion del AEP'!$F$90:$AE$108,MATCH('Pagos Mayoristas'!C234,'Informacion del AEP'!$C$90:$C$108,0),MATCH('Pagos Mayoristas'!$C$218,'Informacion del AEP'!$F$89:$AE$89,0))</f>
        <v>463600.02781600005</v>
      </c>
    </row>
    <row r="235" spans="1:14" x14ac:dyDescent="0.25">
      <c r="C235" s="5" t="str">
        <f>IF(Supuestos!$B$64="","",Supuestos!$B$64)</f>
        <v>Originación SMS internacional (USA-Canadá)</v>
      </c>
      <c r="D235" s="78">
        <f>INDEX('Informacion del AEP'!$F$90:$AE$108,MATCH('Pagos Mayoristas'!$C235,'Informacion del AEP'!$C$90:$C$108,0),MATCH('Pagos Mayoristas'!C$218,'Informacion del AEP'!$F$89:$AE$89,0))*INDEX('Hoja Auxiliar'!$D$40:$D$58,MATCH('Pagos Mayoristas'!$C235,'Hoja Auxiliar'!$C$40:$C$58,0))</f>
        <v>150000.04499999998</v>
      </c>
      <c r="F235" s="238">
        <f>IF(C235="","",('Precio Mayorista'!$D$100*INDEX('Informacion del AEP'!$D$90:$AE$108,MATCH(C235,'Informacion del AEP'!$C$90:$C$108,0),MATCH($C$218,'Informacion del AEP'!$D$89:$AE$89,0))*INDEX('Informacion del AEP'!$F$169:$F$187,MATCH(C235,'Informacion del AEP'!$C$169:$C$187,0))))</f>
        <v>0</v>
      </c>
      <c r="N235" s="441">
        <f>INDEX('Precio Mayorista'!$D$76:$D$94,MATCH('Pagos Mayoristas'!C235,'Precio Mayorista'!$G$76:$G$94,0))*INDEX('Informacion del AEP'!$F$90:$AE$108,MATCH('Pagos Mayoristas'!C235,'Informacion del AEP'!$C$90:$C$108,0),MATCH('Pagos Mayoristas'!$C$218,'Informacion del AEP'!$F$89:$AE$89,0))</f>
        <v>5000001.5</v>
      </c>
    </row>
    <row r="236" spans="1:14" x14ac:dyDescent="0.25">
      <c r="C236" s="5" t="str">
        <f>IF(Supuestos!$B$65="","",Supuestos!$B$65)</f>
        <v>Originación SMS internacional (Resto del Mundo)</v>
      </c>
      <c r="D236" s="78">
        <f>INDEX('Informacion del AEP'!$F$90:$AE$108,MATCH('Pagos Mayoristas'!$C236,'Informacion del AEP'!$C$90:$C$108,0),MATCH('Pagos Mayoristas'!C$218,'Informacion del AEP'!$F$89:$AE$89,0))*INDEX('Hoja Auxiliar'!$D$40:$D$58,MATCH('Pagos Mayoristas'!$C236,'Hoja Auxiliar'!$C$40:$C$58,0))</f>
        <v>15000.045</v>
      </c>
      <c r="F236" s="238">
        <f>IF(C236="","",('Precio Mayorista'!$D$100*INDEX('Informacion del AEP'!$D$90:$AE$108,MATCH(C236,'Informacion del AEP'!$C$90:$C$108,0),MATCH($C$218,'Informacion del AEP'!$D$89:$AE$89,0))*INDEX('Informacion del AEP'!$F$169:$F$187,MATCH(C236,'Informacion del AEP'!$C$169:$C$187,0))))</f>
        <v>0</v>
      </c>
      <c r="N236" s="441">
        <f>INDEX('Precio Mayorista'!$D$76:$D$94,MATCH('Pagos Mayoristas'!C236,'Precio Mayorista'!$G$76:$G$94,0))*INDEX('Informacion del AEP'!$F$90:$AE$108,MATCH('Pagos Mayoristas'!C236,'Informacion del AEP'!$C$90:$C$108,0),MATCH('Pagos Mayoristas'!$C$218,'Informacion del AEP'!$F$89:$AE$89,0))</f>
        <v>750002.25</v>
      </c>
    </row>
    <row r="237" spans="1:14" x14ac:dyDescent="0.25">
      <c r="C237" s="5" t="str">
        <f>IF(Supuestos!$B$66="","",Supuestos!$B$66)</f>
        <v>Otros servicios (incluyendo marcaciones especiales)</v>
      </c>
      <c r="D237" s="78">
        <f>INDEX('Informacion del AEP'!$F$90:$AE$108,MATCH('Pagos Mayoristas'!$C237,'Informacion del AEP'!$C$90:$C$108,0),MATCH('Pagos Mayoristas'!C$218,'Informacion del AEP'!$F$89:$AE$89,0))*INDEX('Hoja Auxiliar'!$D$40:$D$58,MATCH('Pagos Mayoristas'!$C237,'Hoja Auxiliar'!$C$40:$C$58,0))</f>
        <v>15000000.09</v>
      </c>
      <c r="F237" s="238">
        <f>IF(C237="","",('Precio Mayorista'!$D$100*INDEX('Informacion del AEP'!$D$90:$AE$108,MATCH(C237,'Informacion del AEP'!$C$90:$C$108,0),MATCH($C$218,'Informacion del AEP'!$D$89:$AE$89,0))*INDEX('Informacion del AEP'!$F$169:$F$187,MATCH(C237,'Informacion del AEP'!$C$169:$C$187,0))))</f>
        <v>0</v>
      </c>
      <c r="N237" s="441">
        <f>INDEX('Precio Mayorista'!$D$76:$D$94,MATCH('Pagos Mayoristas'!C237,'Precio Mayorista'!$G$76:$G$94,0))*INDEX('Informacion del AEP'!$F$90:$AE$108,MATCH('Pagos Mayoristas'!C237,'Informacion del AEP'!$C$90:$C$108,0),MATCH('Pagos Mayoristas'!$C$218,'Informacion del AEP'!$F$89:$AE$89,0))</f>
        <v>0</v>
      </c>
    </row>
    <row r="238" spans="1:14" x14ac:dyDescent="0.25">
      <c r="D238" s="78"/>
      <c r="F238" s="78"/>
      <c r="N238" s="209"/>
    </row>
    <row r="239" spans="1:14" ht="13" x14ac:dyDescent="0.3">
      <c r="C239" s="64"/>
      <c r="D239" s="78"/>
      <c r="F239" s="78"/>
    </row>
    <row r="240" spans="1:14" x14ac:dyDescent="0.25">
      <c r="F240" s="78"/>
    </row>
    <row r="241" spans="1:15" x14ac:dyDescent="0.25">
      <c r="F241" s="78"/>
    </row>
    <row r="243" spans="1:15" ht="27.5" x14ac:dyDescent="0.25">
      <c r="D243" s="78"/>
      <c r="I243" s="440" t="s">
        <v>125</v>
      </c>
    </row>
    <row r="244" spans="1:15" ht="13" x14ac:dyDescent="0.3">
      <c r="C244" s="74" t="str">
        <f>Supuestos!$B$94</f>
        <v>Portabilidad 1</v>
      </c>
      <c r="D244" s="77">
        <f>SUM(D245:D263)</f>
        <v>239856101.91080007</v>
      </c>
      <c r="E244" s="75"/>
      <c r="F244" s="77">
        <f>SUM(F245:F263)</f>
        <v>0</v>
      </c>
      <c r="G244" s="75"/>
      <c r="H244" s="77"/>
      <c r="I244" s="77">
        <f>INDEX('Administración usuario prepago'!$L$11:$L$19,MATCH('Pagos Mayoristas'!C244,'Administración usuario prepago'!$C$11:$C$19,0))</f>
        <v>87352.941176470587</v>
      </c>
      <c r="J244" s="4"/>
      <c r="K244" s="77"/>
      <c r="L244" s="204">
        <f>$L$10*(INDEX('Informacion del AEP'!$F$12:$AE$12,MATCH('Pagos Mayoristas'!C244,'Informacion del AEP'!$F$11:$AE$11,0))/INDEX('Informacion del AEP'!$F$12:$AE$12,MATCH('Pagos Mayoristas'!$C$10,'Informacion del AEP'!$F$11:$AE$11,0)))</f>
        <v>7530.1204819277109</v>
      </c>
      <c r="M244" s="204"/>
      <c r="N244" s="77">
        <f>SUM(N245:N263)</f>
        <v>34592755.601599999</v>
      </c>
      <c r="O244" s="204">
        <f>SUM(D244:N244)</f>
        <v>274543740.57405847</v>
      </c>
    </row>
    <row r="245" spans="1:15" x14ac:dyDescent="0.25">
      <c r="C245" s="5" t="str">
        <f>IF(Supuestos!$B$48="","",Supuestos!$B$48)</f>
        <v>Datos</v>
      </c>
      <c r="D245" s="78">
        <f>INDEX('Informacion del AEP'!$F$90:$AE$108,MATCH('Pagos Mayoristas'!$C245,'Informacion del AEP'!$C$90:$C$108,0),MATCH('Pagos Mayoristas'!C$244,'Informacion del AEP'!$F$89:$AE$89,0))*INDEX('Hoja Auxiliar'!$D$40:$D$58,MATCH('Pagos Mayoristas'!$C245,'Hoja Auxiliar'!$C$40:$C$58,0))</f>
        <v>127000000.0508</v>
      </c>
      <c r="F245" s="238">
        <f>IF(C245="","",('Precio Mayorista'!$D$100*INDEX('Informacion del AEP'!$D$90:$AE$108,MATCH(C245,'Informacion del AEP'!$C$90:$C$108,0),MATCH($C$244,'Informacion del AEP'!$D$89:$AE$89,0))*INDEX('Informacion del AEP'!$F$169:$F$187,MATCH(C245,'Informacion del AEP'!$C$169:$C$187,0))))</f>
        <v>0</v>
      </c>
      <c r="N245" s="441">
        <f>INDEX('Precio Mayorista'!$D$76:$D$94,MATCH('Pagos Mayoristas'!C245,'Precio Mayorista'!$G$76:$G$94,0))*INDEX('Informacion del AEP'!$F$90:$AE$108,MATCH('Pagos Mayoristas'!C245,'Informacion del AEP'!$C$90:$C$108,0),MATCH('Pagos Mayoristas'!$C$244,'Informacion del AEP'!$F$89:$AE$89,0))</f>
        <v>0</v>
      </c>
    </row>
    <row r="246" spans="1:15" x14ac:dyDescent="0.25">
      <c r="C246" s="5" t="str">
        <f>IF(Supuestos!$B$49="","",Supuestos!$B$49)</f>
        <v>Originación voz on-net local</v>
      </c>
      <c r="D246" s="78">
        <f>INDEX('Informacion del AEP'!$F$90:$AE$108,MATCH('Pagos Mayoristas'!$C246,'Informacion del AEP'!$C$90:$C$108,0),MATCH('Pagos Mayoristas'!C$244,'Informacion del AEP'!$F$89:$AE$89,0))*INDEX('Hoja Auxiliar'!$D$40:$D$58,MATCH('Pagos Mayoristas'!$C246,'Hoja Auxiliar'!$C$40:$C$58,0))</f>
        <v>30000000.119999997</v>
      </c>
      <c r="F246" s="238">
        <f>IF(C246="","",('Precio Mayorista'!$D$100*INDEX('Informacion del AEP'!$D$90:$AE$108,MATCH(C246,'Informacion del AEP'!$C$90:$C$108,0),MATCH($C$244,'Informacion del AEP'!$D$89:$AE$89,0))*INDEX('Informacion del AEP'!$F$169:$F$187,MATCH(C246,'Informacion del AEP'!$C$169:$C$187,0))))</f>
        <v>0</v>
      </c>
      <c r="N246" s="441">
        <f>INDEX('Precio Mayorista'!$D$76:$D$94,MATCH('Pagos Mayoristas'!C246,'Precio Mayorista'!$G$76:$G$94,0))*INDEX('Informacion del AEP'!$F$90:$AE$108,MATCH('Pagos Mayoristas'!C246,'Informacion del AEP'!$C$90:$C$108,0),MATCH('Pagos Mayoristas'!$C$244,'Informacion del AEP'!$F$89:$AE$89,0))</f>
        <v>0</v>
      </c>
    </row>
    <row r="247" spans="1:15" x14ac:dyDescent="0.25">
      <c r="C247" s="5" t="str">
        <f>IF(Supuestos!$B$50="","",Supuestos!$B$50)</f>
        <v>Originación voz off-net móvil local</v>
      </c>
      <c r="D247" s="78">
        <f>INDEX('Informacion del AEP'!$F$90:$AE$108,MATCH('Pagos Mayoristas'!$C247,'Informacion del AEP'!$C$90:$C$108,0),MATCH('Pagos Mayoristas'!C$244,'Informacion del AEP'!$F$89:$AE$89,0))*INDEX('Hoja Auxiliar'!$D$40:$D$58,MATCH('Pagos Mayoristas'!$C247,'Hoja Auxiliar'!$C$40:$C$58,0))</f>
        <v>6000000.1200000001</v>
      </c>
      <c r="F247" s="238">
        <f>IF(C247="","",('Precio Mayorista'!$D$100*INDEX('Informacion del AEP'!$D$90:$AE$108,MATCH(C247,'Informacion del AEP'!$C$90:$C$108,0),MATCH($C$244,'Informacion del AEP'!$D$89:$AE$89,0))*INDEX('Informacion del AEP'!$F$169:$F$187,MATCH(C247,'Informacion del AEP'!$C$169:$C$187,0))))</f>
        <v>0</v>
      </c>
      <c r="N247" s="441">
        <f>INDEX('Precio Mayorista'!$D$76:$D$94,MATCH('Pagos Mayoristas'!C247,'Precio Mayorista'!$G$76:$G$94,0))*INDEX('Informacion del AEP'!$F$90:$AE$108,MATCH('Pagos Mayoristas'!C247,'Informacion del AEP'!$C$90:$C$108,0),MATCH('Pagos Mayoristas'!$C$244,'Informacion del AEP'!$F$89:$AE$89,0))</f>
        <v>8444200.1688839998</v>
      </c>
    </row>
    <row r="248" spans="1:15" x14ac:dyDescent="0.25">
      <c r="C248" s="5" t="str">
        <f>IF(Supuestos!$B$51="","",Supuestos!$B$51)</f>
        <v>Originación voz off-net fijo local</v>
      </c>
      <c r="D248" s="78">
        <f>INDEX('Informacion del AEP'!$F$90:$AE$108,MATCH('Pagos Mayoristas'!$C248,'Informacion del AEP'!$C$90:$C$108,0),MATCH('Pagos Mayoristas'!C$244,'Informacion del AEP'!$F$89:$AE$89,0))*INDEX('Hoja Auxiliar'!$D$40:$D$58,MATCH('Pagos Mayoristas'!$C248,'Hoja Auxiliar'!$C$40:$C$58,0))</f>
        <v>3000000.12</v>
      </c>
      <c r="F248" s="238">
        <f>IF(C248="","",('Precio Mayorista'!$D$100*INDEX('Informacion del AEP'!$D$90:$AE$108,MATCH(C248,'Informacion del AEP'!$C$90:$C$108,0),MATCH($C$244,'Informacion del AEP'!$D$89:$AE$89,0))*INDEX('Informacion del AEP'!$F$169:$F$187,MATCH(C248,'Informacion del AEP'!$C$169:$C$187,0))))</f>
        <v>0</v>
      </c>
      <c r="N248" s="441">
        <f>INDEX('Precio Mayorista'!$D$76:$D$94,MATCH('Pagos Mayoristas'!C248,'Precio Mayorista'!$G$76:$G$94,0))*INDEX('Informacion del AEP'!$F$90:$AE$108,MATCH('Pagos Mayoristas'!C248,'Informacion del AEP'!$C$90:$C$108,0),MATCH('Pagos Mayoristas'!$C$244,'Informacion del AEP'!$F$89:$AE$89,0))</f>
        <v>334300.01337200002</v>
      </c>
    </row>
    <row r="249" spans="1:15" x14ac:dyDescent="0.25">
      <c r="C249" s="5" t="str">
        <f>IF(Supuestos!$B$52="","",Supuestos!$B$52)</f>
        <v>Originación voz on-net LDN</v>
      </c>
      <c r="D249" s="78">
        <f>INDEX('Informacion del AEP'!$F$90:$AE$108,MATCH('Pagos Mayoristas'!$C249,'Informacion del AEP'!$C$90:$C$108,0),MATCH('Pagos Mayoristas'!C$244,'Informacion del AEP'!$F$89:$AE$89,0))*INDEX('Hoja Auxiliar'!$D$40:$D$58,MATCH('Pagos Mayoristas'!$C249,'Hoja Auxiliar'!$C$40:$C$58,0))</f>
        <v>45000000.119999997</v>
      </c>
      <c r="F249" s="238">
        <f>IF(C249="","",('Precio Mayorista'!$D$100*INDEX('Informacion del AEP'!$D$90:$AE$108,MATCH(C249,'Informacion del AEP'!$C$90:$C$108,0),MATCH($C$244,'Informacion del AEP'!$D$89:$AE$89,0))*INDEX('Informacion del AEP'!$F$169:$F$187,MATCH(C249,'Informacion del AEP'!$C$169:$C$187,0))))</f>
        <v>0</v>
      </c>
      <c r="N249" s="441">
        <f>INDEX('Precio Mayorista'!$D$76:$D$94,MATCH('Pagos Mayoristas'!C249,'Precio Mayorista'!$G$76:$G$94,0))*INDEX('Informacion del AEP'!$F$90:$AE$108,MATCH('Pagos Mayoristas'!C249,'Informacion del AEP'!$C$90:$C$108,0),MATCH('Pagos Mayoristas'!$C$244,'Informacion del AEP'!$F$89:$AE$89,0))</f>
        <v>0</v>
      </c>
    </row>
    <row r="250" spans="1:15" x14ac:dyDescent="0.25">
      <c r="C250" s="5" t="str">
        <f>IF(Supuestos!$B$53="","",Supuestos!$B$53)</f>
        <v>Originación voz off-net móvil LDN</v>
      </c>
      <c r="D250" s="78">
        <f>INDEX('Informacion del AEP'!$F$90:$AE$108,MATCH('Pagos Mayoristas'!$C250,'Informacion del AEP'!$C$90:$C$108,0),MATCH('Pagos Mayoristas'!C$244,'Informacion del AEP'!$F$89:$AE$89,0))*INDEX('Hoja Auxiliar'!$D$40:$D$58,MATCH('Pagos Mayoristas'!$C250,'Hoja Auxiliar'!$C$40:$C$58,0))</f>
        <v>4500000.12</v>
      </c>
      <c r="F250" s="238">
        <f>IF(C250="","",('Precio Mayorista'!$D$100*INDEX('Informacion del AEP'!$D$90:$AE$108,MATCH(C250,'Informacion del AEP'!$C$90:$C$108,0),MATCH($C$244,'Informacion del AEP'!$D$89:$AE$89,0))*INDEX('Informacion del AEP'!$F$169:$F$187,MATCH(C250,'Informacion del AEP'!$C$169:$C$187,0))))</f>
        <v>0</v>
      </c>
      <c r="N250" s="441">
        <f>INDEX('Precio Mayorista'!$D$76:$D$94,MATCH('Pagos Mayoristas'!C250,'Precio Mayorista'!$G$76:$G$94,0))*INDEX('Informacion del AEP'!$F$90:$AE$108,MATCH('Pagos Mayoristas'!C250,'Informacion del AEP'!$C$90:$C$108,0),MATCH('Pagos Mayoristas'!$C$244,'Informacion del AEP'!$F$89:$AE$89,0))</f>
        <v>6333150.1688839998</v>
      </c>
    </row>
    <row r="251" spans="1:15" x14ac:dyDescent="0.25">
      <c r="C251" s="5" t="str">
        <f>IF(Supuestos!$B$54="","",Supuestos!$B$54)</f>
        <v>Originación voz off-net fijo LDN</v>
      </c>
      <c r="D251" s="78">
        <f>INDEX('Informacion del AEP'!$F$90:$AE$108,MATCH('Pagos Mayoristas'!$C251,'Informacion del AEP'!$C$90:$C$108,0),MATCH('Pagos Mayoristas'!C$244,'Informacion del AEP'!$F$89:$AE$89,0))*INDEX('Hoja Auxiliar'!$D$40:$D$58,MATCH('Pagos Mayoristas'!$C251,'Hoja Auxiliar'!$C$40:$C$58,0))</f>
        <v>1500000.1199999999</v>
      </c>
      <c r="F251" s="238">
        <f>IF(C251="","",('Precio Mayorista'!$D$100*INDEX('Informacion del AEP'!$D$90:$AE$108,MATCH(C251,'Informacion del AEP'!$C$90:$C$108,0),MATCH($C$244,'Informacion del AEP'!$D$89:$AE$89,0))*INDEX('Informacion del AEP'!$F$169:$F$187,MATCH(C251,'Informacion del AEP'!$C$169:$C$187,0))))</f>
        <v>0</v>
      </c>
      <c r="N251" s="441">
        <f>INDEX('Precio Mayorista'!$D$76:$D$94,MATCH('Pagos Mayoristas'!C251,'Precio Mayorista'!$G$76:$G$94,0))*INDEX('Informacion del AEP'!$F$90:$AE$108,MATCH('Pagos Mayoristas'!C251,'Informacion del AEP'!$C$90:$C$108,0),MATCH('Pagos Mayoristas'!$C$244,'Informacion del AEP'!$F$89:$AE$89,0))</f>
        <v>167150.01337200002</v>
      </c>
    </row>
    <row r="252" spans="1:15" x14ac:dyDescent="0.25">
      <c r="C252" s="5" t="str">
        <f>IF(Supuestos!$B$55="","",Supuestos!$B$55)</f>
        <v>Originación voz internacional USA-Canadá</v>
      </c>
      <c r="D252" s="78">
        <f>INDEX('Informacion del AEP'!$F$90:$AE$108,MATCH('Pagos Mayoristas'!$C252,'Informacion del AEP'!$C$90:$C$108,0),MATCH('Pagos Mayoristas'!C$244,'Informacion del AEP'!$F$89:$AE$89,0))*INDEX('Hoja Auxiliar'!$D$40:$D$58,MATCH('Pagos Mayoristas'!$C252,'Hoja Auxiliar'!$C$40:$C$58,0))</f>
        <v>3900000.1199999996</v>
      </c>
      <c r="F252" s="238">
        <f>IF(C252="","",('Precio Mayorista'!$D$100*INDEX('Informacion del AEP'!$D$90:$AE$108,MATCH(C252,'Informacion del AEP'!$C$90:$C$108,0),MATCH($C$244,'Informacion del AEP'!$D$89:$AE$89,0))*INDEX('Informacion del AEP'!$F$169:$F$187,MATCH(C252,'Informacion del AEP'!$C$169:$C$187,0))))</f>
        <v>0</v>
      </c>
      <c r="N252" s="441">
        <f>INDEX('Precio Mayorista'!$D$76:$D$94,MATCH('Pagos Mayoristas'!C252,'Precio Mayorista'!$G$76:$G$94,0))*INDEX('Informacion del AEP'!$F$90:$AE$108,MATCH('Pagos Mayoristas'!C252,'Informacion del AEP'!$C$90:$C$108,0),MATCH('Pagos Mayoristas'!$C$244,'Informacion del AEP'!$F$89:$AE$89,0))</f>
        <v>6500000.2000000002</v>
      </c>
    </row>
    <row r="253" spans="1:15" x14ac:dyDescent="0.25">
      <c r="C253" s="5" t="str">
        <f>IF(Supuestos!$B$56="","",Supuestos!$B$56)</f>
        <v>Originación voz internacional Mundial Centroamérica</v>
      </c>
      <c r="D253" s="78">
        <f>INDEX('Informacion del AEP'!$F$90:$AE$108,MATCH('Pagos Mayoristas'!$C253,'Informacion del AEP'!$C$90:$C$108,0),MATCH('Pagos Mayoristas'!C$244,'Informacion del AEP'!$F$89:$AE$89,0))*INDEX('Hoja Auxiliar'!$D$40:$D$58,MATCH('Pagos Mayoristas'!$C253,'Hoja Auxiliar'!$C$40:$C$58,0))</f>
        <v>9000.119999999999</v>
      </c>
      <c r="F253" s="238">
        <f>IF(C253="","",('Precio Mayorista'!$D$100*INDEX('Informacion del AEP'!$D$90:$AE$108,MATCH(C253,'Informacion del AEP'!$C$90:$C$108,0),MATCH($C$244,'Informacion del AEP'!$D$89:$AE$89,0))*INDEX('Informacion del AEP'!$F$169:$F$187,MATCH(C253,'Informacion del AEP'!$C$169:$C$187,0))))</f>
        <v>0</v>
      </c>
      <c r="N253" s="441">
        <f>INDEX('Precio Mayorista'!$D$76:$D$94,MATCH('Pagos Mayoristas'!C253,'Precio Mayorista'!$G$76:$G$94,0))*INDEX('Informacion del AEP'!$F$90:$AE$108,MATCH('Pagos Mayoristas'!C253,'Informacion del AEP'!$C$90:$C$108,0),MATCH('Pagos Mayoristas'!$C$244,'Informacion del AEP'!$F$89:$AE$89,0))</f>
        <v>750010</v>
      </c>
    </row>
    <row r="254" spans="1:15" x14ac:dyDescent="0.25">
      <c r="A254" s="5" t="s">
        <v>69</v>
      </c>
      <c r="C254" s="5" t="str">
        <f>IF(Supuestos!$B$57="","",Supuestos!$B$57)</f>
        <v>Originación voz internacional Mundial LATAM y Caribe</v>
      </c>
      <c r="D254" s="78">
        <f>INDEX('Informacion del AEP'!$F$90:$AE$108,MATCH('Pagos Mayoristas'!$C254,'Informacion del AEP'!$C$90:$C$108,0),MATCH('Pagos Mayoristas'!C$244,'Informacion del AEP'!$F$89:$AE$89,0))*INDEX('Hoja Auxiliar'!$D$40:$D$58,MATCH('Pagos Mayoristas'!$C254,'Hoja Auxiliar'!$C$40:$C$58,0))</f>
        <v>600.12</v>
      </c>
      <c r="F254" s="238">
        <f>IF(C254="","",('Precio Mayorista'!$D$100*INDEX('Informacion del AEP'!$D$90:$AE$108,MATCH(C254,'Informacion del AEP'!$C$90:$C$108,0),MATCH($C$244,'Informacion del AEP'!$D$89:$AE$89,0))*INDEX('Informacion del AEP'!$F$169:$F$187,MATCH(C254,'Informacion del AEP'!$C$169:$C$187,0))))</f>
        <v>0</v>
      </c>
      <c r="N254" s="441">
        <f>INDEX('Precio Mayorista'!$D$76:$D$94,MATCH('Pagos Mayoristas'!C254,'Precio Mayorista'!$G$76:$G$94,0))*INDEX('Informacion del AEP'!$F$90:$AE$108,MATCH('Pagos Mayoristas'!C254,'Informacion del AEP'!$C$90:$C$108,0),MATCH('Pagos Mayoristas'!$C$244,'Informacion del AEP'!$F$89:$AE$89,0))</f>
        <v>100020</v>
      </c>
    </row>
    <row r="255" spans="1:15" x14ac:dyDescent="0.25">
      <c r="C255" s="5" t="str">
        <f>IF(Supuestos!$B$58="","",Supuestos!$B$58)</f>
        <v>Originación voz internacional Europa</v>
      </c>
      <c r="D255" s="78">
        <f>INDEX('Informacion del AEP'!$F$90:$AE$108,MATCH('Pagos Mayoristas'!$C255,'Informacion del AEP'!$C$90:$C$108,0),MATCH('Pagos Mayoristas'!C$244,'Informacion del AEP'!$F$89:$AE$89,0))*INDEX('Hoja Auxiliar'!$D$40:$D$58,MATCH('Pagos Mayoristas'!$C255,'Hoja Auxiliar'!$C$40:$C$58,0))</f>
        <v>0.09</v>
      </c>
      <c r="F255" s="238">
        <f>IF(C255="","",('Precio Mayorista'!$D$100*INDEX('Informacion del AEP'!$D$90:$AE$108,MATCH(C255,'Informacion del AEP'!$C$90:$C$108,0),MATCH($C$244,'Informacion del AEP'!$D$89:$AE$89,0))*INDEX('Informacion del AEP'!$F$169:$F$187,MATCH(C255,'Informacion del AEP'!$C$169:$C$187,0))))</f>
        <v>0</v>
      </c>
      <c r="N255" s="441">
        <f>INDEX('Precio Mayorista'!$D$76:$D$94,MATCH('Pagos Mayoristas'!C255,'Precio Mayorista'!$G$76:$G$94,0))*INDEX('Informacion del AEP'!$F$90:$AE$108,MATCH('Pagos Mayoristas'!C255,'Informacion del AEP'!$C$90:$C$108,0),MATCH('Pagos Mayoristas'!$C$244,'Informacion del AEP'!$F$89:$AE$89,0))</f>
        <v>15</v>
      </c>
    </row>
    <row r="256" spans="1:15" x14ac:dyDescent="0.25">
      <c r="C256" s="5" t="str">
        <f>IF(Supuestos!$B$59="","",Supuestos!$B$59)</f>
        <v>Originación voz internacional Mundial Otros geográficos</v>
      </c>
      <c r="D256" s="78">
        <f>INDEX('Informacion del AEP'!$F$90:$AE$108,MATCH('Pagos Mayoristas'!$C256,'Informacion del AEP'!$C$90:$C$108,0),MATCH('Pagos Mayoristas'!C$244,'Informacion del AEP'!$F$89:$AE$89,0))*INDEX('Hoja Auxiliar'!$D$40:$D$58,MATCH('Pagos Mayoristas'!$C256,'Hoja Auxiliar'!$C$40:$C$58,0))</f>
        <v>30000.12</v>
      </c>
      <c r="F256" s="238">
        <f>IF(C256="","",('Precio Mayorista'!$D$100*INDEX('Informacion del AEP'!$D$90:$AE$108,MATCH(C256,'Informacion del AEP'!$C$90:$C$108,0),MATCH($C$244,'Informacion del AEP'!$D$89:$AE$89,0))*INDEX('Informacion del AEP'!$F$169:$F$187,MATCH(C256,'Informacion del AEP'!$C$169:$C$187,0))))</f>
        <v>0</v>
      </c>
      <c r="N256" s="441">
        <f>INDEX('Precio Mayorista'!$D$76:$D$94,MATCH('Pagos Mayoristas'!C256,'Precio Mayorista'!$G$76:$G$94,0))*INDEX('Informacion del AEP'!$F$90:$AE$108,MATCH('Pagos Mayoristas'!C256,'Informacion del AEP'!$C$90:$C$108,0),MATCH('Pagos Mayoristas'!$C$244,'Informacion del AEP'!$F$89:$AE$89,0))</f>
        <v>5000020</v>
      </c>
    </row>
    <row r="257" spans="3:15" x14ac:dyDescent="0.25">
      <c r="C257" s="5" t="str">
        <f>IF(Supuestos!$B$60="","",Supuestos!$B$60)</f>
        <v>Originación voz internacional Cuba</v>
      </c>
      <c r="D257" s="78">
        <f>INDEX('Informacion del AEP'!$F$90:$AE$108,MATCH('Pagos Mayoristas'!$C257,'Informacion del AEP'!$C$90:$C$108,0),MATCH('Pagos Mayoristas'!C$244,'Informacion del AEP'!$F$89:$AE$89,0))*INDEX('Hoja Auxiliar'!$D$40:$D$58,MATCH('Pagos Mayoristas'!$C257,'Hoja Auxiliar'!$C$40:$C$58,0))</f>
        <v>1500.12</v>
      </c>
      <c r="F257" s="238">
        <f>IF(C257="","",('Precio Mayorista'!$D$100*INDEX('Informacion del AEP'!$D$90:$AE$108,MATCH(C257,'Informacion del AEP'!$C$90:$C$108,0),MATCH($C$244,'Informacion del AEP'!$D$89:$AE$89,0))*INDEX('Informacion del AEP'!$F$169:$F$187,MATCH(C257,'Informacion del AEP'!$C$169:$C$187,0))))</f>
        <v>0</v>
      </c>
      <c r="N257" s="441">
        <f>INDEX('Precio Mayorista'!$D$76:$D$94,MATCH('Pagos Mayoristas'!C257,'Precio Mayorista'!$G$76:$G$94,0))*INDEX('Informacion del AEP'!$F$90:$AE$108,MATCH('Pagos Mayoristas'!C257,'Informacion del AEP'!$C$90:$C$108,0),MATCH('Pagos Mayoristas'!$C$244,'Informacion del AEP'!$F$89:$AE$89,0))</f>
        <v>750060</v>
      </c>
    </row>
    <row r="258" spans="3:15" x14ac:dyDescent="0.25">
      <c r="C258" s="5" t="str">
        <f>IF(Supuestos!$B$61="","",Supuestos!$B$61)</f>
        <v>Originación voz Mundial destinos no geográficos</v>
      </c>
      <c r="D258" s="78">
        <f>INDEX('Informacion del AEP'!$F$90:$AE$108,MATCH('Pagos Mayoristas'!$C258,'Informacion del AEP'!$C$90:$C$108,0),MATCH('Pagos Mayoristas'!C$244,'Informacion del AEP'!$F$89:$AE$89,0))*INDEX('Hoja Auxiliar'!$D$40:$D$58,MATCH('Pagos Mayoristas'!$C258,'Hoja Auxiliar'!$C$40:$C$58,0))</f>
        <v>0.09</v>
      </c>
      <c r="F258" s="238">
        <f>IF(C258="","",('Precio Mayorista'!$D$100*INDEX('Informacion del AEP'!$D$90:$AE$108,MATCH(C258,'Informacion del AEP'!$C$90:$C$108,0),MATCH($C$244,'Informacion del AEP'!$D$89:$AE$89,0))*INDEX('Informacion del AEP'!$F$169:$F$187,MATCH(C258,'Informacion del AEP'!$C$169:$C$187,0))))</f>
        <v>0</v>
      </c>
      <c r="N258" s="441">
        <f>INDEX('Precio Mayorista'!$D$76:$D$94,MATCH('Pagos Mayoristas'!C258,'Precio Mayorista'!$G$76:$G$94,0))*INDEX('Informacion del AEP'!$F$90:$AE$108,MATCH('Pagos Mayoristas'!C258,'Informacion del AEP'!$C$90:$C$108,0),MATCH('Pagos Mayoristas'!$C$244,'Informacion del AEP'!$F$89:$AE$89,0))</f>
        <v>225</v>
      </c>
    </row>
    <row r="259" spans="3:15" x14ac:dyDescent="0.25">
      <c r="C259" s="5" t="str">
        <f>IF(Supuestos!$B$62="","",Supuestos!$B$62)</f>
        <v>Originación SMS on-net</v>
      </c>
      <c r="D259" s="78">
        <f>INDEX('Informacion del AEP'!$F$90:$AE$108,MATCH('Pagos Mayoristas'!$C259,'Informacion del AEP'!$C$90:$C$108,0),MATCH('Pagos Mayoristas'!C$244,'Informacion del AEP'!$F$89:$AE$89,0))*INDEX('Hoja Auxiliar'!$D$40:$D$58,MATCH('Pagos Mayoristas'!$C259,'Hoja Auxiliar'!$C$40:$C$58,0))</f>
        <v>3000000.06</v>
      </c>
      <c r="F259" s="238">
        <f>IF(C259="","",('Precio Mayorista'!$D$100*INDEX('Informacion del AEP'!$D$90:$AE$108,MATCH(C259,'Informacion del AEP'!$C$90:$C$108,0),MATCH($C$244,'Informacion del AEP'!$D$89:$AE$89,0))*INDEX('Informacion del AEP'!$F$169:$F$187,MATCH(C259,'Informacion del AEP'!$C$169:$C$187,0))))</f>
        <v>0</v>
      </c>
      <c r="N259" s="441">
        <f>INDEX('Precio Mayorista'!$D$76:$D$94,MATCH('Pagos Mayoristas'!C259,'Precio Mayorista'!$G$76:$G$94,0))*INDEX('Informacion del AEP'!$F$90:$AE$108,MATCH('Pagos Mayoristas'!C259,'Informacion del AEP'!$C$90:$C$108,0),MATCH('Pagos Mayoristas'!$C$244,'Informacion del AEP'!$F$89:$AE$89,0))</f>
        <v>0</v>
      </c>
    </row>
    <row r="260" spans="3:15" x14ac:dyDescent="0.25">
      <c r="C260" s="5" t="str">
        <f>IF(Supuestos!$B$63="","",Supuestos!$B$63)</f>
        <v>Originación SMS - off-net nacional</v>
      </c>
      <c r="D260" s="78">
        <f>INDEX('Informacion del AEP'!$F$90:$AE$108,MATCH('Pagos Mayoristas'!$C260,'Informacion del AEP'!$C$90:$C$108,0),MATCH('Pagos Mayoristas'!C$244,'Informacion del AEP'!$F$89:$AE$89,0))*INDEX('Hoja Auxiliar'!$D$40:$D$58,MATCH('Pagos Mayoristas'!$C260,'Hoja Auxiliar'!$C$40:$C$58,0))</f>
        <v>750000.05999999994</v>
      </c>
      <c r="F260" s="238">
        <f>IF(C260="","",('Precio Mayorista'!$D$100*INDEX('Informacion del AEP'!$D$90:$AE$108,MATCH(C260,'Informacion del AEP'!$C$90:$C$108,0),MATCH($C$244,'Informacion del AEP'!$D$89:$AE$89,0))*INDEX('Informacion del AEP'!$F$169:$F$187,MATCH(C260,'Informacion del AEP'!$C$169:$C$187,0))))</f>
        <v>0</v>
      </c>
      <c r="N260" s="441">
        <f>INDEX('Precio Mayorista'!$D$76:$D$94,MATCH('Pagos Mayoristas'!C260,'Precio Mayorista'!$G$76:$G$94,0))*INDEX('Informacion del AEP'!$F$90:$AE$108,MATCH('Pagos Mayoristas'!C260,'Informacion del AEP'!$C$90:$C$108,0),MATCH('Pagos Mayoristas'!$C$244,'Informacion del AEP'!$F$89:$AE$89,0))</f>
        <v>463600.03708800004</v>
      </c>
    </row>
    <row r="261" spans="3:15" x14ac:dyDescent="0.25">
      <c r="C261" s="5" t="str">
        <f>IF(Supuestos!$B$64="","",Supuestos!$B$64)</f>
        <v>Originación SMS internacional (USA-Canadá)</v>
      </c>
      <c r="D261" s="78">
        <f>INDEX('Informacion del AEP'!$F$90:$AE$108,MATCH('Pagos Mayoristas'!$C261,'Informacion del AEP'!$C$90:$C$108,0),MATCH('Pagos Mayoristas'!C$244,'Informacion del AEP'!$F$89:$AE$89,0))*INDEX('Hoja Auxiliar'!$D$40:$D$58,MATCH('Pagos Mayoristas'!$C261,'Hoja Auxiliar'!$C$40:$C$58,0))</f>
        <v>150000.06</v>
      </c>
      <c r="F261" s="238">
        <f>IF(C261="","",('Precio Mayorista'!$D$100*INDEX('Informacion del AEP'!$D$90:$AE$108,MATCH(C261,'Informacion del AEP'!$C$90:$C$108,0),MATCH($C$244,'Informacion del AEP'!$D$89:$AE$89,0))*INDEX('Informacion del AEP'!$F$169:$F$187,MATCH(C261,'Informacion del AEP'!$C$169:$C$187,0))))</f>
        <v>0</v>
      </c>
      <c r="N261" s="441">
        <f>INDEX('Precio Mayorista'!$D$76:$D$94,MATCH('Pagos Mayoristas'!C261,'Precio Mayorista'!$G$76:$G$94,0))*INDEX('Informacion del AEP'!$F$90:$AE$108,MATCH('Pagos Mayoristas'!C261,'Informacion del AEP'!$C$90:$C$108,0),MATCH('Pagos Mayoristas'!$C$244,'Informacion del AEP'!$F$89:$AE$89,0))</f>
        <v>5000002</v>
      </c>
    </row>
    <row r="262" spans="3:15" x14ac:dyDescent="0.25">
      <c r="C262" s="5" t="str">
        <f>IF(Supuestos!$B$65="","",Supuestos!$B$65)</f>
        <v>Originación SMS internacional (Resto del Mundo)</v>
      </c>
      <c r="D262" s="78">
        <f>INDEX('Informacion del AEP'!$F$90:$AE$108,MATCH('Pagos Mayoristas'!$C262,'Informacion del AEP'!$C$90:$C$108,0),MATCH('Pagos Mayoristas'!C$244,'Informacion del AEP'!$F$89:$AE$89,0))*INDEX('Hoja Auxiliar'!$D$40:$D$58,MATCH('Pagos Mayoristas'!$C262,'Hoja Auxiliar'!$C$40:$C$58,0))</f>
        <v>15000.06</v>
      </c>
      <c r="F262" s="238">
        <f>IF(C262="","",('Precio Mayorista'!$D$100*INDEX('Informacion del AEP'!$D$90:$AE$108,MATCH(C262,'Informacion del AEP'!$C$90:$C$108,0),MATCH($C$244,'Informacion del AEP'!$D$89:$AE$89,0))*INDEX('Informacion del AEP'!$F$169:$F$187,MATCH(C262,'Informacion del AEP'!$C$169:$C$187,0))))</f>
        <v>0</v>
      </c>
      <c r="N262" s="441">
        <f>INDEX('Precio Mayorista'!$D$76:$D$94,MATCH('Pagos Mayoristas'!C262,'Precio Mayorista'!$G$76:$G$94,0))*INDEX('Informacion del AEP'!$F$90:$AE$108,MATCH('Pagos Mayoristas'!C262,'Informacion del AEP'!$C$90:$C$108,0),MATCH('Pagos Mayoristas'!$C$244,'Informacion del AEP'!$F$89:$AE$89,0))</f>
        <v>750003</v>
      </c>
    </row>
    <row r="263" spans="3:15" x14ac:dyDescent="0.25">
      <c r="C263" s="5" t="str">
        <f>IF(Supuestos!$B$66="","",Supuestos!$B$66)</f>
        <v>Otros servicios (incluyendo marcaciones especiales)</v>
      </c>
      <c r="D263" s="78">
        <f>INDEX('Informacion del AEP'!$F$90:$AE$108,MATCH('Pagos Mayoristas'!$C263,'Informacion del AEP'!$C$90:$C$108,0),MATCH('Pagos Mayoristas'!C$244,'Informacion del AEP'!$F$89:$AE$89,0))*INDEX('Hoja Auxiliar'!$D$40:$D$58,MATCH('Pagos Mayoristas'!$C263,'Hoja Auxiliar'!$C$40:$C$58,0))</f>
        <v>15000000.119999999</v>
      </c>
      <c r="F263" s="238">
        <f>IF(C263="","",('Precio Mayorista'!$D$100*INDEX('Informacion del AEP'!$D$90:$AE$108,MATCH(C263,'Informacion del AEP'!$C$90:$C$108,0),MATCH($C$244,'Informacion del AEP'!$D$89:$AE$89,0))*INDEX('Informacion del AEP'!$F$169:$F$187,MATCH(C263,'Informacion del AEP'!$C$169:$C$187,0))))</f>
        <v>0</v>
      </c>
      <c r="N263" s="441">
        <f>INDEX('Precio Mayorista'!$D$76:$D$94,MATCH('Pagos Mayoristas'!C263,'Precio Mayorista'!$G$76:$G$94,0))*INDEX('Informacion del AEP'!$F$90:$AE$108,MATCH('Pagos Mayoristas'!C263,'Informacion del AEP'!$C$90:$C$108,0),MATCH('Pagos Mayoristas'!$C$244,'Informacion del AEP'!$F$89:$AE$89,0))</f>
        <v>0</v>
      </c>
    </row>
    <row r="264" spans="3:15" x14ac:dyDescent="0.25">
      <c r="D264" s="78"/>
      <c r="F264" s="78"/>
      <c r="N264" s="209"/>
    </row>
    <row r="265" spans="3:15" ht="13" x14ac:dyDescent="0.3">
      <c r="C265" s="64"/>
      <c r="D265" s="78"/>
      <c r="F265" s="78"/>
    </row>
    <row r="266" spans="3:15" x14ac:dyDescent="0.25">
      <c r="F266" s="78"/>
    </row>
    <row r="267" spans="3:15" x14ac:dyDescent="0.25">
      <c r="F267" s="78"/>
    </row>
    <row r="269" spans="3:15" x14ac:dyDescent="0.25">
      <c r="D269" s="78"/>
    </row>
    <row r="270" spans="3:15" ht="13" x14ac:dyDescent="0.3">
      <c r="C270" s="74" t="str">
        <f>Supuestos!$B$95</f>
        <v>Portabilidad 2</v>
      </c>
      <c r="D270" s="77">
        <f>SUM(D271:D289)</f>
        <v>239856102.40350002</v>
      </c>
      <c r="E270" s="75"/>
      <c r="F270" s="77">
        <f>SUM(F271:F289)</f>
        <v>0</v>
      </c>
      <c r="G270" s="75"/>
      <c r="H270" s="77"/>
      <c r="I270" s="77">
        <f>INDEX('Administración usuario prepago'!$L$11:$L$19,MATCH('Pagos Mayoristas'!C270,'Administración usuario prepago'!$C$11:$C$19,0))</f>
        <v>29117.647058823528</v>
      </c>
      <c r="J270" s="4"/>
      <c r="K270" s="77"/>
      <c r="L270" s="204">
        <f>$L$10*(INDEX('Informacion del AEP'!$F$12:$AE$12,MATCH('Pagos Mayoristas'!C270,'Informacion del AEP'!$F$11:$AE$11,0))/INDEX('Informacion del AEP'!$F$12:$AE$12,MATCH('Pagos Mayoristas'!$C$10,'Informacion del AEP'!$F$11:$AE$11,0)))</f>
        <v>6024.0963855421696</v>
      </c>
      <c r="M270" s="204"/>
      <c r="N270" s="77">
        <f>SUM(N271:N289)</f>
        <v>34592864.502000004</v>
      </c>
      <c r="O270" s="204">
        <f>SUM(D270:N270)</f>
        <v>274484108.64894438</v>
      </c>
    </row>
    <row r="271" spans="3:15" x14ac:dyDescent="0.25">
      <c r="C271" s="5" t="str">
        <f>IF(Supuestos!$B$48="","",Supuestos!$B$48)</f>
        <v>Datos</v>
      </c>
      <c r="D271" s="78">
        <f>INDEX('Informacion del AEP'!$F$90:$AE$108,MATCH('Pagos Mayoristas'!$C271,'Informacion del AEP'!$C$90:$C$108,0),MATCH('Pagos Mayoristas'!C$270,'Informacion del AEP'!$F$89:$AE$89,0))*INDEX('Hoja Auxiliar'!$D$40:$D$58,MATCH('Pagos Mayoristas'!$C271,'Hoja Auxiliar'!$C$40:$C$58,0))</f>
        <v>127000000.0635</v>
      </c>
      <c r="F271" s="238">
        <f>IF(C271="","",('Precio Mayorista'!$D$100*INDEX('Informacion del AEP'!$D$90:$AE$108,MATCH(C271,'Informacion del AEP'!$C$90:$C$108,0),MATCH($C$270,'Informacion del AEP'!$D$89:$AE$89,0))*INDEX('Informacion del AEP'!$F$169:$F$187,MATCH(C271,'Informacion del AEP'!$C$169:$C$187,0))))</f>
        <v>0</v>
      </c>
      <c r="N271" s="441">
        <f>INDEX('Precio Mayorista'!$D$76:$D$94,MATCH('Pagos Mayoristas'!C271,'Precio Mayorista'!$G$76:$G$94,0))*INDEX('Informacion del AEP'!$F$90:$AE$108,MATCH('Pagos Mayoristas'!C271,'Informacion del AEP'!$C$90:$C$108,0),MATCH('Pagos Mayoristas'!$C$270,'Informacion del AEP'!$F$89:$AE$89,0))</f>
        <v>0</v>
      </c>
    </row>
    <row r="272" spans="3:15" x14ac:dyDescent="0.25">
      <c r="C272" s="5" t="str">
        <f>IF(Supuestos!$B$49="","",Supuestos!$B$49)</f>
        <v>Originación voz on-net local</v>
      </c>
      <c r="D272" s="78">
        <f>INDEX('Informacion del AEP'!$F$90:$AE$108,MATCH('Pagos Mayoristas'!$C272,'Informacion del AEP'!$C$90:$C$108,0),MATCH('Pagos Mayoristas'!C$270,'Informacion del AEP'!$F$89:$AE$89,0))*INDEX('Hoja Auxiliar'!$D$40:$D$58,MATCH('Pagos Mayoristas'!$C272,'Hoja Auxiliar'!$C$40:$C$58,0))</f>
        <v>30000000.149999999</v>
      </c>
      <c r="F272" s="238">
        <f>IF(C272="","",('Precio Mayorista'!$D$100*INDEX('Informacion del AEP'!$D$90:$AE$108,MATCH(C272,'Informacion del AEP'!$C$90:$C$108,0),MATCH($C$270,'Informacion del AEP'!$D$89:$AE$89,0))*INDEX('Informacion del AEP'!$F$169:$F$187,MATCH(C272,'Informacion del AEP'!$C$169:$C$187,0))))</f>
        <v>0</v>
      </c>
      <c r="N272" s="441">
        <f>INDEX('Precio Mayorista'!$D$76:$D$94,MATCH('Pagos Mayoristas'!C272,'Precio Mayorista'!$G$76:$G$94,0))*INDEX('Informacion del AEP'!$F$90:$AE$108,MATCH('Pagos Mayoristas'!C272,'Informacion del AEP'!$C$90:$C$108,0),MATCH('Pagos Mayoristas'!$C$270,'Informacion del AEP'!$F$89:$AE$89,0))</f>
        <v>0</v>
      </c>
    </row>
    <row r="273" spans="1:14" x14ac:dyDescent="0.25">
      <c r="C273" s="5" t="str">
        <f>IF(Supuestos!$B$50="","",Supuestos!$B$50)</f>
        <v>Originación voz off-net móvil local</v>
      </c>
      <c r="D273" s="78">
        <f>INDEX('Informacion del AEP'!$F$90:$AE$108,MATCH('Pagos Mayoristas'!$C273,'Informacion del AEP'!$C$90:$C$108,0),MATCH('Pagos Mayoristas'!C$270,'Informacion del AEP'!$F$89:$AE$89,0))*INDEX('Hoja Auxiliar'!$D$40:$D$58,MATCH('Pagos Mayoristas'!$C273,'Hoja Auxiliar'!$C$40:$C$58,0))</f>
        <v>6000000.1499999994</v>
      </c>
      <c r="F273" s="238">
        <f>IF(C273="","",('Precio Mayorista'!$D$100*INDEX('Informacion del AEP'!$D$90:$AE$108,MATCH(C273,'Informacion del AEP'!$C$90:$C$108,0),MATCH($C$270,'Informacion del AEP'!$D$89:$AE$89,0))*INDEX('Informacion del AEP'!$F$169:$F$187,MATCH(C273,'Informacion del AEP'!$C$169:$C$187,0))))</f>
        <v>0</v>
      </c>
      <c r="N273" s="441">
        <f>INDEX('Precio Mayorista'!$D$76:$D$94,MATCH('Pagos Mayoristas'!C273,'Precio Mayorista'!$G$76:$G$94,0))*INDEX('Informacion del AEP'!$F$90:$AE$108,MATCH('Pagos Mayoristas'!C273,'Informacion del AEP'!$C$90:$C$108,0),MATCH('Pagos Mayoristas'!$C$270,'Informacion del AEP'!$F$89:$AE$89,0))</f>
        <v>8444200.2111050002</v>
      </c>
    </row>
    <row r="274" spans="1:14" x14ac:dyDescent="0.25">
      <c r="C274" s="5" t="str">
        <f>IF(Supuestos!$B$51="","",Supuestos!$B$51)</f>
        <v>Originación voz off-net fijo local</v>
      </c>
      <c r="D274" s="78">
        <f>INDEX('Informacion del AEP'!$F$90:$AE$108,MATCH('Pagos Mayoristas'!$C274,'Informacion del AEP'!$C$90:$C$108,0),MATCH('Pagos Mayoristas'!C$270,'Informacion del AEP'!$F$89:$AE$89,0))*INDEX('Hoja Auxiliar'!$D$40:$D$58,MATCH('Pagos Mayoristas'!$C274,'Hoja Auxiliar'!$C$40:$C$58,0))</f>
        <v>3000000.15</v>
      </c>
      <c r="F274" s="238">
        <f>IF(C274="","",('Precio Mayorista'!$D$100*INDEX('Informacion del AEP'!$D$90:$AE$108,MATCH(C274,'Informacion del AEP'!$C$90:$C$108,0),MATCH($C$270,'Informacion del AEP'!$D$89:$AE$89,0))*INDEX('Informacion del AEP'!$F$169:$F$187,MATCH(C274,'Informacion del AEP'!$C$169:$C$187,0))))</f>
        <v>0</v>
      </c>
      <c r="N274" s="441">
        <f>INDEX('Precio Mayorista'!$D$76:$D$94,MATCH('Pagos Mayoristas'!C274,'Precio Mayorista'!$G$76:$G$94,0))*INDEX('Informacion del AEP'!$F$90:$AE$108,MATCH('Pagos Mayoristas'!C274,'Informacion del AEP'!$C$90:$C$108,0),MATCH('Pagos Mayoristas'!$C$270,'Informacion del AEP'!$F$89:$AE$89,0))</f>
        <v>334300.01671499998</v>
      </c>
    </row>
    <row r="275" spans="1:14" x14ac:dyDescent="0.25">
      <c r="C275" s="5" t="str">
        <f>IF(Supuestos!$B$52="","",Supuestos!$B$52)</f>
        <v>Originación voz on-net LDN</v>
      </c>
      <c r="D275" s="78">
        <f>INDEX('Informacion del AEP'!$F$90:$AE$108,MATCH('Pagos Mayoristas'!$C275,'Informacion del AEP'!$C$90:$C$108,0),MATCH('Pagos Mayoristas'!C$270,'Informacion del AEP'!$F$89:$AE$89,0))*INDEX('Hoja Auxiliar'!$D$40:$D$58,MATCH('Pagos Mayoristas'!$C275,'Hoja Auxiliar'!$C$40:$C$58,0))</f>
        <v>45000000.149999999</v>
      </c>
      <c r="F275" s="238">
        <f>IF(C275="","",('Precio Mayorista'!$D$100*INDEX('Informacion del AEP'!$D$90:$AE$108,MATCH(C275,'Informacion del AEP'!$C$90:$C$108,0),MATCH($C$270,'Informacion del AEP'!$D$89:$AE$89,0))*INDEX('Informacion del AEP'!$F$169:$F$187,MATCH(C275,'Informacion del AEP'!$C$169:$C$187,0))))</f>
        <v>0</v>
      </c>
      <c r="N275" s="441">
        <f>INDEX('Precio Mayorista'!$D$76:$D$94,MATCH('Pagos Mayoristas'!C275,'Precio Mayorista'!$G$76:$G$94,0))*INDEX('Informacion del AEP'!$F$90:$AE$108,MATCH('Pagos Mayoristas'!C275,'Informacion del AEP'!$C$90:$C$108,0),MATCH('Pagos Mayoristas'!$C$270,'Informacion del AEP'!$F$89:$AE$89,0))</f>
        <v>0</v>
      </c>
    </row>
    <row r="276" spans="1:14" x14ac:dyDescent="0.25">
      <c r="C276" s="5" t="str">
        <f>IF(Supuestos!$B$53="","",Supuestos!$B$53)</f>
        <v>Originación voz off-net móvil LDN</v>
      </c>
      <c r="D276" s="78">
        <f>INDEX('Informacion del AEP'!$F$90:$AE$108,MATCH('Pagos Mayoristas'!$C276,'Informacion del AEP'!$C$90:$C$108,0),MATCH('Pagos Mayoristas'!C$270,'Informacion del AEP'!$F$89:$AE$89,0))*INDEX('Hoja Auxiliar'!$D$40:$D$58,MATCH('Pagos Mayoristas'!$C276,'Hoja Auxiliar'!$C$40:$C$58,0))</f>
        <v>4500000.1499999994</v>
      </c>
      <c r="F276" s="238">
        <f>IF(C276="","",('Precio Mayorista'!$D$100*INDEX('Informacion del AEP'!$D$90:$AE$108,MATCH(C276,'Informacion del AEP'!$C$90:$C$108,0),MATCH($C$270,'Informacion del AEP'!$D$89:$AE$89,0))*INDEX('Informacion del AEP'!$F$169:$F$187,MATCH(C276,'Informacion del AEP'!$C$169:$C$187,0))))</f>
        <v>0</v>
      </c>
      <c r="N276" s="441">
        <f>INDEX('Precio Mayorista'!$D$76:$D$94,MATCH('Pagos Mayoristas'!C276,'Precio Mayorista'!$G$76:$G$94,0))*INDEX('Informacion del AEP'!$F$90:$AE$108,MATCH('Pagos Mayoristas'!C276,'Informacion del AEP'!$C$90:$C$108,0),MATCH('Pagos Mayoristas'!$C$270,'Informacion del AEP'!$F$89:$AE$89,0))</f>
        <v>6333150.2111050002</v>
      </c>
    </row>
    <row r="277" spans="1:14" x14ac:dyDescent="0.25">
      <c r="C277" s="5" t="str">
        <f>IF(Supuestos!$B$54="","",Supuestos!$B$54)</f>
        <v>Originación voz off-net fijo LDN</v>
      </c>
      <c r="D277" s="78">
        <f>INDEX('Informacion del AEP'!$F$90:$AE$108,MATCH('Pagos Mayoristas'!$C277,'Informacion del AEP'!$C$90:$C$108,0),MATCH('Pagos Mayoristas'!C$270,'Informacion del AEP'!$F$89:$AE$89,0))*INDEX('Hoja Auxiliar'!$D$40:$D$58,MATCH('Pagos Mayoristas'!$C277,'Hoja Auxiliar'!$C$40:$C$58,0))</f>
        <v>1500000.15</v>
      </c>
      <c r="F277" s="238">
        <f>IF(C277="","",('Precio Mayorista'!$D$100*INDEX('Informacion del AEP'!$D$90:$AE$108,MATCH(C277,'Informacion del AEP'!$C$90:$C$108,0),MATCH($C$270,'Informacion del AEP'!$D$89:$AE$89,0))*INDEX('Informacion del AEP'!$F$169:$F$187,MATCH(C277,'Informacion del AEP'!$C$169:$C$187,0))))</f>
        <v>0</v>
      </c>
      <c r="N277" s="441">
        <f>INDEX('Precio Mayorista'!$D$76:$D$94,MATCH('Pagos Mayoristas'!C277,'Precio Mayorista'!$G$76:$G$94,0))*INDEX('Informacion del AEP'!$F$90:$AE$108,MATCH('Pagos Mayoristas'!C277,'Informacion del AEP'!$C$90:$C$108,0),MATCH('Pagos Mayoristas'!$C$270,'Informacion del AEP'!$F$89:$AE$89,0))</f>
        <v>167150.01671500001</v>
      </c>
    </row>
    <row r="278" spans="1:14" x14ac:dyDescent="0.25">
      <c r="C278" s="5" t="str">
        <f>IF(Supuestos!$B$55="","",Supuestos!$B$55)</f>
        <v>Originación voz internacional USA-Canadá</v>
      </c>
      <c r="D278" s="78">
        <f>INDEX('Informacion del AEP'!$F$90:$AE$108,MATCH('Pagos Mayoristas'!$C278,'Informacion del AEP'!$C$90:$C$108,0),MATCH('Pagos Mayoristas'!C$270,'Informacion del AEP'!$F$89:$AE$89,0))*INDEX('Hoja Auxiliar'!$D$40:$D$58,MATCH('Pagos Mayoristas'!$C278,'Hoja Auxiliar'!$C$40:$C$58,0))</f>
        <v>3900000.15</v>
      </c>
      <c r="F278" s="238">
        <f>IF(C278="","",('Precio Mayorista'!$D$100*INDEX('Informacion del AEP'!$D$90:$AE$108,MATCH(C278,'Informacion del AEP'!$C$90:$C$108,0),MATCH($C$270,'Informacion del AEP'!$D$89:$AE$89,0))*INDEX('Informacion del AEP'!$F$169:$F$187,MATCH(C278,'Informacion del AEP'!$C$169:$C$187,0))))</f>
        <v>0</v>
      </c>
      <c r="N278" s="441">
        <f>INDEX('Precio Mayorista'!$D$76:$D$94,MATCH('Pagos Mayoristas'!C278,'Precio Mayorista'!$G$76:$G$94,0))*INDEX('Informacion del AEP'!$F$90:$AE$108,MATCH('Pagos Mayoristas'!C278,'Informacion del AEP'!$C$90:$C$108,0),MATCH('Pagos Mayoristas'!$C$270,'Informacion del AEP'!$F$89:$AE$89,0))</f>
        <v>6500000.25</v>
      </c>
    </row>
    <row r="279" spans="1:14" x14ac:dyDescent="0.25">
      <c r="C279" s="5" t="str">
        <f>IF(Supuestos!$B$56="","",Supuestos!$B$56)</f>
        <v>Originación voz internacional Mundial Centroamérica</v>
      </c>
      <c r="D279" s="78">
        <f>INDEX('Informacion del AEP'!$F$90:$AE$108,MATCH('Pagos Mayoristas'!$C279,'Informacion del AEP'!$C$90:$C$108,0),MATCH('Pagos Mayoristas'!C$270,'Informacion del AEP'!$F$89:$AE$89,0))*INDEX('Hoja Auxiliar'!$D$40:$D$58,MATCH('Pagos Mayoristas'!$C279,'Hoja Auxiliar'!$C$40:$C$58,0))</f>
        <v>9000.15</v>
      </c>
      <c r="F279" s="238">
        <f>IF(C279="","",('Precio Mayorista'!$D$100*INDEX('Informacion del AEP'!$D$90:$AE$108,MATCH(C279,'Informacion del AEP'!$C$90:$C$108,0),MATCH($C$270,'Informacion del AEP'!$D$89:$AE$89,0))*INDEX('Informacion del AEP'!$F$169:$F$187,MATCH(C279,'Informacion del AEP'!$C$169:$C$187,0))))</f>
        <v>0</v>
      </c>
      <c r="N279" s="441">
        <f>INDEX('Precio Mayorista'!$D$76:$D$94,MATCH('Pagos Mayoristas'!C279,'Precio Mayorista'!$G$76:$G$94,0))*INDEX('Informacion del AEP'!$F$90:$AE$108,MATCH('Pagos Mayoristas'!C279,'Informacion del AEP'!$C$90:$C$108,0),MATCH('Pagos Mayoristas'!$C$270,'Informacion del AEP'!$F$89:$AE$89,0))</f>
        <v>750012.5</v>
      </c>
    </row>
    <row r="280" spans="1:14" x14ac:dyDescent="0.25">
      <c r="A280" s="5" t="s">
        <v>69</v>
      </c>
      <c r="C280" s="5" t="str">
        <f>IF(Supuestos!$B$57="","",Supuestos!$B$57)</f>
        <v>Originación voz internacional Mundial LATAM y Caribe</v>
      </c>
      <c r="D280" s="78">
        <f>INDEX('Informacion del AEP'!$F$90:$AE$108,MATCH('Pagos Mayoristas'!$C280,'Informacion del AEP'!$C$90:$C$108,0),MATCH('Pagos Mayoristas'!C$270,'Informacion del AEP'!$F$89:$AE$89,0))*INDEX('Hoja Auxiliar'!$D$40:$D$58,MATCH('Pagos Mayoristas'!$C280,'Hoja Auxiliar'!$C$40:$C$58,0))</f>
        <v>600.15</v>
      </c>
      <c r="F280" s="238">
        <f>IF(C280="","",('Precio Mayorista'!$D$100*INDEX('Informacion del AEP'!$D$90:$AE$108,MATCH(C280,'Informacion del AEP'!$C$90:$C$108,0),MATCH($C$270,'Informacion del AEP'!$D$89:$AE$89,0))*INDEX('Informacion del AEP'!$F$169:$F$187,MATCH(C280,'Informacion del AEP'!$C$169:$C$187,0))))</f>
        <v>0</v>
      </c>
      <c r="N280" s="441">
        <f>INDEX('Precio Mayorista'!$D$76:$D$94,MATCH('Pagos Mayoristas'!C280,'Precio Mayorista'!$G$76:$G$94,0))*INDEX('Informacion del AEP'!$F$90:$AE$108,MATCH('Pagos Mayoristas'!C280,'Informacion del AEP'!$C$90:$C$108,0),MATCH('Pagos Mayoristas'!$C$270,'Informacion del AEP'!$F$89:$AE$89,0))</f>
        <v>100025</v>
      </c>
    </row>
    <row r="281" spans="1:14" x14ac:dyDescent="0.25">
      <c r="C281" s="5" t="str">
        <f>IF(Supuestos!$B$58="","",Supuestos!$B$58)</f>
        <v>Originación voz internacional Europa</v>
      </c>
      <c r="D281" s="78">
        <f>INDEX('Informacion del AEP'!$F$90:$AE$108,MATCH('Pagos Mayoristas'!$C281,'Informacion del AEP'!$C$90:$C$108,0),MATCH('Pagos Mayoristas'!C$270,'Informacion del AEP'!$F$89:$AE$89,0))*INDEX('Hoja Auxiliar'!$D$40:$D$58,MATCH('Pagos Mayoristas'!$C281,'Hoja Auxiliar'!$C$40:$C$58,0))</f>
        <v>0.12</v>
      </c>
      <c r="F281" s="238">
        <f>IF(C281="","",('Precio Mayorista'!$D$100*INDEX('Informacion del AEP'!$D$90:$AE$108,MATCH(C281,'Informacion del AEP'!$C$90:$C$108,0),MATCH($C$270,'Informacion del AEP'!$D$89:$AE$89,0))*INDEX('Informacion del AEP'!$F$169:$F$187,MATCH(C281,'Informacion del AEP'!$C$169:$C$187,0))))</f>
        <v>0</v>
      </c>
      <c r="N281" s="441">
        <f>INDEX('Precio Mayorista'!$D$76:$D$94,MATCH('Pagos Mayoristas'!C281,'Precio Mayorista'!$G$76:$G$94,0))*INDEX('Informacion del AEP'!$F$90:$AE$108,MATCH('Pagos Mayoristas'!C281,'Informacion del AEP'!$C$90:$C$108,0),MATCH('Pagos Mayoristas'!$C$270,'Informacion del AEP'!$F$89:$AE$89,0))</f>
        <v>20</v>
      </c>
    </row>
    <row r="282" spans="1:14" x14ac:dyDescent="0.25">
      <c r="C282" s="5" t="str">
        <f>IF(Supuestos!$B$59="","",Supuestos!$B$59)</f>
        <v>Originación voz internacional Mundial Otros geográficos</v>
      </c>
      <c r="D282" s="78">
        <f>INDEX('Informacion del AEP'!$F$90:$AE$108,MATCH('Pagos Mayoristas'!$C282,'Informacion del AEP'!$C$90:$C$108,0),MATCH('Pagos Mayoristas'!C$270,'Informacion del AEP'!$F$89:$AE$89,0))*INDEX('Hoja Auxiliar'!$D$40:$D$58,MATCH('Pagos Mayoristas'!$C282,'Hoja Auxiliar'!$C$40:$C$58,0))</f>
        <v>30000.149999999998</v>
      </c>
      <c r="F282" s="238">
        <f>IF(C282="","",('Precio Mayorista'!$D$100*INDEX('Informacion del AEP'!$D$90:$AE$108,MATCH(C282,'Informacion del AEP'!$C$90:$C$108,0),MATCH($C$270,'Informacion del AEP'!$D$89:$AE$89,0))*INDEX('Informacion del AEP'!$F$169:$F$187,MATCH(C282,'Informacion del AEP'!$C$169:$C$187,0))))</f>
        <v>0</v>
      </c>
      <c r="N282" s="441">
        <f>INDEX('Precio Mayorista'!$D$76:$D$94,MATCH('Pagos Mayoristas'!C282,'Precio Mayorista'!$G$76:$G$94,0))*INDEX('Informacion del AEP'!$F$90:$AE$108,MATCH('Pagos Mayoristas'!C282,'Informacion del AEP'!$C$90:$C$108,0),MATCH('Pagos Mayoristas'!$C$270,'Informacion del AEP'!$F$89:$AE$89,0))</f>
        <v>5000025</v>
      </c>
    </row>
    <row r="283" spans="1:14" x14ac:dyDescent="0.25">
      <c r="C283" s="5" t="str">
        <f>IF(Supuestos!$B$60="","",Supuestos!$B$60)</f>
        <v>Originación voz internacional Cuba</v>
      </c>
      <c r="D283" s="78">
        <f>INDEX('Informacion del AEP'!$F$90:$AE$108,MATCH('Pagos Mayoristas'!$C283,'Informacion del AEP'!$C$90:$C$108,0),MATCH('Pagos Mayoristas'!C$270,'Informacion del AEP'!$F$89:$AE$89,0))*INDEX('Hoja Auxiliar'!$D$40:$D$58,MATCH('Pagos Mayoristas'!$C283,'Hoja Auxiliar'!$C$40:$C$58,0))</f>
        <v>1500.1499999999999</v>
      </c>
      <c r="F283" s="238">
        <f>IF(C283="","",('Precio Mayorista'!$D$100*INDEX('Informacion del AEP'!$D$90:$AE$108,MATCH(C283,'Informacion del AEP'!$C$90:$C$108,0),MATCH($C$270,'Informacion del AEP'!$D$89:$AE$89,0))*INDEX('Informacion del AEP'!$F$169:$F$187,MATCH(C283,'Informacion del AEP'!$C$169:$C$187,0))))</f>
        <v>0</v>
      </c>
      <c r="N283" s="441">
        <f>INDEX('Precio Mayorista'!$D$76:$D$94,MATCH('Pagos Mayoristas'!C283,'Precio Mayorista'!$G$76:$G$94,0))*INDEX('Informacion del AEP'!$F$90:$AE$108,MATCH('Pagos Mayoristas'!C283,'Informacion del AEP'!$C$90:$C$108,0),MATCH('Pagos Mayoristas'!$C$270,'Informacion del AEP'!$F$89:$AE$89,0))</f>
        <v>750075</v>
      </c>
    </row>
    <row r="284" spans="1:14" x14ac:dyDescent="0.25">
      <c r="C284" s="5" t="str">
        <f>IF(Supuestos!$B$61="","",Supuestos!$B$61)</f>
        <v>Originación voz Mundial destinos no geográficos</v>
      </c>
      <c r="D284" s="78">
        <f>INDEX('Informacion del AEP'!$F$90:$AE$108,MATCH('Pagos Mayoristas'!$C284,'Informacion del AEP'!$C$90:$C$108,0),MATCH('Pagos Mayoristas'!C$270,'Informacion del AEP'!$F$89:$AE$89,0))*INDEX('Hoja Auxiliar'!$D$40:$D$58,MATCH('Pagos Mayoristas'!$C284,'Hoja Auxiliar'!$C$40:$C$58,0))</f>
        <v>0.12</v>
      </c>
      <c r="F284" s="238">
        <f>IF(C284="","",('Precio Mayorista'!$D$100*INDEX('Informacion del AEP'!$D$90:$AE$108,MATCH(C284,'Informacion del AEP'!$C$90:$C$108,0),MATCH($C$270,'Informacion del AEP'!$D$89:$AE$89,0))*INDEX('Informacion del AEP'!$F$169:$F$187,MATCH(C284,'Informacion del AEP'!$C$169:$C$187,0))))</f>
        <v>0</v>
      </c>
      <c r="N284" s="441">
        <f>INDEX('Precio Mayorista'!$D$76:$D$94,MATCH('Pagos Mayoristas'!C284,'Precio Mayorista'!$G$76:$G$94,0))*INDEX('Informacion del AEP'!$F$90:$AE$108,MATCH('Pagos Mayoristas'!C284,'Informacion del AEP'!$C$90:$C$108,0),MATCH('Pagos Mayoristas'!$C$270,'Informacion del AEP'!$F$89:$AE$89,0))</f>
        <v>300</v>
      </c>
    </row>
    <row r="285" spans="1:14" x14ac:dyDescent="0.25">
      <c r="C285" s="5" t="str">
        <f>IF(Supuestos!$B$62="","",Supuestos!$B$62)</f>
        <v>Originación SMS on-net</v>
      </c>
      <c r="D285" s="78">
        <f>INDEX('Informacion del AEP'!$F$90:$AE$108,MATCH('Pagos Mayoristas'!$C285,'Informacion del AEP'!$C$90:$C$108,0),MATCH('Pagos Mayoristas'!C$270,'Informacion del AEP'!$F$89:$AE$89,0))*INDEX('Hoja Auxiliar'!$D$40:$D$58,MATCH('Pagos Mayoristas'!$C285,'Hoja Auxiliar'!$C$40:$C$58,0))</f>
        <v>3000000.0749999997</v>
      </c>
      <c r="F285" s="238">
        <f>IF(C285="","",('Precio Mayorista'!$D$100*INDEX('Informacion del AEP'!$D$90:$AE$108,MATCH(C285,'Informacion del AEP'!$C$90:$C$108,0),MATCH($C$270,'Informacion del AEP'!$D$89:$AE$89,0))*INDEX('Informacion del AEP'!$F$169:$F$187,MATCH(C285,'Informacion del AEP'!$C$169:$C$187,0))))</f>
        <v>0</v>
      </c>
      <c r="N285" s="441">
        <f>INDEX('Precio Mayorista'!$D$76:$D$94,MATCH('Pagos Mayoristas'!C285,'Precio Mayorista'!$G$76:$G$94,0))*INDEX('Informacion del AEP'!$F$90:$AE$108,MATCH('Pagos Mayoristas'!C285,'Informacion del AEP'!$C$90:$C$108,0),MATCH('Pagos Mayoristas'!$C$270,'Informacion del AEP'!$F$89:$AE$89,0))</f>
        <v>0</v>
      </c>
    </row>
    <row r="286" spans="1:14" x14ac:dyDescent="0.25">
      <c r="C286" s="5" t="str">
        <f>IF(Supuestos!$B$63="","",Supuestos!$B$63)</f>
        <v>Originación SMS - off-net nacional</v>
      </c>
      <c r="D286" s="78">
        <f>INDEX('Informacion del AEP'!$F$90:$AE$108,MATCH('Pagos Mayoristas'!$C286,'Informacion del AEP'!$C$90:$C$108,0),MATCH('Pagos Mayoristas'!C$270,'Informacion del AEP'!$F$89:$AE$89,0))*INDEX('Hoja Auxiliar'!$D$40:$D$58,MATCH('Pagos Mayoristas'!$C286,'Hoja Auxiliar'!$C$40:$C$58,0))</f>
        <v>750000.07499999995</v>
      </c>
      <c r="F286" s="238">
        <f>IF(C286="","",('Precio Mayorista'!$D$100*INDEX('Informacion del AEP'!$D$90:$AE$108,MATCH(C286,'Informacion del AEP'!$C$90:$C$108,0),MATCH($C$270,'Informacion del AEP'!$D$89:$AE$89,0))*INDEX('Informacion del AEP'!$F$169:$F$187,MATCH(C286,'Informacion del AEP'!$C$169:$C$187,0))))</f>
        <v>0</v>
      </c>
      <c r="N286" s="441">
        <f>INDEX('Precio Mayorista'!$D$76:$D$94,MATCH('Pagos Mayoristas'!C286,'Precio Mayorista'!$G$76:$G$94,0))*INDEX('Informacion del AEP'!$F$90:$AE$108,MATCH('Pagos Mayoristas'!C286,'Informacion del AEP'!$C$90:$C$108,0),MATCH('Pagos Mayoristas'!$C$270,'Informacion del AEP'!$F$89:$AE$89,0))</f>
        <v>463600.04636000004</v>
      </c>
    </row>
    <row r="287" spans="1:14" x14ac:dyDescent="0.25">
      <c r="C287" s="5" t="str">
        <f>IF(Supuestos!$B$64="","",Supuestos!$B$64)</f>
        <v>Originación SMS internacional (USA-Canadá)</v>
      </c>
      <c r="D287" s="78">
        <f>INDEX('Informacion del AEP'!$F$90:$AE$108,MATCH('Pagos Mayoristas'!$C287,'Informacion del AEP'!$C$90:$C$108,0),MATCH('Pagos Mayoristas'!C$270,'Informacion del AEP'!$F$89:$AE$89,0))*INDEX('Hoja Auxiliar'!$D$40:$D$58,MATCH('Pagos Mayoristas'!$C287,'Hoja Auxiliar'!$C$40:$C$58,0))</f>
        <v>150000.07499999998</v>
      </c>
      <c r="F287" s="238">
        <f>IF(C287="","",('Precio Mayorista'!$D$100*INDEX('Informacion del AEP'!$D$90:$AE$108,MATCH(C287,'Informacion del AEP'!$C$90:$C$108,0),MATCH($C$270,'Informacion del AEP'!$D$89:$AE$89,0))*INDEX('Informacion del AEP'!$F$169:$F$187,MATCH(C287,'Informacion del AEP'!$C$169:$C$187,0))))</f>
        <v>0</v>
      </c>
      <c r="N287" s="441">
        <f>INDEX('Precio Mayorista'!$D$76:$D$94,MATCH('Pagos Mayoristas'!C287,'Precio Mayorista'!$G$76:$G$94,0))*INDEX('Informacion del AEP'!$F$90:$AE$108,MATCH('Pagos Mayoristas'!C287,'Informacion del AEP'!$C$90:$C$108,0),MATCH('Pagos Mayoristas'!$C$270,'Informacion del AEP'!$F$89:$AE$89,0))</f>
        <v>5000002.5</v>
      </c>
    </row>
    <row r="288" spans="1:14" x14ac:dyDescent="0.25">
      <c r="C288" s="5" t="str">
        <f>IF(Supuestos!$B$65="","",Supuestos!$B$65)</f>
        <v>Originación SMS internacional (Resto del Mundo)</v>
      </c>
      <c r="D288" s="78">
        <f>INDEX('Informacion del AEP'!$F$90:$AE$108,MATCH('Pagos Mayoristas'!$C288,'Informacion del AEP'!$C$90:$C$108,0),MATCH('Pagos Mayoristas'!C$270,'Informacion del AEP'!$F$89:$AE$89,0))*INDEX('Hoja Auxiliar'!$D$40:$D$58,MATCH('Pagos Mayoristas'!$C288,'Hoja Auxiliar'!$C$40:$C$58,0))</f>
        <v>15000.074999999999</v>
      </c>
      <c r="F288" s="238">
        <f>IF(C288="","",('Precio Mayorista'!$D$100*INDEX('Informacion del AEP'!$D$90:$AE$108,MATCH(C288,'Informacion del AEP'!$C$90:$C$108,0),MATCH($C$270,'Informacion del AEP'!$D$89:$AE$89,0))*INDEX('Informacion del AEP'!$F$169:$F$187,MATCH(C288,'Informacion del AEP'!$C$169:$C$187,0))))</f>
        <v>0</v>
      </c>
      <c r="N288" s="441">
        <f>INDEX('Precio Mayorista'!$D$76:$D$94,MATCH('Pagos Mayoristas'!C288,'Precio Mayorista'!$G$76:$G$94,0))*INDEX('Informacion del AEP'!$F$90:$AE$108,MATCH('Pagos Mayoristas'!C288,'Informacion del AEP'!$C$90:$C$108,0),MATCH('Pagos Mayoristas'!$C$270,'Informacion del AEP'!$F$89:$AE$89,0))</f>
        <v>750003.75</v>
      </c>
    </row>
    <row r="289" spans="3:15" x14ac:dyDescent="0.25">
      <c r="C289" s="5" t="str">
        <f>IF(Supuestos!$B$66="","",Supuestos!$B$66)</f>
        <v>Otros servicios (incluyendo marcaciones especiales)</v>
      </c>
      <c r="D289" s="78">
        <f>INDEX('Informacion del AEP'!$F$90:$AE$108,MATCH('Pagos Mayoristas'!$C289,'Informacion del AEP'!$C$90:$C$108,0),MATCH('Pagos Mayoristas'!C$270,'Informacion del AEP'!$F$89:$AE$89,0))*INDEX('Hoja Auxiliar'!$D$40:$D$58,MATCH('Pagos Mayoristas'!$C289,'Hoja Auxiliar'!$C$40:$C$58,0))</f>
        <v>15000000.15</v>
      </c>
      <c r="F289" s="238">
        <f>IF(C289="","",('Precio Mayorista'!$D$100*INDEX('Informacion del AEP'!$D$90:$AE$108,MATCH(C289,'Informacion del AEP'!$C$90:$C$108,0),MATCH($C$270,'Informacion del AEP'!$D$89:$AE$89,0))*INDEX('Informacion del AEP'!$F$169:$F$187,MATCH(C289,'Informacion del AEP'!$C$169:$C$187,0))))</f>
        <v>0</v>
      </c>
      <c r="N289" s="441">
        <f>INDEX('Precio Mayorista'!$D$76:$D$94,MATCH('Pagos Mayoristas'!C289,'Precio Mayorista'!$G$76:$G$94,0))*INDEX('Informacion del AEP'!$F$90:$AE$108,MATCH('Pagos Mayoristas'!C289,'Informacion del AEP'!$C$90:$C$108,0),MATCH('Pagos Mayoristas'!$C$270,'Informacion del AEP'!$F$89:$AE$89,0))</f>
        <v>0</v>
      </c>
    </row>
    <row r="290" spans="3:15" x14ac:dyDescent="0.25">
      <c r="D290" s="78"/>
      <c r="F290" s="78"/>
      <c r="N290" s="209"/>
    </row>
    <row r="291" spans="3:15" ht="13" x14ac:dyDescent="0.3">
      <c r="C291" s="64"/>
      <c r="D291" s="78"/>
      <c r="F291" s="78"/>
    </row>
    <row r="292" spans="3:15" x14ac:dyDescent="0.25">
      <c r="F292" s="78"/>
    </row>
    <row r="293" spans="3:15" x14ac:dyDescent="0.25">
      <c r="F293" s="78"/>
    </row>
    <row r="295" spans="3:15" x14ac:dyDescent="0.25">
      <c r="D295" s="78"/>
    </row>
    <row r="296" spans="3:15" ht="13" x14ac:dyDescent="0.3">
      <c r="C296" s="74" t="str">
        <f>Supuestos!$B$81</f>
        <v>Telcel Pospago 1</v>
      </c>
      <c r="D296" s="77">
        <f>SUM(D297:D315)</f>
        <v>559664233.33333325</v>
      </c>
      <c r="E296" s="75"/>
      <c r="F296" s="77">
        <f>SUM(F297:F315)</f>
        <v>0</v>
      </c>
      <c r="G296" s="75"/>
      <c r="H296" s="77"/>
      <c r="I296" s="77">
        <f>INDEX('Informacion del AEP'!$H$31:$H$84,MATCH('Pagos Mayoristas'!C296,'Informacion del AEP'!$C$31:$C$84,0))*'Hoja Auxiliar'!$D$61</f>
        <v>562500</v>
      </c>
      <c r="J296" s="4"/>
      <c r="K296" s="77"/>
      <c r="L296" s="204">
        <f>$L$10*(INDEX('Informacion del AEP'!$F$12:$AE$12,MATCH('Pagos Mayoristas'!C296,'Informacion del AEP'!$F$11:$AE$11,0))/INDEX('Informacion del AEP'!$F$12:$AE$12,MATCH('Pagos Mayoristas'!$C$10,'Informacion del AEP'!$F$11:$AE$11,0)))</f>
        <v>81827.309236947796</v>
      </c>
      <c r="M296" s="204"/>
      <c r="N296" s="77">
        <f>SUM(N297:N315)</f>
        <v>80715600</v>
      </c>
      <c r="O296" s="204">
        <f>SUM(D296:N296)</f>
        <v>641024160.64257026</v>
      </c>
    </row>
    <row r="297" spans="3:15" x14ac:dyDescent="0.25">
      <c r="C297" s="5" t="str">
        <f>IF(Supuestos!$B$48="","",Supuestos!$B$48)</f>
        <v>Datos</v>
      </c>
      <c r="D297" s="78">
        <f>INDEX('Informacion del AEP'!$F$90:$AE$108,MATCH('Pagos Mayoristas'!$C297,'Informacion del AEP'!$C$90:$C$108,0),MATCH('Pagos Mayoristas'!C$296,'Informacion del AEP'!$F$89:$AE$89,0))*INDEX('Hoja Auxiliar'!$D$40:$D$58,MATCH('Pagos Mayoristas'!$C297,'Hoja Auxiliar'!$C$40:$C$58,0))</f>
        <v>296333333.33333331</v>
      </c>
      <c r="F297" s="238">
        <f>IF(C297="","",('Precio Mayorista'!$D$100*INDEX('Informacion del AEP'!$D$90:$AE$108,MATCH(C297,'Informacion del AEP'!$C$90:$C$108,0),MATCH($C$296,'Informacion del AEP'!$D$89:$AE$89,0))*INDEX('Informacion del AEP'!$F$169:$F$187,MATCH(C297,'Informacion del AEP'!$C$169:$C$187,0))))</f>
        <v>0</v>
      </c>
      <c r="N297" s="209">
        <f>INDEX('Precio Mayorista'!$D$76:$D$94,MATCH('Pagos Mayoristas'!C297,'Precio Mayorista'!$G$76:$G$94,0))*INDEX('Informacion del AEP'!$F$90:$AE$108,MATCH('Pagos Mayoristas'!C297,'Informacion del AEP'!$C$90:$C$108,0),MATCH('Pagos Mayoristas'!$C$296,'Informacion del AEP'!$F$89:$AE$89,0))</f>
        <v>0</v>
      </c>
    </row>
    <row r="298" spans="3:15" x14ac:dyDescent="0.25">
      <c r="C298" s="5" t="str">
        <f>IF(Supuestos!$B$49="","",Supuestos!$B$49)</f>
        <v>Originación voz on-net local</v>
      </c>
      <c r="D298" s="78">
        <f>INDEX('Informacion del AEP'!$F$90:$AE$108,MATCH('Pagos Mayoristas'!$C298,'Informacion del AEP'!$C$90:$C$108,0),MATCH('Pagos Mayoristas'!C$296,'Informacion del AEP'!$F$89:$AE$89,0))*INDEX('Hoja Auxiliar'!$D$40:$D$58,MATCH('Pagos Mayoristas'!$C298,'Hoja Auxiliar'!$C$40:$C$58,0))</f>
        <v>70000000</v>
      </c>
      <c r="F298" s="238">
        <f>IF(C298="","",('Precio Mayorista'!$D$100*INDEX('Informacion del AEP'!$D$90:$AE$108,MATCH(C298,'Informacion del AEP'!$C$90:$C$108,0),MATCH($C$296,'Informacion del AEP'!$D$89:$AE$89,0))*INDEX('Informacion del AEP'!$F$169:$F$187,MATCH(C298,'Informacion del AEP'!$C$169:$C$187,0))))</f>
        <v>0</v>
      </c>
      <c r="N298" s="209">
        <f>INDEX('Precio Mayorista'!$D$76:$D$94,MATCH('Pagos Mayoristas'!C298,'Precio Mayorista'!$G$76:$G$94,0))*INDEX('Informacion del AEP'!$F$90:$AE$108,MATCH('Pagos Mayoristas'!C298,'Informacion del AEP'!$C$90:$C$108,0),MATCH('Pagos Mayoristas'!$C$296,'Informacion del AEP'!$F$89:$AE$89,0))</f>
        <v>0</v>
      </c>
    </row>
    <row r="299" spans="3:15" x14ac:dyDescent="0.25">
      <c r="C299" s="5" t="str">
        <f>IF(Supuestos!$B$50="","",Supuestos!$B$50)</f>
        <v>Originación voz off-net móvil local</v>
      </c>
      <c r="D299" s="78">
        <f>INDEX('Informacion del AEP'!$F$90:$AE$108,MATCH('Pagos Mayoristas'!$C299,'Informacion del AEP'!$C$90:$C$108,0),MATCH('Pagos Mayoristas'!C$296,'Informacion del AEP'!$F$89:$AE$89,0))*INDEX('Hoja Auxiliar'!$D$40:$D$58,MATCH('Pagos Mayoristas'!$C299,'Hoja Auxiliar'!$C$40:$C$58,0))</f>
        <v>14000000</v>
      </c>
      <c r="F299" s="238">
        <f>IF(C299="","",('Precio Mayorista'!$D$100*INDEX('Informacion del AEP'!$D$90:$AE$108,MATCH(C299,'Informacion del AEP'!$C$90:$C$108,0),MATCH($C$296,'Informacion del AEP'!$D$89:$AE$89,0))*INDEX('Informacion del AEP'!$F$169:$F$187,MATCH(C299,'Informacion del AEP'!$C$169:$C$187,0))))</f>
        <v>0</v>
      </c>
      <c r="N299" s="209">
        <f>INDEX('Precio Mayorista'!$D$76:$D$94,MATCH('Pagos Mayoristas'!C299,'Precio Mayorista'!$G$76:$G$94,0))*INDEX('Informacion del AEP'!$F$90:$AE$108,MATCH('Pagos Mayoristas'!C299,'Informacion del AEP'!$C$90:$C$108,0),MATCH('Pagos Mayoristas'!$C$296,'Informacion del AEP'!$F$89:$AE$89,0))</f>
        <v>19703133.333333336</v>
      </c>
    </row>
    <row r="300" spans="3:15" x14ac:dyDescent="0.25">
      <c r="C300" s="5" t="str">
        <f>IF(Supuestos!$B$51="","",Supuestos!$B$51)</f>
        <v>Originación voz off-net fijo local</v>
      </c>
      <c r="D300" s="78">
        <f>INDEX('Informacion del AEP'!$F$90:$AE$108,MATCH('Pagos Mayoristas'!$C300,'Informacion del AEP'!$C$90:$C$108,0),MATCH('Pagos Mayoristas'!C$296,'Informacion del AEP'!$F$89:$AE$89,0))*INDEX('Hoja Auxiliar'!$D$40:$D$58,MATCH('Pagos Mayoristas'!$C300,'Hoja Auxiliar'!$C$40:$C$58,0))</f>
        <v>7000000</v>
      </c>
      <c r="F300" s="238">
        <f>IF(C300="","",('Precio Mayorista'!$D$100*INDEX('Informacion del AEP'!$D$90:$AE$108,MATCH(C300,'Informacion del AEP'!$C$90:$C$108,0),MATCH($C$296,'Informacion del AEP'!$D$89:$AE$89,0))*INDEX('Informacion del AEP'!$F$169:$F$187,MATCH(C300,'Informacion del AEP'!$C$169:$C$187,0))))</f>
        <v>0</v>
      </c>
      <c r="N300" s="209">
        <f>INDEX('Precio Mayorista'!$D$76:$D$94,MATCH('Pagos Mayoristas'!C300,'Precio Mayorista'!$G$76:$G$94,0))*INDEX('Informacion del AEP'!$F$90:$AE$108,MATCH('Pagos Mayoristas'!C300,'Informacion del AEP'!$C$90:$C$108,0),MATCH('Pagos Mayoristas'!$C$296,'Informacion del AEP'!$F$89:$AE$89,0))</f>
        <v>780033.33333333337</v>
      </c>
    </row>
    <row r="301" spans="3:15" x14ac:dyDescent="0.25">
      <c r="C301" s="5" t="str">
        <f>IF(Supuestos!$B$52="","",Supuestos!$B$52)</f>
        <v>Originación voz on-net LDN</v>
      </c>
      <c r="D301" s="78">
        <f>INDEX('Informacion del AEP'!$F$90:$AE$108,MATCH('Pagos Mayoristas'!$C301,'Informacion del AEP'!$C$90:$C$108,0),MATCH('Pagos Mayoristas'!C$296,'Informacion del AEP'!$F$89:$AE$89,0))*INDEX('Hoja Auxiliar'!$D$40:$D$58,MATCH('Pagos Mayoristas'!$C301,'Hoja Auxiliar'!$C$40:$C$58,0))</f>
        <v>105000000</v>
      </c>
      <c r="F301" s="238">
        <f>IF(C301="","",('Precio Mayorista'!$D$100*INDEX('Informacion del AEP'!$D$90:$AE$108,MATCH(C301,'Informacion del AEP'!$C$90:$C$108,0),MATCH($C$296,'Informacion del AEP'!$D$89:$AE$89,0))*INDEX('Informacion del AEP'!$F$169:$F$187,MATCH(C301,'Informacion del AEP'!$C$169:$C$187,0))))</f>
        <v>0</v>
      </c>
      <c r="N301" s="209">
        <f>INDEX('Precio Mayorista'!$D$76:$D$94,MATCH('Pagos Mayoristas'!C301,'Precio Mayorista'!$G$76:$G$94,0))*INDEX('Informacion del AEP'!$F$90:$AE$108,MATCH('Pagos Mayoristas'!C301,'Informacion del AEP'!$C$90:$C$108,0),MATCH('Pagos Mayoristas'!$C$296,'Informacion del AEP'!$F$89:$AE$89,0))</f>
        <v>0</v>
      </c>
    </row>
    <row r="302" spans="3:15" x14ac:dyDescent="0.25">
      <c r="C302" s="5" t="str">
        <f>IF(Supuestos!$B$53="","",Supuestos!$B$53)</f>
        <v>Originación voz off-net móvil LDN</v>
      </c>
      <c r="D302" s="78">
        <f>INDEX('Informacion del AEP'!$F$90:$AE$108,MATCH('Pagos Mayoristas'!$C302,'Informacion del AEP'!$C$90:$C$108,0),MATCH('Pagos Mayoristas'!C$296,'Informacion del AEP'!$F$89:$AE$89,0))*INDEX('Hoja Auxiliar'!$D$40:$D$58,MATCH('Pagos Mayoristas'!$C302,'Hoja Auxiliar'!$C$40:$C$58,0))</f>
        <v>10499999.999999998</v>
      </c>
      <c r="F302" s="238">
        <f>IF(C302="","",('Precio Mayorista'!$D$100*INDEX('Informacion del AEP'!$D$90:$AE$108,MATCH(C302,'Informacion del AEP'!$C$90:$C$108,0),MATCH($C$296,'Informacion del AEP'!$D$89:$AE$89,0))*INDEX('Informacion del AEP'!$F$169:$F$187,MATCH(C302,'Informacion del AEP'!$C$169:$C$187,0))))</f>
        <v>0</v>
      </c>
      <c r="N302" s="209">
        <f>INDEX('Precio Mayorista'!$D$76:$D$94,MATCH('Pagos Mayoristas'!C302,'Precio Mayorista'!$G$76:$G$94,0))*INDEX('Informacion del AEP'!$F$90:$AE$108,MATCH('Pagos Mayoristas'!C302,'Informacion del AEP'!$C$90:$C$108,0),MATCH('Pagos Mayoristas'!$C$296,'Informacion del AEP'!$F$89:$AE$89,0))</f>
        <v>14777349.999999998</v>
      </c>
    </row>
    <row r="303" spans="3:15" x14ac:dyDescent="0.25">
      <c r="C303" s="5" t="str">
        <f>IF(Supuestos!$B$54="","",Supuestos!$B$54)</f>
        <v>Originación voz off-net fijo LDN</v>
      </c>
      <c r="D303" s="78">
        <f>INDEX('Informacion del AEP'!$F$90:$AE$108,MATCH('Pagos Mayoristas'!$C303,'Informacion del AEP'!$C$90:$C$108,0),MATCH('Pagos Mayoristas'!C$296,'Informacion del AEP'!$F$89:$AE$89,0))*INDEX('Hoja Auxiliar'!$D$40:$D$58,MATCH('Pagos Mayoristas'!$C303,'Hoja Auxiliar'!$C$40:$C$58,0))</f>
        <v>3500000</v>
      </c>
      <c r="F303" s="238">
        <f>IF(C303="","",('Precio Mayorista'!$D$100*INDEX('Informacion del AEP'!$D$90:$AE$108,MATCH(C303,'Informacion del AEP'!$C$90:$C$108,0),MATCH($C$296,'Informacion del AEP'!$D$89:$AE$89,0))*INDEX('Informacion del AEP'!$F$169:$F$187,MATCH(C303,'Informacion del AEP'!$C$169:$C$187,0))))</f>
        <v>0</v>
      </c>
      <c r="N303" s="209">
        <f>INDEX('Precio Mayorista'!$D$76:$D$94,MATCH('Pagos Mayoristas'!C303,'Precio Mayorista'!$G$76:$G$94,0))*INDEX('Informacion del AEP'!$F$90:$AE$108,MATCH('Pagos Mayoristas'!C303,'Informacion del AEP'!$C$90:$C$108,0),MATCH('Pagos Mayoristas'!$C$296,'Informacion del AEP'!$F$89:$AE$89,0))</f>
        <v>390016.66666666669</v>
      </c>
    </row>
    <row r="304" spans="3:15" x14ac:dyDescent="0.25">
      <c r="C304" s="5" t="str">
        <f>IF(Supuestos!$B$55="","",Supuestos!$B$55)</f>
        <v>Originación voz internacional USA-Canadá</v>
      </c>
      <c r="D304" s="78">
        <f>INDEX('Informacion del AEP'!$F$90:$AE$108,MATCH('Pagos Mayoristas'!$C304,'Informacion del AEP'!$C$90:$C$108,0),MATCH('Pagos Mayoristas'!C$296,'Informacion del AEP'!$F$89:$AE$89,0))*INDEX('Hoja Auxiliar'!$D$40:$D$58,MATCH('Pagos Mayoristas'!$C304,'Hoja Auxiliar'!$C$40:$C$58,0))</f>
        <v>9099999.9999999981</v>
      </c>
      <c r="F304" s="238">
        <f>IF(C304="","",('Precio Mayorista'!$D$100*INDEX('Informacion del AEP'!$D$90:$AE$108,MATCH(C304,'Informacion del AEP'!$C$90:$C$108,0),MATCH($C$296,'Informacion del AEP'!$D$89:$AE$89,0))*INDEX('Informacion del AEP'!$F$169:$F$187,MATCH(C304,'Informacion del AEP'!$C$169:$C$187,0))))</f>
        <v>0</v>
      </c>
      <c r="N304" s="209">
        <f>INDEX('Precio Mayorista'!$D$76:$D$94,MATCH('Pagos Mayoristas'!C304,'Precio Mayorista'!$G$76:$G$94,0))*INDEX('Informacion del AEP'!$F$90:$AE$108,MATCH('Pagos Mayoristas'!C304,'Informacion del AEP'!$C$90:$C$108,0),MATCH('Pagos Mayoristas'!$C$296,'Informacion del AEP'!$F$89:$AE$89,0))</f>
        <v>15166666.666666666</v>
      </c>
    </row>
    <row r="305" spans="3:14" x14ac:dyDescent="0.25">
      <c r="C305" s="5" t="str">
        <f>IF(Supuestos!$B$56="","",Supuestos!$B$56)</f>
        <v>Originación voz internacional Mundial Centroamérica</v>
      </c>
      <c r="D305" s="78">
        <f>INDEX('Informacion del AEP'!$F$90:$AE$108,MATCH('Pagos Mayoristas'!$C305,'Informacion del AEP'!$C$90:$C$108,0),MATCH('Pagos Mayoristas'!C$296,'Informacion del AEP'!$F$89:$AE$89,0))*INDEX('Hoja Auxiliar'!$D$40:$D$58,MATCH('Pagos Mayoristas'!$C305,'Hoja Auxiliar'!$C$40:$C$58,0))</f>
        <v>21000</v>
      </c>
      <c r="F305" s="238">
        <f>IF(C305="","",('Precio Mayorista'!$D$100*INDEX('Informacion del AEP'!$D$90:$AE$108,MATCH(C305,'Informacion del AEP'!$C$90:$C$108,0),MATCH($C$296,'Informacion del AEP'!$D$89:$AE$89,0))*INDEX('Informacion del AEP'!$F$169:$F$187,MATCH(C305,'Informacion del AEP'!$C$169:$C$187,0))))</f>
        <v>0</v>
      </c>
      <c r="N305" s="209">
        <f>INDEX('Precio Mayorista'!$D$76:$D$94,MATCH('Pagos Mayoristas'!C305,'Precio Mayorista'!$G$76:$G$94,0))*INDEX('Informacion del AEP'!$F$90:$AE$108,MATCH('Pagos Mayoristas'!C305,'Informacion del AEP'!$C$90:$C$108,0),MATCH('Pagos Mayoristas'!$C$296,'Informacion del AEP'!$F$89:$AE$89,0))</f>
        <v>1750000</v>
      </c>
    </row>
    <row r="306" spans="3:14" x14ac:dyDescent="0.25">
      <c r="C306" s="5" t="str">
        <f>IF(Supuestos!$B$57="","",Supuestos!$B$57)</f>
        <v>Originación voz internacional Mundial LATAM y Caribe</v>
      </c>
      <c r="D306" s="78">
        <f>INDEX('Informacion del AEP'!$F$90:$AE$108,MATCH('Pagos Mayoristas'!$C306,'Informacion del AEP'!$C$90:$C$108,0),MATCH('Pagos Mayoristas'!C$296,'Informacion del AEP'!$F$89:$AE$89,0))*INDEX('Hoja Auxiliar'!$D$40:$D$58,MATCH('Pagos Mayoristas'!$C306,'Hoja Auxiliar'!$C$40:$C$58,0))</f>
        <v>1399.9999999999998</v>
      </c>
      <c r="F306" s="238">
        <f>IF(C306="","",('Precio Mayorista'!$D$100*INDEX('Informacion del AEP'!$D$90:$AE$108,MATCH(C306,'Informacion del AEP'!$C$90:$C$108,0),MATCH($C$296,'Informacion del AEP'!$D$89:$AE$89,0))*INDEX('Informacion del AEP'!$F$169:$F$187,MATCH(C306,'Informacion del AEP'!$C$169:$C$187,0))))</f>
        <v>0</v>
      </c>
      <c r="N306" s="209">
        <f>INDEX('Precio Mayorista'!$D$76:$D$94,MATCH('Pagos Mayoristas'!C306,'Precio Mayorista'!$G$76:$G$94,0))*INDEX('Informacion del AEP'!$F$90:$AE$108,MATCH('Pagos Mayoristas'!C306,'Informacion del AEP'!$C$90:$C$108,0),MATCH('Pagos Mayoristas'!$C$296,'Informacion del AEP'!$F$89:$AE$89,0))</f>
        <v>233333.33333333331</v>
      </c>
    </row>
    <row r="307" spans="3:14" x14ac:dyDescent="0.25">
      <c r="C307" s="5" t="str">
        <f>IF(Supuestos!$B$58="","",Supuestos!$B$58)</f>
        <v>Originación voz internacional Europa</v>
      </c>
      <c r="D307" s="78">
        <f>INDEX('Informacion del AEP'!$F$90:$AE$108,MATCH('Pagos Mayoristas'!$C307,'Informacion del AEP'!$C$90:$C$108,0),MATCH('Pagos Mayoristas'!C$296,'Informacion del AEP'!$F$89:$AE$89,0))*INDEX('Hoja Auxiliar'!$D$40:$D$58,MATCH('Pagos Mayoristas'!$C307,'Hoja Auxiliar'!$C$40:$C$58,0))</f>
        <v>0</v>
      </c>
      <c r="F307" s="238">
        <f>IF(C307="","",('Precio Mayorista'!$D$100*INDEX('Informacion del AEP'!$D$90:$AE$108,MATCH(C307,'Informacion del AEP'!$C$90:$C$108,0),MATCH($C$296,'Informacion del AEP'!$D$89:$AE$89,0))*INDEX('Informacion del AEP'!$F$169:$F$187,MATCH(C307,'Informacion del AEP'!$C$169:$C$187,0))))</f>
        <v>0</v>
      </c>
      <c r="N307" s="209">
        <f>INDEX('Precio Mayorista'!$D$76:$D$94,MATCH('Pagos Mayoristas'!C307,'Precio Mayorista'!$G$76:$G$94,0))*INDEX('Informacion del AEP'!$F$90:$AE$108,MATCH('Pagos Mayoristas'!C307,'Informacion del AEP'!$C$90:$C$108,0),MATCH('Pagos Mayoristas'!$C$296,'Informacion del AEP'!$F$89:$AE$89,0))</f>
        <v>0</v>
      </c>
    </row>
    <row r="308" spans="3:14" x14ac:dyDescent="0.25">
      <c r="C308" s="5" t="str">
        <f>IF(Supuestos!$B$59="","",Supuestos!$B$59)</f>
        <v>Originación voz internacional Mundial Otros geográficos</v>
      </c>
      <c r="D308" s="78">
        <f>INDEX('Informacion del AEP'!$F$90:$AE$108,MATCH('Pagos Mayoristas'!$C308,'Informacion del AEP'!$C$90:$C$108,0),MATCH('Pagos Mayoristas'!C$296,'Informacion del AEP'!$F$89:$AE$89,0))*INDEX('Hoja Auxiliar'!$D$40:$D$58,MATCH('Pagos Mayoristas'!$C308,'Hoja Auxiliar'!$C$40:$C$58,0))</f>
        <v>70000</v>
      </c>
      <c r="F308" s="238">
        <f>IF(C308="","",('Precio Mayorista'!$D$100*INDEX('Informacion del AEP'!$D$90:$AE$108,MATCH(C308,'Informacion del AEP'!$C$90:$C$108,0),MATCH($C$296,'Informacion del AEP'!$D$89:$AE$89,0))*INDEX('Informacion del AEP'!$F$169:$F$187,MATCH(C308,'Informacion del AEP'!$C$169:$C$187,0))))</f>
        <v>0</v>
      </c>
      <c r="N308" s="209">
        <f>INDEX('Precio Mayorista'!$D$76:$D$94,MATCH('Pagos Mayoristas'!C308,'Precio Mayorista'!$G$76:$G$94,0))*INDEX('Informacion del AEP'!$F$90:$AE$108,MATCH('Pagos Mayoristas'!C308,'Informacion del AEP'!$C$90:$C$108,0),MATCH('Pagos Mayoristas'!$C$296,'Informacion del AEP'!$F$89:$AE$89,0))</f>
        <v>11666666.666666668</v>
      </c>
    </row>
    <row r="309" spans="3:14" x14ac:dyDescent="0.25">
      <c r="C309" s="5" t="str">
        <f>IF(Supuestos!$B$60="","",Supuestos!$B$60)</f>
        <v>Originación voz internacional Cuba</v>
      </c>
      <c r="D309" s="78">
        <f>INDEX('Informacion del AEP'!$F$90:$AE$108,MATCH('Pagos Mayoristas'!$C309,'Informacion del AEP'!$C$90:$C$108,0),MATCH('Pagos Mayoristas'!C$296,'Informacion del AEP'!$F$89:$AE$89,0))*INDEX('Hoja Auxiliar'!$D$40:$D$58,MATCH('Pagos Mayoristas'!$C309,'Hoja Auxiliar'!$C$40:$C$58,0))</f>
        <v>3500</v>
      </c>
      <c r="F309" s="238">
        <f>IF(C309="","",('Precio Mayorista'!$D$100*INDEX('Informacion del AEP'!$D$90:$AE$108,MATCH(C309,'Informacion del AEP'!$C$90:$C$108,0),MATCH($C$296,'Informacion del AEP'!$D$89:$AE$89,0))*INDEX('Informacion del AEP'!$F$169:$F$187,MATCH(C309,'Informacion del AEP'!$C$169:$C$187,0))))</f>
        <v>0</v>
      </c>
      <c r="N309" s="209">
        <f>INDEX('Precio Mayorista'!$D$76:$D$94,MATCH('Pagos Mayoristas'!C309,'Precio Mayorista'!$G$76:$G$94,0))*INDEX('Informacion del AEP'!$F$90:$AE$108,MATCH('Pagos Mayoristas'!C309,'Informacion del AEP'!$C$90:$C$108,0),MATCH('Pagos Mayoristas'!$C$296,'Informacion del AEP'!$F$89:$AE$89,0))</f>
        <v>1750000</v>
      </c>
    </row>
    <row r="310" spans="3:14" x14ac:dyDescent="0.25">
      <c r="C310" s="5" t="str">
        <f>IF(Supuestos!$B$61="","",Supuestos!$B$61)</f>
        <v>Originación voz Mundial destinos no geográficos</v>
      </c>
      <c r="D310" s="78">
        <f>INDEX('Informacion del AEP'!$F$90:$AE$108,MATCH('Pagos Mayoristas'!$C310,'Informacion del AEP'!$C$90:$C$108,0),MATCH('Pagos Mayoristas'!C$296,'Informacion del AEP'!$F$89:$AE$89,0))*INDEX('Hoja Auxiliar'!$D$40:$D$58,MATCH('Pagos Mayoristas'!$C310,'Hoja Auxiliar'!$C$40:$C$58,0))</f>
        <v>0</v>
      </c>
      <c r="F310" s="238">
        <f>IF(C310="","",('Precio Mayorista'!$D$100*INDEX('Informacion del AEP'!$D$90:$AE$108,MATCH(C310,'Informacion del AEP'!$C$90:$C$108,0),MATCH($C$296,'Informacion del AEP'!$D$89:$AE$89,0))*INDEX('Informacion del AEP'!$F$169:$F$187,MATCH(C310,'Informacion del AEP'!$C$169:$C$187,0))))</f>
        <v>0</v>
      </c>
      <c r="N310" s="209">
        <f>INDEX('Precio Mayorista'!$D$76:$D$94,MATCH('Pagos Mayoristas'!C310,'Precio Mayorista'!$G$76:$G$94,0))*INDEX('Informacion del AEP'!$F$90:$AE$108,MATCH('Pagos Mayoristas'!C310,'Informacion del AEP'!$C$90:$C$108,0),MATCH('Pagos Mayoristas'!$C$296,'Informacion del AEP'!$F$89:$AE$89,0))</f>
        <v>0</v>
      </c>
    </row>
    <row r="311" spans="3:14" x14ac:dyDescent="0.25">
      <c r="C311" s="5" t="str">
        <f>IF(Supuestos!$B$62="","",Supuestos!$B$62)</f>
        <v>Originación SMS on-net</v>
      </c>
      <c r="D311" s="78">
        <f>INDEX('Informacion del AEP'!$F$90:$AE$108,MATCH('Pagos Mayoristas'!$C311,'Informacion del AEP'!$C$90:$C$108,0),MATCH('Pagos Mayoristas'!C$296,'Informacion del AEP'!$F$89:$AE$89,0))*INDEX('Hoja Auxiliar'!$D$40:$D$58,MATCH('Pagos Mayoristas'!$C311,'Hoja Auxiliar'!$C$40:$C$58,0))</f>
        <v>7000000</v>
      </c>
      <c r="F311" s="238">
        <f>IF(C311="","",('Precio Mayorista'!$D$100*INDEX('Informacion del AEP'!$D$90:$AE$108,MATCH(C311,'Informacion del AEP'!$C$90:$C$108,0),MATCH($C$296,'Informacion del AEP'!$D$89:$AE$89,0))*INDEX('Informacion del AEP'!$F$169:$F$187,MATCH(C311,'Informacion del AEP'!$C$169:$C$187,0))))</f>
        <v>0</v>
      </c>
      <c r="N311" s="209">
        <f>INDEX('Precio Mayorista'!$D$76:$D$94,MATCH('Pagos Mayoristas'!C311,'Precio Mayorista'!$G$76:$G$94,0))*INDEX('Informacion del AEP'!$F$90:$AE$108,MATCH('Pagos Mayoristas'!C311,'Informacion del AEP'!$C$90:$C$108,0),MATCH('Pagos Mayoristas'!$C$296,'Informacion del AEP'!$F$89:$AE$89,0))</f>
        <v>0</v>
      </c>
    </row>
    <row r="312" spans="3:14" x14ac:dyDescent="0.25">
      <c r="C312" s="5" t="str">
        <f>IF(Supuestos!$B$63="","",Supuestos!$B$63)</f>
        <v>Originación SMS - off-net nacional</v>
      </c>
      <c r="D312" s="78">
        <f>INDEX('Informacion del AEP'!$F$90:$AE$108,MATCH('Pagos Mayoristas'!$C312,'Informacion del AEP'!$C$90:$C$108,0),MATCH('Pagos Mayoristas'!C$296,'Informacion del AEP'!$F$89:$AE$89,0))*INDEX('Hoja Auxiliar'!$D$40:$D$58,MATCH('Pagos Mayoristas'!$C312,'Hoja Auxiliar'!$C$40:$C$58,0))</f>
        <v>1750000</v>
      </c>
      <c r="F312" s="238">
        <f>IF(C312="","",('Precio Mayorista'!$D$100*INDEX('Informacion del AEP'!$D$90:$AE$108,MATCH(C312,'Informacion del AEP'!$C$90:$C$108,0),MATCH($C$296,'Informacion del AEP'!$D$89:$AE$89,0))*INDEX('Informacion del AEP'!$F$169:$F$187,MATCH(C312,'Informacion del AEP'!$C$169:$C$187,0))))</f>
        <v>0</v>
      </c>
      <c r="N312" s="209">
        <f>INDEX('Precio Mayorista'!$D$76:$D$94,MATCH('Pagos Mayoristas'!C312,'Precio Mayorista'!$G$76:$G$94,0))*INDEX('Informacion del AEP'!$F$90:$AE$108,MATCH('Pagos Mayoristas'!C312,'Informacion del AEP'!$C$90:$C$108,0),MATCH('Pagos Mayoristas'!$C$296,'Informacion del AEP'!$F$89:$AE$89,0))</f>
        <v>1081733.3333333335</v>
      </c>
    </row>
    <row r="313" spans="3:14" x14ac:dyDescent="0.25">
      <c r="C313" s="5" t="str">
        <f>IF(Supuestos!$B$64="","",Supuestos!$B$64)</f>
        <v>Originación SMS internacional (USA-Canadá)</v>
      </c>
      <c r="D313" s="78">
        <f>INDEX('Informacion del AEP'!$F$90:$AE$108,MATCH('Pagos Mayoristas'!$C313,'Informacion del AEP'!$C$90:$C$108,0),MATCH('Pagos Mayoristas'!C$296,'Informacion del AEP'!$F$89:$AE$89,0))*INDEX('Hoja Auxiliar'!$D$40:$D$58,MATCH('Pagos Mayoristas'!$C313,'Hoja Auxiliar'!$C$40:$C$58,0))</f>
        <v>349999.99999999994</v>
      </c>
      <c r="F313" s="238">
        <f>IF(C313="","",('Precio Mayorista'!$D$100*INDEX('Informacion del AEP'!$D$90:$AE$108,MATCH(C313,'Informacion del AEP'!$C$90:$C$108,0),MATCH($C$296,'Informacion del AEP'!$D$89:$AE$89,0))*INDEX('Informacion del AEP'!$F$169:$F$187,MATCH(C313,'Informacion del AEP'!$C$169:$C$187,0))))</f>
        <v>0</v>
      </c>
      <c r="N313" s="209">
        <f>INDEX('Precio Mayorista'!$D$76:$D$94,MATCH('Pagos Mayoristas'!C313,'Precio Mayorista'!$G$76:$G$94,0))*INDEX('Informacion del AEP'!$F$90:$AE$108,MATCH('Pagos Mayoristas'!C313,'Informacion del AEP'!$C$90:$C$108,0),MATCH('Pagos Mayoristas'!$C$296,'Informacion del AEP'!$F$89:$AE$89,0))</f>
        <v>11666666.666666666</v>
      </c>
    </row>
    <row r="314" spans="3:14" x14ac:dyDescent="0.25">
      <c r="C314" s="5" t="str">
        <f>IF(Supuestos!$B$65="","",Supuestos!$B$65)</f>
        <v>Originación SMS internacional (Resto del Mundo)</v>
      </c>
      <c r="D314" s="78">
        <f>INDEX('Informacion del AEP'!$F$90:$AE$108,MATCH('Pagos Mayoristas'!$C314,'Informacion del AEP'!$C$90:$C$108,0),MATCH('Pagos Mayoristas'!C$296,'Informacion del AEP'!$F$89:$AE$89,0))*INDEX('Hoja Auxiliar'!$D$40:$D$58,MATCH('Pagos Mayoristas'!$C314,'Hoja Auxiliar'!$C$40:$C$58,0))</f>
        <v>35000</v>
      </c>
      <c r="F314" s="238">
        <f>IF(C314="","",('Precio Mayorista'!$D$100*INDEX('Informacion del AEP'!$D$90:$AE$108,MATCH(C314,'Informacion del AEP'!$C$90:$C$108,0),MATCH($C$296,'Informacion del AEP'!$D$89:$AE$89,0))*INDEX('Informacion del AEP'!$F$169:$F$187,MATCH(C314,'Informacion del AEP'!$C$169:$C$187,0))))</f>
        <v>0</v>
      </c>
      <c r="N314" s="209">
        <f>INDEX('Precio Mayorista'!$D$76:$D$94,MATCH('Pagos Mayoristas'!C314,'Precio Mayorista'!$G$76:$G$94,0))*INDEX('Informacion del AEP'!$F$90:$AE$108,MATCH('Pagos Mayoristas'!C314,'Informacion del AEP'!$C$90:$C$108,0),MATCH('Pagos Mayoristas'!$C$296,'Informacion del AEP'!$F$89:$AE$89,0))</f>
        <v>1750000</v>
      </c>
    </row>
    <row r="315" spans="3:14" x14ac:dyDescent="0.25">
      <c r="C315" s="5" t="str">
        <f>IF(Supuestos!$B$66="","",Supuestos!$B$66)</f>
        <v>Otros servicios (incluyendo marcaciones especiales)</v>
      </c>
      <c r="D315" s="78">
        <f>INDEX('Informacion del AEP'!$F$90:$AE$108,MATCH('Pagos Mayoristas'!$C315,'Informacion del AEP'!$C$90:$C$108,0),MATCH('Pagos Mayoristas'!C$296,'Informacion del AEP'!$F$89:$AE$89,0))*INDEX('Hoja Auxiliar'!$D$40:$D$58,MATCH('Pagos Mayoristas'!$C315,'Hoja Auxiliar'!$C$40:$C$58,0))</f>
        <v>35000000</v>
      </c>
      <c r="F315" s="238">
        <f>IF(C315="","",('Precio Mayorista'!$D$100*INDEX('Informacion del AEP'!$D$90:$AE$108,MATCH(C315,'Informacion del AEP'!$C$90:$C$108,0),MATCH($C$296,'Informacion del AEP'!$D$89:$AE$89,0))*INDEX('Informacion del AEP'!$F$169:$F$187,MATCH(C315,'Informacion del AEP'!$C$169:$C$187,0))))</f>
        <v>0</v>
      </c>
      <c r="N315" s="209">
        <f>INDEX('Precio Mayorista'!$D$76:$D$94,MATCH('Pagos Mayoristas'!C315,'Precio Mayorista'!$G$76:$G$94,0))*INDEX('Informacion del AEP'!$F$90:$AE$108,MATCH('Pagos Mayoristas'!C315,'Informacion del AEP'!$C$90:$C$108,0),MATCH('Pagos Mayoristas'!$C$296,'Informacion del AEP'!$F$89:$AE$89,0))</f>
        <v>0</v>
      </c>
    </row>
    <row r="316" spans="3:14" x14ac:dyDescent="0.25">
      <c r="D316" s="78"/>
      <c r="F316" s="78"/>
      <c r="N316" s="209"/>
    </row>
    <row r="317" spans="3:14" ht="13" x14ac:dyDescent="0.3">
      <c r="C317" s="64"/>
      <c r="D317" s="78"/>
      <c r="F317" s="78"/>
      <c r="N317" s="209"/>
    </row>
    <row r="318" spans="3:14" x14ac:dyDescent="0.25">
      <c r="D318" s="78"/>
      <c r="F318" s="78"/>
    </row>
    <row r="319" spans="3:14" x14ac:dyDescent="0.25">
      <c r="D319" s="78"/>
    </row>
    <row r="320" spans="3:14" x14ac:dyDescent="0.25">
      <c r="D320" s="78"/>
    </row>
    <row r="321" spans="3:15" x14ac:dyDescent="0.25">
      <c r="D321" s="78"/>
    </row>
    <row r="322" spans="3:15" ht="13" x14ac:dyDescent="0.3">
      <c r="C322" s="74" t="str">
        <f>Supuestos!$B$82</f>
        <v>Telcel Pospago 5</v>
      </c>
      <c r="D322" s="77">
        <f>SUM(D323:D341)</f>
        <v>559664233.33333325</v>
      </c>
      <c r="E322" s="75"/>
      <c r="F322" s="77">
        <f>SUM(F323:F341)</f>
        <v>0</v>
      </c>
      <c r="G322" s="75"/>
      <c r="H322" s="77"/>
      <c r="I322" s="77">
        <f>INDEX('Informacion del AEP'!$H$31:$H$84,MATCH('Pagos Mayoristas'!C322,'Informacion del AEP'!$C$31:$C$84,0))*'Hoja Auxiliar'!$D$61</f>
        <v>215265</v>
      </c>
      <c r="J322" s="4"/>
      <c r="K322" s="77"/>
      <c r="L322" s="204">
        <f>$L$10*(INDEX('Informacion del AEP'!$F$12:$AE$12,MATCH('Pagos Mayoristas'!C322,'Informacion del AEP'!$F$11:$AE$11,0))/INDEX('Informacion del AEP'!$F$12:$AE$12,MATCH('Pagos Mayoristas'!$C$10,'Informacion del AEP'!$F$11:$AE$11,0)))</f>
        <v>54718.875502007926</v>
      </c>
      <c r="M322" s="204"/>
      <c r="N322" s="77">
        <f>SUM(N323:N341)</f>
        <v>80715600</v>
      </c>
      <c r="O322" s="204">
        <f>SUM(D322:N322)</f>
        <v>640649817.20883524</v>
      </c>
    </row>
    <row r="323" spans="3:15" x14ac:dyDescent="0.25">
      <c r="C323" s="5" t="str">
        <f>IF(Supuestos!$B$48="","",Supuestos!$B$48)</f>
        <v>Datos</v>
      </c>
      <c r="D323" s="78">
        <f>INDEX('Informacion del AEP'!$F$90:$AE$108,MATCH('Pagos Mayoristas'!$C323,'Informacion del AEP'!$C$90:$C$108,0),MATCH('Pagos Mayoristas'!C$322,'Informacion del AEP'!$F$89:$AE$89,0))*INDEX('Hoja Auxiliar'!$D$40:$D$58,MATCH('Pagos Mayoristas'!$C323,'Hoja Auxiliar'!$C$40:$C$58,0))</f>
        <v>296333333.33333331</v>
      </c>
      <c r="F323" s="238">
        <f>IF(C323="","",('Precio Mayorista'!$D$100*INDEX('Informacion del AEP'!$D$90:$AE$108,MATCH(C323,'Informacion del AEP'!$C$90:$C$108,0),MATCH($C$322,'Informacion del AEP'!$D$89:$AE$89,0))*INDEX('Informacion del AEP'!$F$169:$F$187,MATCH(C323,'Informacion del AEP'!$C$169:$C$187,0))))</f>
        <v>0</v>
      </c>
      <c r="N323" s="209">
        <f>INDEX('Precio Mayorista'!$D$76:$D$94,MATCH('Pagos Mayoristas'!C323,'Precio Mayorista'!$G$76:$G$94,0))*INDEX('Informacion del AEP'!$F$90:$AE$108,MATCH('Pagos Mayoristas'!C323,'Informacion del AEP'!$C$90:$C$108,0),MATCH('Pagos Mayoristas'!$C$322,'Informacion del AEP'!$F$89:$AE$89,0))</f>
        <v>0</v>
      </c>
    </row>
    <row r="324" spans="3:15" x14ac:dyDescent="0.25">
      <c r="C324" s="5" t="str">
        <f>IF(Supuestos!$B$49="","",Supuestos!$B$49)</f>
        <v>Originación voz on-net local</v>
      </c>
      <c r="D324" s="78">
        <f>INDEX('Informacion del AEP'!$F$90:$AE$108,MATCH('Pagos Mayoristas'!$C324,'Informacion del AEP'!$C$90:$C$108,0),MATCH('Pagos Mayoristas'!C$322,'Informacion del AEP'!$F$89:$AE$89,0))*INDEX('Hoja Auxiliar'!$D$40:$D$58,MATCH('Pagos Mayoristas'!$C324,'Hoja Auxiliar'!$C$40:$C$58,0))</f>
        <v>70000000</v>
      </c>
      <c r="F324" s="238">
        <f>IF(C324="","",('Precio Mayorista'!$D$100*INDEX('Informacion del AEP'!$D$90:$AE$108,MATCH(C324,'Informacion del AEP'!$C$90:$C$108,0),MATCH($C$322,'Informacion del AEP'!$D$89:$AE$89,0))*INDEX('Informacion del AEP'!$F$169:$F$187,MATCH(C324,'Informacion del AEP'!$C$169:$C$187,0))))</f>
        <v>0</v>
      </c>
      <c r="N324" s="209">
        <f>INDEX('Precio Mayorista'!$D$76:$D$94,MATCH('Pagos Mayoristas'!C324,'Precio Mayorista'!$G$76:$G$94,0))*INDEX('Informacion del AEP'!$F$90:$AE$108,MATCH('Pagos Mayoristas'!C324,'Informacion del AEP'!$C$90:$C$108,0),MATCH('Pagos Mayoristas'!$C$322,'Informacion del AEP'!$F$89:$AE$89,0))</f>
        <v>0</v>
      </c>
    </row>
    <row r="325" spans="3:15" x14ac:dyDescent="0.25">
      <c r="C325" s="5" t="str">
        <f>IF(Supuestos!$B$50="","",Supuestos!$B$50)</f>
        <v>Originación voz off-net móvil local</v>
      </c>
      <c r="D325" s="78">
        <f>INDEX('Informacion del AEP'!$F$90:$AE$108,MATCH('Pagos Mayoristas'!$C325,'Informacion del AEP'!$C$90:$C$108,0),MATCH('Pagos Mayoristas'!C$322,'Informacion del AEP'!$F$89:$AE$89,0))*INDEX('Hoja Auxiliar'!$D$40:$D$58,MATCH('Pagos Mayoristas'!$C325,'Hoja Auxiliar'!$C$40:$C$58,0))</f>
        <v>14000000</v>
      </c>
      <c r="F325" s="238">
        <f>IF(C325="","",('Precio Mayorista'!$D$100*INDEX('Informacion del AEP'!$D$90:$AE$108,MATCH(C325,'Informacion del AEP'!$C$90:$C$108,0),MATCH($C$322,'Informacion del AEP'!$D$89:$AE$89,0))*INDEX('Informacion del AEP'!$F$169:$F$187,MATCH(C325,'Informacion del AEP'!$C$169:$C$187,0))))</f>
        <v>0</v>
      </c>
      <c r="N325" s="209">
        <f>INDEX('Precio Mayorista'!$D$76:$D$94,MATCH('Pagos Mayoristas'!C325,'Precio Mayorista'!$G$76:$G$94,0))*INDEX('Informacion del AEP'!$F$90:$AE$108,MATCH('Pagos Mayoristas'!C325,'Informacion del AEP'!$C$90:$C$108,0),MATCH('Pagos Mayoristas'!$C$322,'Informacion del AEP'!$F$89:$AE$89,0))</f>
        <v>19703133.333333336</v>
      </c>
    </row>
    <row r="326" spans="3:15" x14ac:dyDescent="0.25">
      <c r="C326" s="5" t="str">
        <f>IF(Supuestos!$B$51="","",Supuestos!$B$51)</f>
        <v>Originación voz off-net fijo local</v>
      </c>
      <c r="D326" s="78">
        <f>INDEX('Informacion del AEP'!$F$90:$AE$108,MATCH('Pagos Mayoristas'!$C326,'Informacion del AEP'!$C$90:$C$108,0),MATCH('Pagos Mayoristas'!C$322,'Informacion del AEP'!$F$89:$AE$89,0))*INDEX('Hoja Auxiliar'!$D$40:$D$58,MATCH('Pagos Mayoristas'!$C326,'Hoja Auxiliar'!$C$40:$C$58,0))</f>
        <v>7000000</v>
      </c>
      <c r="F326" s="238">
        <f>IF(C326="","",('Precio Mayorista'!$D$100*INDEX('Informacion del AEP'!$D$90:$AE$108,MATCH(C326,'Informacion del AEP'!$C$90:$C$108,0),MATCH($C$322,'Informacion del AEP'!$D$89:$AE$89,0))*INDEX('Informacion del AEP'!$F$169:$F$187,MATCH(C326,'Informacion del AEP'!$C$169:$C$187,0))))</f>
        <v>0</v>
      </c>
      <c r="N326" s="209">
        <f>INDEX('Precio Mayorista'!$D$76:$D$94,MATCH('Pagos Mayoristas'!C326,'Precio Mayorista'!$G$76:$G$94,0))*INDEX('Informacion del AEP'!$F$90:$AE$108,MATCH('Pagos Mayoristas'!C326,'Informacion del AEP'!$C$90:$C$108,0),MATCH('Pagos Mayoristas'!$C$322,'Informacion del AEP'!$F$89:$AE$89,0))</f>
        <v>780033.33333333337</v>
      </c>
    </row>
    <row r="327" spans="3:15" x14ac:dyDescent="0.25">
      <c r="C327" s="5" t="str">
        <f>IF(Supuestos!$B$52="","",Supuestos!$B$52)</f>
        <v>Originación voz on-net LDN</v>
      </c>
      <c r="D327" s="78">
        <f>INDEX('Informacion del AEP'!$F$90:$AE$108,MATCH('Pagos Mayoristas'!$C327,'Informacion del AEP'!$C$90:$C$108,0),MATCH('Pagos Mayoristas'!C$322,'Informacion del AEP'!$F$89:$AE$89,0))*INDEX('Hoja Auxiliar'!$D$40:$D$58,MATCH('Pagos Mayoristas'!$C327,'Hoja Auxiliar'!$C$40:$C$58,0))</f>
        <v>105000000</v>
      </c>
      <c r="F327" s="238">
        <f>IF(C327="","",('Precio Mayorista'!$D$100*INDEX('Informacion del AEP'!$D$90:$AE$108,MATCH(C327,'Informacion del AEP'!$C$90:$C$108,0),MATCH($C$322,'Informacion del AEP'!$D$89:$AE$89,0))*INDEX('Informacion del AEP'!$F$169:$F$187,MATCH(C327,'Informacion del AEP'!$C$169:$C$187,0))))</f>
        <v>0</v>
      </c>
      <c r="N327" s="209">
        <f>INDEX('Precio Mayorista'!$D$76:$D$94,MATCH('Pagos Mayoristas'!C327,'Precio Mayorista'!$G$76:$G$94,0))*INDEX('Informacion del AEP'!$F$90:$AE$108,MATCH('Pagos Mayoristas'!C327,'Informacion del AEP'!$C$90:$C$108,0),MATCH('Pagos Mayoristas'!$C$322,'Informacion del AEP'!$F$89:$AE$89,0))</f>
        <v>0</v>
      </c>
    </row>
    <row r="328" spans="3:15" x14ac:dyDescent="0.25">
      <c r="C328" s="5" t="str">
        <f>IF(Supuestos!$B$53="","",Supuestos!$B$53)</f>
        <v>Originación voz off-net móvil LDN</v>
      </c>
      <c r="D328" s="78">
        <f>INDEX('Informacion del AEP'!$F$90:$AE$108,MATCH('Pagos Mayoristas'!$C328,'Informacion del AEP'!$C$90:$C$108,0),MATCH('Pagos Mayoristas'!C$322,'Informacion del AEP'!$F$89:$AE$89,0))*INDEX('Hoja Auxiliar'!$D$40:$D$58,MATCH('Pagos Mayoristas'!$C328,'Hoja Auxiliar'!$C$40:$C$58,0))</f>
        <v>10499999.999999998</v>
      </c>
      <c r="F328" s="238">
        <f>IF(C328="","",('Precio Mayorista'!$D$100*INDEX('Informacion del AEP'!$D$90:$AE$108,MATCH(C328,'Informacion del AEP'!$C$90:$C$108,0),MATCH($C$322,'Informacion del AEP'!$D$89:$AE$89,0))*INDEX('Informacion del AEP'!$F$169:$F$187,MATCH(C328,'Informacion del AEP'!$C$169:$C$187,0))))</f>
        <v>0</v>
      </c>
      <c r="N328" s="209">
        <f>INDEX('Precio Mayorista'!$D$76:$D$94,MATCH('Pagos Mayoristas'!C328,'Precio Mayorista'!$G$76:$G$94,0))*INDEX('Informacion del AEP'!$F$90:$AE$108,MATCH('Pagos Mayoristas'!C328,'Informacion del AEP'!$C$90:$C$108,0),MATCH('Pagos Mayoristas'!$C$322,'Informacion del AEP'!$F$89:$AE$89,0))</f>
        <v>14777349.999999998</v>
      </c>
    </row>
    <row r="329" spans="3:15" x14ac:dyDescent="0.25">
      <c r="C329" s="5" t="str">
        <f>IF(Supuestos!$B$54="","",Supuestos!$B$54)</f>
        <v>Originación voz off-net fijo LDN</v>
      </c>
      <c r="D329" s="78">
        <f>INDEX('Informacion del AEP'!$F$90:$AE$108,MATCH('Pagos Mayoristas'!$C329,'Informacion del AEP'!$C$90:$C$108,0),MATCH('Pagos Mayoristas'!C$322,'Informacion del AEP'!$F$89:$AE$89,0))*INDEX('Hoja Auxiliar'!$D$40:$D$58,MATCH('Pagos Mayoristas'!$C329,'Hoja Auxiliar'!$C$40:$C$58,0))</f>
        <v>3500000</v>
      </c>
      <c r="F329" s="238">
        <f>IF(C329="","",('Precio Mayorista'!$D$100*INDEX('Informacion del AEP'!$D$90:$AE$108,MATCH(C329,'Informacion del AEP'!$C$90:$C$108,0),MATCH($C$322,'Informacion del AEP'!$D$89:$AE$89,0))*INDEX('Informacion del AEP'!$F$169:$F$187,MATCH(C329,'Informacion del AEP'!$C$169:$C$187,0))))</f>
        <v>0</v>
      </c>
      <c r="N329" s="209">
        <f>INDEX('Precio Mayorista'!$D$76:$D$94,MATCH('Pagos Mayoristas'!C329,'Precio Mayorista'!$G$76:$G$94,0))*INDEX('Informacion del AEP'!$F$90:$AE$108,MATCH('Pagos Mayoristas'!C329,'Informacion del AEP'!$C$90:$C$108,0),MATCH('Pagos Mayoristas'!$C$322,'Informacion del AEP'!$F$89:$AE$89,0))</f>
        <v>390016.66666666669</v>
      </c>
    </row>
    <row r="330" spans="3:15" x14ac:dyDescent="0.25">
      <c r="C330" s="5" t="str">
        <f>IF(Supuestos!$B$55="","",Supuestos!$B$55)</f>
        <v>Originación voz internacional USA-Canadá</v>
      </c>
      <c r="D330" s="78">
        <f>INDEX('Informacion del AEP'!$F$90:$AE$108,MATCH('Pagos Mayoristas'!$C330,'Informacion del AEP'!$C$90:$C$108,0),MATCH('Pagos Mayoristas'!C$322,'Informacion del AEP'!$F$89:$AE$89,0))*INDEX('Hoja Auxiliar'!$D$40:$D$58,MATCH('Pagos Mayoristas'!$C330,'Hoja Auxiliar'!$C$40:$C$58,0))</f>
        <v>9099999.9999999981</v>
      </c>
      <c r="F330" s="238">
        <f>IF(C330="","",('Precio Mayorista'!$D$100*INDEX('Informacion del AEP'!$D$90:$AE$108,MATCH(C330,'Informacion del AEP'!$C$90:$C$108,0),MATCH($C$322,'Informacion del AEP'!$D$89:$AE$89,0))*INDEX('Informacion del AEP'!$F$169:$F$187,MATCH(C330,'Informacion del AEP'!$C$169:$C$187,0))))</f>
        <v>0</v>
      </c>
      <c r="N330" s="209">
        <f>INDEX('Precio Mayorista'!$D$76:$D$94,MATCH('Pagos Mayoristas'!C330,'Precio Mayorista'!$G$76:$G$94,0))*INDEX('Informacion del AEP'!$F$90:$AE$108,MATCH('Pagos Mayoristas'!C330,'Informacion del AEP'!$C$90:$C$108,0),MATCH('Pagos Mayoristas'!$C$322,'Informacion del AEP'!$F$89:$AE$89,0))</f>
        <v>15166666.666666666</v>
      </c>
    </row>
    <row r="331" spans="3:15" x14ac:dyDescent="0.25">
      <c r="C331" s="5" t="str">
        <f>IF(Supuestos!$B$56="","",Supuestos!$B$56)</f>
        <v>Originación voz internacional Mundial Centroamérica</v>
      </c>
      <c r="D331" s="78">
        <f>INDEX('Informacion del AEP'!$F$90:$AE$108,MATCH('Pagos Mayoristas'!$C331,'Informacion del AEP'!$C$90:$C$108,0),MATCH('Pagos Mayoristas'!C$322,'Informacion del AEP'!$F$89:$AE$89,0))*INDEX('Hoja Auxiliar'!$D$40:$D$58,MATCH('Pagos Mayoristas'!$C331,'Hoja Auxiliar'!$C$40:$C$58,0))</f>
        <v>21000</v>
      </c>
      <c r="F331" s="238">
        <f>IF(C331="","",('Precio Mayorista'!$D$100*INDEX('Informacion del AEP'!$D$90:$AE$108,MATCH(C331,'Informacion del AEP'!$C$90:$C$108,0),MATCH($C$322,'Informacion del AEP'!$D$89:$AE$89,0))*INDEX('Informacion del AEP'!$F$169:$F$187,MATCH(C331,'Informacion del AEP'!$C$169:$C$187,0))))</f>
        <v>0</v>
      </c>
      <c r="N331" s="209">
        <f>INDEX('Precio Mayorista'!$D$76:$D$94,MATCH('Pagos Mayoristas'!C331,'Precio Mayorista'!$G$76:$G$94,0))*INDEX('Informacion del AEP'!$F$90:$AE$108,MATCH('Pagos Mayoristas'!C331,'Informacion del AEP'!$C$90:$C$108,0),MATCH('Pagos Mayoristas'!$C$322,'Informacion del AEP'!$F$89:$AE$89,0))</f>
        <v>1750000</v>
      </c>
    </row>
    <row r="332" spans="3:15" x14ac:dyDescent="0.25">
      <c r="C332" s="5" t="str">
        <f>IF(Supuestos!$B$57="","",Supuestos!$B$57)</f>
        <v>Originación voz internacional Mundial LATAM y Caribe</v>
      </c>
      <c r="D332" s="78">
        <f>INDEX('Informacion del AEP'!$F$90:$AE$108,MATCH('Pagos Mayoristas'!$C332,'Informacion del AEP'!$C$90:$C$108,0),MATCH('Pagos Mayoristas'!C$322,'Informacion del AEP'!$F$89:$AE$89,0))*INDEX('Hoja Auxiliar'!$D$40:$D$58,MATCH('Pagos Mayoristas'!$C332,'Hoja Auxiliar'!$C$40:$C$58,0))</f>
        <v>1399.9999999999998</v>
      </c>
      <c r="F332" s="238">
        <f>IF(C332="","",('Precio Mayorista'!$D$100*INDEX('Informacion del AEP'!$D$90:$AE$108,MATCH(C332,'Informacion del AEP'!$C$90:$C$108,0),MATCH($C$322,'Informacion del AEP'!$D$89:$AE$89,0))*INDEX('Informacion del AEP'!$F$169:$F$187,MATCH(C332,'Informacion del AEP'!$C$169:$C$187,0))))</f>
        <v>0</v>
      </c>
      <c r="N332" s="209">
        <f>INDEX('Precio Mayorista'!$D$76:$D$94,MATCH('Pagos Mayoristas'!C332,'Precio Mayorista'!$G$76:$G$94,0))*INDEX('Informacion del AEP'!$F$90:$AE$108,MATCH('Pagos Mayoristas'!C332,'Informacion del AEP'!$C$90:$C$108,0),MATCH('Pagos Mayoristas'!$C$322,'Informacion del AEP'!$F$89:$AE$89,0))</f>
        <v>233333.33333333331</v>
      </c>
    </row>
    <row r="333" spans="3:15" x14ac:dyDescent="0.25">
      <c r="C333" s="5" t="str">
        <f>IF(Supuestos!$B$58="","",Supuestos!$B$58)</f>
        <v>Originación voz internacional Europa</v>
      </c>
      <c r="D333" s="78">
        <f>INDEX('Informacion del AEP'!$F$90:$AE$108,MATCH('Pagos Mayoristas'!$C333,'Informacion del AEP'!$C$90:$C$108,0),MATCH('Pagos Mayoristas'!C$322,'Informacion del AEP'!$F$89:$AE$89,0))*INDEX('Hoja Auxiliar'!$D$40:$D$58,MATCH('Pagos Mayoristas'!$C333,'Hoja Auxiliar'!$C$40:$C$58,0))</f>
        <v>0</v>
      </c>
      <c r="F333" s="238">
        <f>IF(C333="","",('Precio Mayorista'!$D$100*INDEX('Informacion del AEP'!$D$90:$AE$108,MATCH(C333,'Informacion del AEP'!$C$90:$C$108,0),MATCH($C$322,'Informacion del AEP'!$D$89:$AE$89,0))*INDEX('Informacion del AEP'!$F$169:$F$187,MATCH(C333,'Informacion del AEP'!$C$169:$C$187,0))))</f>
        <v>0</v>
      </c>
      <c r="N333" s="209">
        <f>INDEX('Precio Mayorista'!$D$76:$D$94,MATCH('Pagos Mayoristas'!C333,'Precio Mayorista'!$G$76:$G$94,0))*INDEX('Informacion del AEP'!$F$90:$AE$108,MATCH('Pagos Mayoristas'!C333,'Informacion del AEP'!$C$90:$C$108,0),MATCH('Pagos Mayoristas'!$C$322,'Informacion del AEP'!$F$89:$AE$89,0))</f>
        <v>0</v>
      </c>
    </row>
    <row r="334" spans="3:15" x14ac:dyDescent="0.25">
      <c r="C334" s="5" t="str">
        <f>IF(Supuestos!$B$59="","",Supuestos!$B$59)</f>
        <v>Originación voz internacional Mundial Otros geográficos</v>
      </c>
      <c r="D334" s="78">
        <f>INDEX('Informacion del AEP'!$F$90:$AE$108,MATCH('Pagos Mayoristas'!$C334,'Informacion del AEP'!$C$90:$C$108,0),MATCH('Pagos Mayoristas'!C$322,'Informacion del AEP'!$F$89:$AE$89,0))*INDEX('Hoja Auxiliar'!$D$40:$D$58,MATCH('Pagos Mayoristas'!$C334,'Hoja Auxiliar'!$C$40:$C$58,0))</f>
        <v>70000</v>
      </c>
      <c r="F334" s="238">
        <f>IF(C334="","",('Precio Mayorista'!$D$100*INDEX('Informacion del AEP'!$D$90:$AE$108,MATCH(C334,'Informacion del AEP'!$C$90:$C$108,0),MATCH($C$322,'Informacion del AEP'!$D$89:$AE$89,0))*INDEX('Informacion del AEP'!$F$169:$F$187,MATCH(C334,'Informacion del AEP'!$C$169:$C$187,0))))</f>
        <v>0</v>
      </c>
      <c r="N334" s="209">
        <f>INDEX('Precio Mayorista'!$D$76:$D$94,MATCH('Pagos Mayoristas'!C334,'Precio Mayorista'!$G$76:$G$94,0))*INDEX('Informacion del AEP'!$F$90:$AE$108,MATCH('Pagos Mayoristas'!C334,'Informacion del AEP'!$C$90:$C$108,0),MATCH('Pagos Mayoristas'!$C$322,'Informacion del AEP'!$F$89:$AE$89,0))</f>
        <v>11666666.666666668</v>
      </c>
    </row>
    <row r="335" spans="3:15" x14ac:dyDescent="0.25">
      <c r="C335" s="5" t="str">
        <f>IF(Supuestos!$B$60="","",Supuestos!$B$60)</f>
        <v>Originación voz internacional Cuba</v>
      </c>
      <c r="D335" s="78">
        <f>INDEX('Informacion del AEP'!$F$90:$AE$108,MATCH('Pagos Mayoristas'!$C335,'Informacion del AEP'!$C$90:$C$108,0),MATCH('Pagos Mayoristas'!C$322,'Informacion del AEP'!$F$89:$AE$89,0))*INDEX('Hoja Auxiliar'!$D$40:$D$58,MATCH('Pagos Mayoristas'!$C335,'Hoja Auxiliar'!$C$40:$C$58,0))</f>
        <v>3500</v>
      </c>
      <c r="F335" s="238">
        <f>IF(C335="","",('Precio Mayorista'!$D$100*INDEX('Informacion del AEP'!$D$90:$AE$108,MATCH(C335,'Informacion del AEP'!$C$90:$C$108,0),MATCH($C$322,'Informacion del AEP'!$D$89:$AE$89,0))*INDEX('Informacion del AEP'!$F$169:$F$187,MATCH(C335,'Informacion del AEP'!$C$169:$C$187,0))))</f>
        <v>0</v>
      </c>
      <c r="N335" s="209">
        <f>INDEX('Precio Mayorista'!$D$76:$D$94,MATCH('Pagos Mayoristas'!C335,'Precio Mayorista'!$G$76:$G$94,0))*INDEX('Informacion del AEP'!$F$90:$AE$108,MATCH('Pagos Mayoristas'!C335,'Informacion del AEP'!$C$90:$C$108,0),MATCH('Pagos Mayoristas'!$C$322,'Informacion del AEP'!$F$89:$AE$89,0))</f>
        <v>1750000</v>
      </c>
    </row>
    <row r="336" spans="3:15" x14ac:dyDescent="0.25">
      <c r="C336" s="5" t="str">
        <f>IF(Supuestos!$B$61="","",Supuestos!$B$61)</f>
        <v>Originación voz Mundial destinos no geográficos</v>
      </c>
      <c r="D336" s="78">
        <f>INDEX('Informacion del AEP'!$F$90:$AE$108,MATCH('Pagos Mayoristas'!$C336,'Informacion del AEP'!$C$90:$C$108,0),MATCH('Pagos Mayoristas'!C$322,'Informacion del AEP'!$F$89:$AE$89,0))*INDEX('Hoja Auxiliar'!$D$40:$D$58,MATCH('Pagos Mayoristas'!$C336,'Hoja Auxiliar'!$C$40:$C$58,0))</f>
        <v>0</v>
      </c>
      <c r="F336" s="238">
        <f>IF(C336="","",('Precio Mayorista'!$D$100*INDEX('Informacion del AEP'!$D$90:$AE$108,MATCH(C336,'Informacion del AEP'!$C$90:$C$108,0),MATCH($C$322,'Informacion del AEP'!$D$89:$AE$89,0))*INDEX('Informacion del AEP'!$F$169:$F$187,MATCH(C336,'Informacion del AEP'!$C$169:$C$187,0))))</f>
        <v>0</v>
      </c>
      <c r="N336" s="209">
        <f>INDEX('Precio Mayorista'!$D$76:$D$94,MATCH('Pagos Mayoristas'!C336,'Precio Mayorista'!$G$76:$G$94,0))*INDEX('Informacion del AEP'!$F$90:$AE$108,MATCH('Pagos Mayoristas'!C336,'Informacion del AEP'!$C$90:$C$108,0),MATCH('Pagos Mayoristas'!$C$322,'Informacion del AEP'!$F$89:$AE$89,0))</f>
        <v>0</v>
      </c>
    </row>
    <row r="337" spans="3:15" x14ac:dyDescent="0.25">
      <c r="C337" s="5" t="str">
        <f>IF(Supuestos!$B$62="","",Supuestos!$B$62)</f>
        <v>Originación SMS on-net</v>
      </c>
      <c r="D337" s="78">
        <f>INDEX('Informacion del AEP'!$F$90:$AE$108,MATCH('Pagos Mayoristas'!$C337,'Informacion del AEP'!$C$90:$C$108,0),MATCH('Pagos Mayoristas'!C$322,'Informacion del AEP'!$F$89:$AE$89,0))*INDEX('Hoja Auxiliar'!$D$40:$D$58,MATCH('Pagos Mayoristas'!$C337,'Hoja Auxiliar'!$C$40:$C$58,0))</f>
        <v>7000000</v>
      </c>
      <c r="F337" s="238">
        <f>IF(C337="","",('Precio Mayorista'!$D$100*INDEX('Informacion del AEP'!$D$90:$AE$108,MATCH(C337,'Informacion del AEP'!$C$90:$C$108,0),MATCH($C$322,'Informacion del AEP'!$D$89:$AE$89,0))*INDEX('Informacion del AEP'!$F$169:$F$187,MATCH(C337,'Informacion del AEP'!$C$169:$C$187,0))))</f>
        <v>0</v>
      </c>
      <c r="N337" s="209">
        <f>INDEX('Precio Mayorista'!$D$76:$D$94,MATCH('Pagos Mayoristas'!C337,'Precio Mayorista'!$G$76:$G$94,0))*INDEX('Informacion del AEP'!$F$90:$AE$108,MATCH('Pagos Mayoristas'!C337,'Informacion del AEP'!$C$90:$C$108,0),MATCH('Pagos Mayoristas'!$C$322,'Informacion del AEP'!$F$89:$AE$89,0))</f>
        <v>0</v>
      </c>
    </row>
    <row r="338" spans="3:15" x14ac:dyDescent="0.25">
      <c r="C338" s="5" t="str">
        <f>IF(Supuestos!$B$63="","",Supuestos!$B$63)</f>
        <v>Originación SMS - off-net nacional</v>
      </c>
      <c r="D338" s="78">
        <f>INDEX('Informacion del AEP'!$F$90:$AE$108,MATCH('Pagos Mayoristas'!$C338,'Informacion del AEP'!$C$90:$C$108,0),MATCH('Pagos Mayoristas'!C$322,'Informacion del AEP'!$F$89:$AE$89,0))*INDEX('Hoja Auxiliar'!$D$40:$D$58,MATCH('Pagos Mayoristas'!$C338,'Hoja Auxiliar'!$C$40:$C$58,0))</f>
        <v>1750000</v>
      </c>
      <c r="F338" s="238">
        <f>IF(C338="","",('Precio Mayorista'!$D$100*INDEX('Informacion del AEP'!$D$90:$AE$108,MATCH(C338,'Informacion del AEP'!$C$90:$C$108,0),MATCH($C$322,'Informacion del AEP'!$D$89:$AE$89,0))*INDEX('Informacion del AEP'!$F$169:$F$187,MATCH(C338,'Informacion del AEP'!$C$169:$C$187,0))))</f>
        <v>0</v>
      </c>
      <c r="N338" s="209">
        <f>INDEX('Precio Mayorista'!$D$76:$D$94,MATCH('Pagos Mayoristas'!C338,'Precio Mayorista'!$G$76:$G$94,0))*INDEX('Informacion del AEP'!$F$90:$AE$108,MATCH('Pagos Mayoristas'!C338,'Informacion del AEP'!$C$90:$C$108,0),MATCH('Pagos Mayoristas'!$C$322,'Informacion del AEP'!$F$89:$AE$89,0))</f>
        <v>1081733.3333333335</v>
      </c>
    </row>
    <row r="339" spans="3:15" x14ac:dyDescent="0.25">
      <c r="C339" s="5" t="str">
        <f>IF(Supuestos!$B$64="","",Supuestos!$B$64)</f>
        <v>Originación SMS internacional (USA-Canadá)</v>
      </c>
      <c r="D339" s="78">
        <f>INDEX('Informacion del AEP'!$F$90:$AE$108,MATCH('Pagos Mayoristas'!$C339,'Informacion del AEP'!$C$90:$C$108,0),MATCH('Pagos Mayoristas'!C$322,'Informacion del AEP'!$F$89:$AE$89,0))*INDEX('Hoja Auxiliar'!$D$40:$D$58,MATCH('Pagos Mayoristas'!$C339,'Hoja Auxiliar'!$C$40:$C$58,0))</f>
        <v>349999.99999999994</v>
      </c>
      <c r="F339" s="238">
        <f>IF(C339="","",('Precio Mayorista'!$D$100*INDEX('Informacion del AEP'!$D$90:$AE$108,MATCH(C339,'Informacion del AEP'!$C$90:$C$108,0),MATCH($C$322,'Informacion del AEP'!$D$89:$AE$89,0))*INDEX('Informacion del AEP'!$F$169:$F$187,MATCH(C339,'Informacion del AEP'!$C$169:$C$187,0))))</f>
        <v>0</v>
      </c>
      <c r="N339" s="209">
        <f>INDEX('Precio Mayorista'!$D$76:$D$94,MATCH('Pagos Mayoristas'!C339,'Precio Mayorista'!$G$76:$G$94,0))*INDEX('Informacion del AEP'!$F$90:$AE$108,MATCH('Pagos Mayoristas'!C339,'Informacion del AEP'!$C$90:$C$108,0),MATCH('Pagos Mayoristas'!$C$322,'Informacion del AEP'!$F$89:$AE$89,0))</f>
        <v>11666666.666666666</v>
      </c>
    </row>
    <row r="340" spans="3:15" x14ac:dyDescent="0.25">
      <c r="C340" s="5" t="str">
        <f>IF(Supuestos!$B$65="","",Supuestos!$B$65)</f>
        <v>Originación SMS internacional (Resto del Mundo)</v>
      </c>
      <c r="D340" s="78">
        <f>INDEX('Informacion del AEP'!$F$90:$AE$108,MATCH('Pagos Mayoristas'!$C340,'Informacion del AEP'!$C$90:$C$108,0),MATCH('Pagos Mayoristas'!C$322,'Informacion del AEP'!$F$89:$AE$89,0))*INDEX('Hoja Auxiliar'!$D$40:$D$58,MATCH('Pagos Mayoristas'!$C340,'Hoja Auxiliar'!$C$40:$C$58,0))</f>
        <v>35000</v>
      </c>
      <c r="F340" s="238">
        <f>IF(C340="","",('Precio Mayorista'!$D$100*INDEX('Informacion del AEP'!$D$90:$AE$108,MATCH(C340,'Informacion del AEP'!$C$90:$C$108,0),MATCH($C$322,'Informacion del AEP'!$D$89:$AE$89,0))*INDEX('Informacion del AEP'!$F$169:$F$187,MATCH(C340,'Informacion del AEP'!$C$169:$C$187,0))))</f>
        <v>0</v>
      </c>
      <c r="N340" s="209">
        <f>INDEX('Precio Mayorista'!$D$76:$D$94,MATCH('Pagos Mayoristas'!C340,'Precio Mayorista'!$G$76:$G$94,0))*INDEX('Informacion del AEP'!$F$90:$AE$108,MATCH('Pagos Mayoristas'!C340,'Informacion del AEP'!$C$90:$C$108,0),MATCH('Pagos Mayoristas'!$C$322,'Informacion del AEP'!$F$89:$AE$89,0))</f>
        <v>1750000</v>
      </c>
    </row>
    <row r="341" spans="3:15" x14ac:dyDescent="0.25">
      <c r="C341" s="5" t="str">
        <f>IF(Supuestos!$B$66="","",Supuestos!$B$66)</f>
        <v>Otros servicios (incluyendo marcaciones especiales)</v>
      </c>
      <c r="D341" s="78">
        <f>INDEX('Informacion del AEP'!$F$90:$AE$108,MATCH('Pagos Mayoristas'!$C341,'Informacion del AEP'!$C$90:$C$108,0),MATCH('Pagos Mayoristas'!C$322,'Informacion del AEP'!$F$89:$AE$89,0))*INDEX('Hoja Auxiliar'!$D$40:$D$58,MATCH('Pagos Mayoristas'!$C341,'Hoja Auxiliar'!$C$40:$C$58,0))</f>
        <v>35000000</v>
      </c>
      <c r="F341" s="238">
        <f>IF(C341="","",('Precio Mayorista'!$D$100*INDEX('Informacion del AEP'!$D$90:$AE$108,MATCH(C341,'Informacion del AEP'!$C$90:$C$108,0),MATCH($C$322,'Informacion del AEP'!$D$89:$AE$89,0))*INDEX('Informacion del AEP'!$F$169:$F$187,MATCH(C341,'Informacion del AEP'!$C$169:$C$187,0))))</f>
        <v>0</v>
      </c>
      <c r="N341" s="209">
        <f>INDEX('Precio Mayorista'!$D$76:$D$94,MATCH('Pagos Mayoristas'!C341,'Precio Mayorista'!$G$76:$G$94,0))*INDEX('Informacion del AEP'!$F$90:$AE$108,MATCH('Pagos Mayoristas'!C341,'Informacion del AEP'!$C$90:$C$108,0),MATCH('Pagos Mayoristas'!$C$322,'Informacion del AEP'!$F$89:$AE$89,0))</f>
        <v>0</v>
      </c>
    </row>
    <row r="342" spans="3:15" x14ac:dyDescent="0.25">
      <c r="D342" s="78"/>
      <c r="F342" s="78"/>
    </row>
    <row r="343" spans="3:15" ht="13" x14ac:dyDescent="0.3">
      <c r="C343" s="64"/>
      <c r="D343" s="78"/>
      <c r="F343" s="78"/>
    </row>
    <row r="344" spans="3:15" x14ac:dyDescent="0.25">
      <c r="D344" s="78"/>
      <c r="F344" s="78"/>
    </row>
    <row r="345" spans="3:15" x14ac:dyDescent="0.25">
      <c r="D345" s="78"/>
      <c r="F345" s="78"/>
    </row>
    <row r="346" spans="3:15" x14ac:dyDescent="0.25">
      <c r="D346" s="78"/>
    </row>
    <row r="347" spans="3:15" x14ac:dyDescent="0.25">
      <c r="D347" s="78"/>
    </row>
    <row r="348" spans="3:15" ht="13" x14ac:dyDescent="0.3">
      <c r="C348" s="74" t="str">
        <f>Supuestos!$B$83</f>
        <v>Telcel Pospago 3</v>
      </c>
      <c r="D348" s="77">
        <f>SUM(D349:D367)</f>
        <v>559664233.33333325</v>
      </c>
      <c r="E348" s="75"/>
      <c r="F348" s="77">
        <f>SUM(F349:F367)</f>
        <v>0</v>
      </c>
      <c r="G348" s="75"/>
      <c r="H348" s="77"/>
      <c r="I348" s="77">
        <f>INDEX('Informacion del AEP'!$H$31:$H$84,MATCH('Pagos Mayoristas'!C348,'Informacion del AEP'!$C$31:$C$84,0))*'Hoja Auxiliar'!$D$61</f>
        <v>364364.625</v>
      </c>
      <c r="J348" s="4"/>
      <c r="K348" s="77"/>
      <c r="L348" s="204">
        <f>$L$10*(INDEX('Informacion del AEP'!$F$12:$AE$12,MATCH('Pagos Mayoristas'!C348,'Informacion del AEP'!$F$11:$AE$11,0))/INDEX('Informacion del AEP'!$F$12:$AE$12,MATCH('Pagos Mayoristas'!$C$10,'Informacion del AEP'!$F$11:$AE$11,0)))</f>
        <v>54718.875502007926</v>
      </c>
      <c r="M348" s="204"/>
      <c r="N348" s="77">
        <f>SUM(N349:N367)</f>
        <v>80715600</v>
      </c>
      <c r="O348" s="204">
        <f>SUM(D348:N348)</f>
        <v>640798916.83383524</v>
      </c>
    </row>
    <row r="349" spans="3:15" x14ac:dyDescent="0.25">
      <c r="C349" s="5" t="str">
        <f>IF(Supuestos!$B$48="","",Supuestos!$B$48)</f>
        <v>Datos</v>
      </c>
      <c r="D349" s="78">
        <f>INDEX('Informacion del AEP'!$F$90:$AE$108,MATCH('Pagos Mayoristas'!$C349,'Informacion del AEP'!$C$90:$C$108,0),MATCH('Pagos Mayoristas'!C$348,'Informacion del AEP'!$F$89:$AE$89,0))*INDEX('Hoja Auxiliar'!$D$40:$D$58,MATCH('Pagos Mayoristas'!$C349,'Hoja Auxiliar'!$C$40:$C$58,0))</f>
        <v>296333333.33333331</v>
      </c>
      <c r="F349" s="238">
        <f>IF(C349="","",('Precio Mayorista'!$D$100*INDEX('Informacion del AEP'!$D$90:$AE$108,MATCH(C349,'Informacion del AEP'!$C$90:$C$108,0),MATCH($C$348,'Informacion del AEP'!$D$89:$AE$89,0))*INDEX('Informacion del AEP'!$F$169:$F$187,MATCH(C349,'Informacion del AEP'!$C$169:$C$187,0))))</f>
        <v>0</v>
      </c>
      <c r="N349" s="209">
        <f>INDEX('Precio Mayorista'!$D$76:$D$94,MATCH('Pagos Mayoristas'!C349,'Precio Mayorista'!$G$76:$G$94,0))*INDEX('Informacion del AEP'!$F$90:$AE$108,MATCH('Pagos Mayoristas'!C349,'Informacion del AEP'!$C$90:$C$108,0),MATCH('Pagos Mayoristas'!$C$348,'Informacion del AEP'!$F$89:$AE$89,0))</f>
        <v>0</v>
      </c>
    </row>
    <row r="350" spans="3:15" x14ac:dyDescent="0.25">
      <c r="C350" s="5" t="str">
        <f>IF(Supuestos!$B$49="","",Supuestos!$B$49)</f>
        <v>Originación voz on-net local</v>
      </c>
      <c r="D350" s="78">
        <f>INDEX('Informacion del AEP'!$F$90:$AE$108,MATCH('Pagos Mayoristas'!$C350,'Informacion del AEP'!$C$90:$C$108,0),MATCH('Pagos Mayoristas'!C$348,'Informacion del AEP'!$F$89:$AE$89,0))*INDEX('Hoja Auxiliar'!$D$40:$D$58,MATCH('Pagos Mayoristas'!$C350,'Hoja Auxiliar'!$C$40:$C$58,0))</f>
        <v>70000000</v>
      </c>
      <c r="F350" s="238">
        <f>IF(C350="","",('Precio Mayorista'!$D$100*INDEX('Informacion del AEP'!$D$90:$AE$108,MATCH(C350,'Informacion del AEP'!$C$90:$C$108,0),MATCH($C$348,'Informacion del AEP'!$D$89:$AE$89,0))*INDEX('Informacion del AEP'!$F$169:$F$187,MATCH(C350,'Informacion del AEP'!$C$169:$C$187,0))))</f>
        <v>0</v>
      </c>
      <c r="N350" s="209">
        <f>INDEX('Precio Mayorista'!$D$76:$D$94,MATCH('Pagos Mayoristas'!C350,'Precio Mayorista'!$G$76:$G$94,0))*INDEX('Informacion del AEP'!$F$90:$AE$108,MATCH('Pagos Mayoristas'!C350,'Informacion del AEP'!$C$90:$C$108,0),MATCH('Pagos Mayoristas'!$C$348,'Informacion del AEP'!$F$89:$AE$89,0))</f>
        <v>0</v>
      </c>
    </row>
    <row r="351" spans="3:15" x14ac:dyDescent="0.25">
      <c r="C351" s="5" t="str">
        <f>IF(Supuestos!$B$50="","",Supuestos!$B$50)</f>
        <v>Originación voz off-net móvil local</v>
      </c>
      <c r="D351" s="78">
        <f>INDEX('Informacion del AEP'!$F$90:$AE$108,MATCH('Pagos Mayoristas'!$C351,'Informacion del AEP'!$C$90:$C$108,0),MATCH('Pagos Mayoristas'!C$348,'Informacion del AEP'!$F$89:$AE$89,0))*INDEX('Hoja Auxiliar'!$D$40:$D$58,MATCH('Pagos Mayoristas'!$C351,'Hoja Auxiliar'!$C$40:$C$58,0))</f>
        <v>14000000</v>
      </c>
      <c r="F351" s="238">
        <f>IF(C351="","",('Precio Mayorista'!$D$100*INDEX('Informacion del AEP'!$D$90:$AE$108,MATCH(C351,'Informacion del AEP'!$C$90:$C$108,0),MATCH($C$348,'Informacion del AEP'!$D$89:$AE$89,0))*INDEX('Informacion del AEP'!$F$169:$F$187,MATCH(C351,'Informacion del AEP'!$C$169:$C$187,0))))</f>
        <v>0</v>
      </c>
      <c r="N351" s="209">
        <f>INDEX('Precio Mayorista'!$D$76:$D$94,MATCH('Pagos Mayoristas'!C351,'Precio Mayorista'!$G$76:$G$94,0))*INDEX('Informacion del AEP'!$F$90:$AE$108,MATCH('Pagos Mayoristas'!C351,'Informacion del AEP'!$C$90:$C$108,0),MATCH('Pagos Mayoristas'!$C$348,'Informacion del AEP'!$F$89:$AE$89,0))</f>
        <v>19703133.333333336</v>
      </c>
    </row>
    <row r="352" spans="3:15" x14ac:dyDescent="0.25">
      <c r="C352" s="5" t="str">
        <f>IF(Supuestos!$B$51="","",Supuestos!$B$51)</f>
        <v>Originación voz off-net fijo local</v>
      </c>
      <c r="D352" s="78">
        <f>INDEX('Informacion del AEP'!$F$90:$AE$108,MATCH('Pagos Mayoristas'!$C352,'Informacion del AEP'!$C$90:$C$108,0),MATCH('Pagos Mayoristas'!C$348,'Informacion del AEP'!$F$89:$AE$89,0))*INDEX('Hoja Auxiliar'!$D$40:$D$58,MATCH('Pagos Mayoristas'!$C352,'Hoja Auxiliar'!$C$40:$C$58,0))</f>
        <v>7000000</v>
      </c>
      <c r="F352" s="238">
        <f>IF(C352="","",('Precio Mayorista'!$D$100*INDEX('Informacion del AEP'!$D$90:$AE$108,MATCH(C352,'Informacion del AEP'!$C$90:$C$108,0),MATCH($C$348,'Informacion del AEP'!$D$89:$AE$89,0))*INDEX('Informacion del AEP'!$F$169:$F$187,MATCH(C352,'Informacion del AEP'!$C$169:$C$187,0))))</f>
        <v>0</v>
      </c>
      <c r="N352" s="209">
        <f>INDEX('Precio Mayorista'!$D$76:$D$94,MATCH('Pagos Mayoristas'!C352,'Precio Mayorista'!$G$76:$G$94,0))*INDEX('Informacion del AEP'!$F$90:$AE$108,MATCH('Pagos Mayoristas'!C352,'Informacion del AEP'!$C$90:$C$108,0),MATCH('Pagos Mayoristas'!$C$348,'Informacion del AEP'!$F$89:$AE$89,0))</f>
        <v>780033.33333333337</v>
      </c>
    </row>
    <row r="353" spans="3:14" x14ac:dyDescent="0.25">
      <c r="C353" s="5" t="str">
        <f>IF(Supuestos!$B$52="","",Supuestos!$B$52)</f>
        <v>Originación voz on-net LDN</v>
      </c>
      <c r="D353" s="78">
        <f>INDEX('Informacion del AEP'!$F$90:$AE$108,MATCH('Pagos Mayoristas'!$C353,'Informacion del AEP'!$C$90:$C$108,0),MATCH('Pagos Mayoristas'!C$348,'Informacion del AEP'!$F$89:$AE$89,0))*INDEX('Hoja Auxiliar'!$D$40:$D$58,MATCH('Pagos Mayoristas'!$C353,'Hoja Auxiliar'!$C$40:$C$58,0))</f>
        <v>105000000</v>
      </c>
      <c r="F353" s="238">
        <f>IF(C353="","",('Precio Mayorista'!$D$100*INDEX('Informacion del AEP'!$D$90:$AE$108,MATCH(C353,'Informacion del AEP'!$C$90:$C$108,0),MATCH($C$348,'Informacion del AEP'!$D$89:$AE$89,0))*INDEX('Informacion del AEP'!$F$169:$F$187,MATCH(C353,'Informacion del AEP'!$C$169:$C$187,0))))</f>
        <v>0</v>
      </c>
      <c r="N353" s="209">
        <f>INDEX('Precio Mayorista'!$D$76:$D$94,MATCH('Pagos Mayoristas'!C353,'Precio Mayorista'!$G$76:$G$94,0))*INDEX('Informacion del AEP'!$F$90:$AE$108,MATCH('Pagos Mayoristas'!C353,'Informacion del AEP'!$C$90:$C$108,0),MATCH('Pagos Mayoristas'!$C$348,'Informacion del AEP'!$F$89:$AE$89,0))</f>
        <v>0</v>
      </c>
    </row>
    <row r="354" spans="3:14" x14ac:dyDescent="0.25">
      <c r="C354" s="5" t="str">
        <f>IF(Supuestos!$B$53="","",Supuestos!$B$53)</f>
        <v>Originación voz off-net móvil LDN</v>
      </c>
      <c r="D354" s="78">
        <f>INDEX('Informacion del AEP'!$F$90:$AE$108,MATCH('Pagos Mayoristas'!$C354,'Informacion del AEP'!$C$90:$C$108,0),MATCH('Pagos Mayoristas'!C$348,'Informacion del AEP'!$F$89:$AE$89,0))*INDEX('Hoja Auxiliar'!$D$40:$D$58,MATCH('Pagos Mayoristas'!$C354,'Hoja Auxiliar'!$C$40:$C$58,0))</f>
        <v>10499999.999999998</v>
      </c>
      <c r="F354" s="238">
        <f>IF(C354="","",('Precio Mayorista'!$D$100*INDEX('Informacion del AEP'!$D$90:$AE$108,MATCH(C354,'Informacion del AEP'!$C$90:$C$108,0),MATCH($C$348,'Informacion del AEP'!$D$89:$AE$89,0))*INDEX('Informacion del AEP'!$F$169:$F$187,MATCH(C354,'Informacion del AEP'!$C$169:$C$187,0))))</f>
        <v>0</v>
      </c>
      <c r="N354" s="209">
        <f>INDEX('Precio Mayorista'!$D$76:$D$94,MATCH('Pagos Mayoristas'!C354,'Precio Mayorista'!$G$76:$G$94,0))*INDEX('Informacion del AEP'!$F$90:$AE$108,MATCH('Pagos Mayoristas'!C354,'Informacion del AEP'!$C$90:$C$108,0),MATCH('Pagos Mayoristas'!$C$348,'Informacion del AEP'!$F$89:$AE$89,0))</f>
        <v>14777349.999999998</v>
      </c>
    </row>
    <row r="355" spans="3:14" x14ac:dyDescent="0.25">
      <c r="C355" s="5" t="str">
        <f>IF(Supuestos!$B$54="","",Supuestos!$B$54)</f>
        <v>Originación voz off-net fijo LDN</v>
      </c>
      <c r="D355" s="78">
        <f>INDEX('Informacion del AEP'!$F$90:$AE$108,MATCH('Pagos Mayoristas'!$C355,'Informacion del AEP'!$C$90:$C$108,0),MATCH('Pagos Mayoristas'!C$348,'Informacion del AEP'!$F$89:$AE$89,0))*INDEX('Hoja Auxiliar'!$D$40:$D$58,MATCH('Pagos Mayoristas'!$C355,'Hoja Auxiliar'!$C$40:$C$58,0))</f>
        <v>3500000</v>
      </c>
      <c r="F355" s="238">
        <f>IF(C355="","",('Precio Mayorista'!$D$100*INDEX('Informacion del AEP'!$D$90:$AE$108,MATCH(C355,'Informacion del AEP'!$C$90:$C$108,0),MATCH($C$348,'Informacion del AEP'!$D$89:$AE$89,0))*INDEX('Informacion del AEP'!$F$169:$F$187,MATCH(C355,'Informacion del AEP'!$C$169:$C$187,0))))</f>
        <v>0</v>
      </c>
      <c r="N355" s="209">
        <f>INDEX('Precio Mayorista'!$D$76:$D$94,MATCH('Pagos Mayoristas'!C355,'Precio Mayorista'!$G$76:$G$94,0))*INDEX('Informacion del AEP'!$F$90:$AE$108,MATCH('Pagos Mayoristas'!C355,'Informacion del AEP'!$C$90:$C$108,0),MATCH('Pagos Mayoristas'!$C$348,'Informacion del AEP'!$F$89:$AE$89,0))</f>
        <v>390016.66666666669</v>
      </c>
    </row>
    <row r="356" spans="3:14" x14ac:dyDescent="0.25">
      <c r="C356" s="5" t="str">
        <f>IF(Supuestos!$B$55="","",Supuestos!$B$55)</f>
        <v>Originación voz internacional USA-Canadá</v>
      </c>
      <c r="D356" s="78">
        <f>INDEX('Informacion del AEP'!$F$90:$AE$108,MATCH('Pagos Mayoristas'!$C356,'Informacion del AEP'!$C$90:$C$108,0),MATCH('Pagos Mayoristas'!C$348,'Informacion del AEP'!$F$89:$AE$89,0))*INDEX('Hoja Auxiliar'!$D$40:$D$58,MATCH('Pagos Mayoristas'!$C356,'Hoja Auxiliar'!$C$40:$C$58,0))</f>
        <v>9099999.9999999981</v>
      </c>
      <c r="F356" s="238">
        <f>IF(C356="","",('Precio Mayorista'!$D$100*INDEX('Informacion del AEP'!$D$90:$AE$108,MATCH(C356,'Informacion del AEP'!$C$90:$C$108,0),MATCH($C$348,'Informacion del AEP'!$D$89:$AE$89,0))*INDEX('Informacion del AEP'!$F$169:$F$187,MATCH(C356,'Informacion del AEP'!$C$169:$C$187,0))))</f>
        <v>0</v>
      </c>
      <c r="N356" s="209">
        <f>INDEX('Precio Mayorista'!$D$76:$D$94,MATCH('Pagos Mayoristas'!C356,'Precio Mayorista'!$G$76:$G$94,0))*INDEX('Informacion del AEP'!$F$90:$AE$108,MATCH('Pagos Mayoristas'!C356,'Informacion del AEP'!$C$90:$C$108,0),MATCH('Pagos Mayoristas'!$C$348,'Informacion del AEP'!$F$89:$AE$89,0))</f>
        <v>15166666.666666666</v>
      </c>
    </row>
    <row r="357" spans="3:14" x14ac:dyDescent="0.25">
      <c r="C357" s="5" t="str">
        <f>IF(Supuestos!$B$56="","",Supuestos!$B$56)</f>
        <v>Originación voz internacional Mundial Centroamérica</v>
      </c>
      <c r="D357" s="78">
        <f>INDEX('Informacion del AEP'!$F$90:$AE$108,MATCH('Pagos Mayoristas'!$C357,'Informacion del AEP'!$C$90:$C$108,0),MATCH('Pagos Mayoristas'!C$348,'Informacion del AEP'!$F$89:$AE$89,0))*INDEX('Hoja Auxiliar'!$D$40:$D$58,MATCH('Pagos Mayoristas'!$C357,'Hoja Auxiliar'!$C$40:$C$58,0))</f>
        <v>21000</v>
      </c>
      <c r="F357" s="238">
        <f>IF(C357="","",('Precio Mayorista'!$D$100*INDEX('Informacion del AEP'!$D$90:$AE$108,MATCH(C357,'Informacion del AEP'!$C$90:$C$108,0),MATCH($C$348,'Informacion del AEP'!$D$89:$AE$89,0))*INDEX('Informacion del AEP'!$F$169:$F$187,MATCH(C357,'Informacion del AEP'!$C$169:$C$187,0))))</f>
        <v>0</v>
      </c>
      <c r="N357" s="209">
        <f>INDEX('Precio Mayorista'!$D$76:$D$94,MATCH('Pagos Mayoristas'!C357,'Precio Mayorista'!$G$76:$G$94,0))*INDEX('Informacion del AEP'!$F$90:$AE$108,MATCH('Pagos Mayoristas'!C357,'Informacion del AEP'!$C$90:$C$108,0),MATCH('Pagos Mayoristas'!$C$348,'Informacion del AEP'!$F$89:$AE$89,0))</f>
        <v>1750000</v>
      </c>
    </row>
    <row r="358" spans="3:14" x14ac:dyDescent="0.25">
      <c r="C358" s="5" t="str">
        <f>IF(Supuestos!$B$57="","",Supuestos!$B$57)</f>
        <v>Originación voz internacional Mundial LATAM y Caribe</v>
      </c>
      <c r="D358" s="78">
        <f>INDEX('Informacion del AEP'!$F$90:$AE$108,MATCH('Pagos Mayoristas'!$C358,'Informacion del AEP'!$C$90:$C$108,0),MATCH('Pagos Mayoristas'!C$348,'Informacion del AEP'!$F$89:$AE$89,0))*INDEX('Hoja Auxiliar'!$D$40:$D$58,MATCH('Pagos Mayoristas'!$C358,'Hoja Auxiliar'!$C$40:$C$58,0))</f>
        <v>1399.9999999999998</v>
      </c>
      <c r="F358" s="238">
        <f>IF(C358="","",('Precio Mayorista'!$D$100*INDEX('Informacion del AEP'!$D$90:$AE$108,MATCH(C358,'Informacion del AEP'!$C$90:$C$108,0),MATCH($C$348,'Informacion del AEP'!$D$89:$AE$89,0))*INDEX('Informacion del AEP'!$F$169:$F$187,MATCH(C358,'Informacion del AEP'!$C$169:$C$187,0))))</f>
        <v>0</v>
      </c>
      <c r="N358" s="209">
        <f>INDEX('Precio Mayorista'!$D$76:$D$94,MATCH('Pagos Mayoristas'!C358,'Precio Mayorista'!$G$76:$G$94,0))*INDEX('Informacion del AEP'!$F$90:$AE$108,MATCH('Pagos Mayoristas'!C358,'Informacion del AEP'!$C$90:$C$108,0),MATCH('Pagos Mayoristas'!$C$348,'Informacion del AEP'!$F$89:$AE$89,0))</f>
        <v>233333.33333333331</v>
      </c>
    </row>
    <row r="359" spans="3:14" x14ac:dyDescent="0.25">
      <c r="C359" s="5" t="str">
        <f>IF(Supuestos!$B$58="","",Supuestos!$B$58)</f>
        <v>Originación voz internacional Europa</v>
      </c>
      <c r="D359" s="78">
        <f>INDEX('Informacion del AEP'!$F$90:$AE$108,MATCH('Pagos Mayoristas'!$C359,'Informacion del AEP'!$C$90:$C$108,0),MATCH('Pagos Mayoristas'!C$348,'Informacion del AEP'!$F$89:$AE$89,0))*INDEX('Hoja Auxiliar'!$D$40:$D$58,MATCH('Pagos Mayoristas'!$C359,'Hoja Auxiliar'!$C$40:$C$58,0))</f>
        <v>0</v>
      </c>
      <c r="F359" s="238">
        <f>IF(C359="","",('Precio Mayorista'!$D$100*INDEX('Informacion del AEP'!$D$90:$AE$108,MATCH(C359,'Informacion del AEP'!$C$90:$C$108,0),MATCH($C$348,'Informacion del AEP'!$D$89:$AE$89,0))*INDEX('Informacion del AEP'!$F$169:$F$187,MATCH(C359,'Informacion del AEP'!$C$169:$C$187,0))))</f>
        <v>0</v>
      </c>
      <c r="N359" s="209">
        <f>INDEX('Precio Mayorista'!$D$76:$D$94,MATCH('Pagos Mayoristas'!C359,'Precio Mayorista'!$G$76:$G$94,0))*INDEX('Informacion del AEP'!$F$90:$AE$108,MATCH('Pagos Mayoristas'!C359,'Informacion del AEP'!$C$90:$C$108,0),MATCH('Pagos Mayoristas'!$C$348,'Informacion del AEP'!$F$89:$AE$89,0))</f>
        <v>0</v>
      </c>
    </row>
    <row r="360" spans="3:14" x14ac:dyDescent="0.25">
      <c r="C360" s="5" t="str">
        <f>IF(Supuestos!$B$59="","",Supuestos!$B$59)</f>
        <v>Originación voz internacional Mundial Otros geográficos</v>
      </c>
      <c r="D360" s="78">
        <f>INDEX('Informacion del AEP'!$F$90:$AE$108,MATCH('Pagos Mayoristas'!$C360,'Informacion del AEP'!$C$90:$C$108,0),MATCH('Pagos Mayoristas'!C$348,'Informacion del AEP'!$F$89:$AE$89,0))*INDEX('Hoja Auxiliar'!$D$40:$D$58,MATCH('Pagos Mayoristas'!$C360,'Hoja Auxiliar'!$C$40:$C$58,0))</f>
        <v>70000</v>
      </c>
      <c r="F360" s="238">
        <f>IF(C360="","",('Precio Mayorista'!$D$100*INDEX('Informacion del AEP'!$D$90:$AE$108,MATCH(C360,'Informacion del AEP'!$C$90:$C$108,0),MATCH($C$348,'Informacion del AEP'!$D$89:$AE$89,0))*INDEX('Informacion del AEP'!$F$169:$F$187,MATCH(C360,'Informacion del AEP'!$C$169:$C$187,0))))</f>
        <v>0</v>
      </c>
      <c r="N360" s="209">
        <f>INDEX('Precio Mayorista'!$D$76:$D$94,MATCH('Pagos Mayoristas'!C360,'Precio Mayorista'!$G$76:$G$94,0))*INDEX('Informacion del AEP'!$F$90:$AE$108,MATCH('Pagos Mayoristas'!C360,'Informacion del AEP'!$C$90:$C$108,0),MATCH('Pagos Mayoristas'!$C$348,'Informacion del AEP'!$F$89:$AE$89,0))</f>
        <v>11666666.666666668</v>
      </c>
    </row>
    <row r="361" spans="3:14" x14ac:dyDescent="0.25">
      <c r="C361" s="5" t="str">
        <f>IF(Supuestos!$B$60="","",Supuestos!$B$60)</f>
        <v>Originación voz internacional Cuba</v>
      </c>
      <c r="D361" s="78">
        <f>INDEX('Informacion del AEP'!$F$90:$AE$108,MATCH('Pagos Mayoristas'!$C361,'Informacion del AEP'!$C$90:$C$108,0),MATCH('Pagos Mayoristas'!C$348,'Informacion del AEP'!$F$89:$AE$89,0))*INDEX('Hoja Auxiliar'!$D$40:$D$58,MATCH('Pagos Mayoristas'!$C361,'Hoja Auxiliar'!$C$40:$C$58,0))</f>
        <v>3500</v>
      </c>
      <c r="F361" s="238">
        <f>IF(C361="","",('Precio Mayorista'!$D$100*INDEX('Informacion del AEP'!$D$90:$AE$108,MATCH(C361,'Informacion del AEP'!$C$90:$C$108,0),MATCH($C$348,'Informacion del AEP'!$D$89:$AE$89,0))*INDEX('Informacion del AEP'!$F$169:$F$187,MATCH(C361,'Informacion del AEP'!$C$169:$C$187,0))))</f>
        <v>0</v>
      </c>
      <c r="N361" s="209">
        <f>INDEX('Precio Mayorista'!$D$76:$D$94,MATCH('Pagos Mayoristas'!C361,'Precio Mayorista'!$G$76:$G$94,0))*INDEX('Informacion del AEP'!$F$90:$AE$108,MATCH('Pagos Mayoristas'!C361,'Informacion del AEP'!$C$90:$C$108,0),MATCH('Pagos Mayoristas'!$C$348,'Informacion del AEP'!$F$89:$AE$89,0))</f>
        <v>1750000</v>
      </c>
    </row>
    <row r="362" spans="3:14" x14ac:dyDescent="0.25">
      <c r="C362" s="5" t="str">
        <f>IF(Supuestos!$B$61="","",Supuestos!$B$61)</f>
        <v>Originación voz Mundial destinos no geográficos</v>
      </c>
      <c r="D362" s="78">
        <f>INDEX('Informacion del AEP'!$F$90:$AE$108,MATCH('Pagos Mayoristas'!$C362,'Informacion del AEP'!$C$90:$C$108,0),MATCH('Pagos Mayoristas'!C$348,'Informacion del AEP'!$F$89:$AE$89,0))*INDEX('Hoja Auxiliar'!$D$40:$D$58,MATCH('Pagos Mayoristas'!$C362,'Hoja Auxiliar'!$C$40:$C$58,0))</f>
        <v>0</v>
      </c>
      <c r="F362" s="238">
        <f>IF(C362="","",('Precio Mayorista'!$D$100*INDEX('Informacion del AEP'!$D$90:$AE$108,MATCH(C362,'Informacion del AEP'!$C$90:$C$108,0),MATCH($C$348,'Informacion del AEP'!$D$89:$AE$89,0))*INDEX('Informacion del AEP'!$F$169:$F$187,MATCH(C362,'Informacion del AEP'!$C$169:$C$187,0))))</f>
        <v>0</v>
      </c>
      <c r="N362" s="209">
        <f>INDEX('Precio Mayorista'!$D$76:$D$94,MATCH('Pagos Mayoristas'!C362,'Precio Mayorista'!$G$76:$G$94,0))*INDEX('Informacion del AEP'!$F$90:$AE$108,MATCH('Pagos Mayoristas'!C362,'Informacion del AEP'!$C$90:$C$108,0),MATCH('Pagos Mayoristas'!$C$348,'Informacion del AEP'!$F$89:$AE$89,0))</f>
        <v>0</v>
      </c>
    </row>
    <row r="363" spans="3:14" x14ac:dyDescent="0.25">
      <c r="C363" s="5" t="str">
        <f>IF(Supuestos!$B$62="","",Supuestos!$B$62)</f>
        <v>Originación SMS on-net</v>
      </c>
      <c r="D363" s="78">
        <f>INDEX('Informacion del AEP'!$F$90:$AE$108,MATCH('Pagos Mayoristas'!$C363,'Informacion del AEP'!$C$90:$C$108,0),MATCH('Pagos Mayoristas'!C$348,'Informacion del AEP'!$F$89:$AE$89,0))*INDEX('Hoja Auxiliar'!$D$40:$D$58,MATCH('Pagos Mayoristas'!$C363,'Hoja Auxiliar'!$C$40:$C$58,0))</f>
        <v>7000000</v>
      </c>
      <c r="F363" s="238">
        <f>IF(C363="","",('Precio Mayorista'!$D$100*INDEX('Informacion del AEP'!$D$90:$AE$108,MATCH(C363,'Informacion del AEP'!$C$90:$C$108,0),MATCH($C$348,'Informacion del AEP'!$D$89:$AE$89,0))*INDEX('Informacion del AEP'!$F$169:$F$187,MATCH(C363,'Informacion del AEP'!$C$169:$C$187,0))))</f>
        <v>0</v>
      </c>
      <c r="N363" s="209">
        <f>INDEX('Precio Mayorista'!$D$76:$D$94,MATCH('Pagos Mayoristas'!C363,'Precio Mayorista'!$G$76:$G$94,0))*INDEX('Informacion del AEP'!$F$90:$AE$108,MATCH('Pagos Mayoristas'!C363,'Informacion del AEP'!$C$90:$C$108,0),MATCH('Pagos Mayoristas'!$C$348,'Informacion del AEP'!$F$89:$AE$89,0))</f>
        <v>0</v>
      </c>
    </row>
    <row r="364" spans="3:14" x14ac:dyDescent="0.25">
      <c r="C364" s="5" t="str">
        <f>IF(Supuestos!$B$63="","",Supuestos!$B$63)</f>
        <v>Originación SMS - off-net nacional</v>
      </c>
      <c r="D364" s="78">
        <f>INDEX('Informacion del AEP'!$F$90:$AE$108,MATCH('Pagos Mayoristas'!$C364,'Informacion del AEP'!$C$90:$C$108,0),MATCH('Pagos Mayoristas'!C$348,'Informacion del AEP'!$F$89:$AE$89,0))*INDEX('Hoja Auxiliar'!$D$40:$D$58,MATCH('Pagos Mayoristas'!$C364,'Hoja Auxiliar'!$C$40:$C$58,0))</f>
        <v>1750000</v>
      </c>
      <c r="F364" s="238">
        <f>IF(C364="","",('Precio Mayorista'!$D$100*INDEX('Informacion del AEP'!$D$90:$AE$108,MATCH(C364,'Informacion del AEP'!$C$90:$C$108,0),MATCH($C$348,'Informacion del AEP'!$D$89:$AE$89,0))*INDEX('Informacion del AEP'!$F$169:$F$187,MATCH(C364,'Informacion del AEP'!$C$169:$C$187,0))))</f>
        <v>0</v>
      </c>
      <c r="N364" s="209">
        <f>INDEX('Precio Mayorista'!$D$76:$D$94,MATCH('Pagos Mayoristas'!C364,'Precio Mayorista'!$G$76:$G$94,0))*INDEX('Informacion del AEP'!$F$90:$AE$108,MATCH('Pagos Mayoristas'!C364,'Informacion del AEP'!$C$90:$C$108,0),MATCH('Pagos Mayoristas'!$C$348,'Informacion del AEP'!$F$89:$AE$89,0))</f>
        <v>1081733.3333333335</v>
      </c>
    </row>
    <row r="365" spans="3:14" x14ac:dyDescent="0.25">
      <c r="C365" s="5" t="str">
        <f>IF(Supuestos!$B$64="","",Supuestos!$B$64)</f>
        <v>Originación SMS internacional (USA-Canadá)</v>
      </c>
      <c r="D365" s="78">
        <f>INDEX('Informacion del AEP'!$F$90:$AE$108,MATCH('Pagos Mayoristas'!$C365,'Informacion del AEP'!$C$90:$C$108,0),MATCH('Pagos Mayoristas'!C$348,'Informacion del AEP'!$F$89:$AE$89,0))*INDEX('Hoja Auxiliar'!$D$40:$D$58,MATCH('Pagos Mayoristas'!$C365,'Hoja Auxiliar'!$C$40:$C$58,0))</f>
        <v>349999.99999999994</v>
      </c>
      <c r="F365" s="238">
        <f>IF(C365="","",('Precio Mayorista'!$D$100*INDEX('Informacion del AEP'!$D$90:$AE$108,MATCH(C365,'Informacion del AEP'!$C$90:$C$108,0),MATCH($C$348,'Informacion del AEP'!$D$89:$AE$89,0))*INDEX('Informacion del AEP'!$F$169:$F$187,MATCH(C365,'Informacion del AEP'!$C$169:$C$187,0))))</f>
        <v>0</v>
      </c>
      <c r="N365" s="209">
        <f>INDEX('Precio Mayorista'!$D$76:$D$94,MATCH('Pagos Mayoristas'!C365,'Precio Mayorista'!$G$76:$G$94,0))*INDEX('Informacion del AEP'!$F$90:$AE$108,MATCH('Pagos Mayoristas'!C365,'Informacion del AEP'!$C$90:$C$108,0),MATCH('Pagos Mayoristas'!$C$348,'Informacion del AEP'!$F$89:$AE$89,0))</f>
        <v>11666666.666666666</v>
      </c>
    </row>
    <row r="366" spans="3:14" x14ac:dyDescent="0.25">
      <c r="C366" s="5" t="str">
        <f>IF(Supuestos!$B$65="","",Supuestos!$B$65)</f>
        <v>Originación SMS internacional (Resto del Mundo)</v>
      </c>
      <c r="D366" s="78">
        <f>INDEX('Informacion del AEP'!$F$90:$AE$108,MATCH('Pagos Mayoristas'!$C366,'Informacion del AEP'!$C$90:$C$108,0),MATCH('Pagos Mayoristas'!C$348,'Informacion del AEP'!$F$89:$AE$89,0))*INDEX('Hoja Auxiliar'!$D$40:$D$58,MATCH('Pagos Mayoristas'!$C366,'Hoja Auxiliar'!$C$40:$C$58,0))</f>
        <v>35000</v>
      </c>
      <c r="F366" s="238">
        <f>IF(C366="","",('Precio Mayorista'!$D$100*INDEX('Informacion del AEP'!$D$90:$AE$108,MATCH(C366,'Informacion del AEP'!$C$90:$C$108,0),MATCH($C$348,'Informacion del AEP'!$D$89:$AE$89,0))*INDEX('Informacion del AEP'!$F$169:$F$187,MATCH(C366,'Informacion del AEP'!$C$169:$C$187,0))))</f>
        <v>0</v>
      </c>
      <c r="N366" s="209">
        <f>INDEX('Precio Mayorista'!$D$76:$D$94,MATCH('Pagos Mayoristas'!C366,'Precio Mayorista'!$G$76:$G$94,0))*INDEX('Informacion del AEP'!$F$90:$AE$108,MATCH('Pagos Mayoristas'!C366,'Informacion del AEP'!$C$90:$C$108,0),MATCH('Pagos Mayoristas'!$C$348,'Informacion del AEP'!$F$89:$AE$89,0))</f>
        <v>1750000</v>
      </c>
    </row>
    <row r="367" spans="3:14" x14ac:dyDescent="0.25">
      <c r="C367" s="5" t="str">
        <f>IF(Supuestos!$B$66="","",Supuestos!$B$66)</f>
        <v>Otros servicios (incluyendo marcaciones especiales)</v>
      </c>
      <c r="D367" s="78">
        <f>INDEX('Informacion del AEP'!$F$90:$AE$108,MATCH('Pagos Mayoristas'!$C367,'Informacion del AEP'!$C$90:$C$108,0),MATCH('Pagos Mayoristas'!C$348,'Informacion del AEP'!$F$89:$AE$89,0))*INDEX('Hoja Auxiliar'!$D$40:$D$58,MATCH('Pagos Mayoristas'!$C367,'Hoja Auxiliar'!$C$40:$C$58,0))</f>
        <v>35000000</v>
      </c>
      <c r="F367" s="238">
        <f>IF(C367="","",('Precio Mayorista'!$D$100*INDEX('Informacion del AEP'!$D$90:$AE$108,MATCH(C367,'Informacion del AEP'!$C$90:$C$108,0),MATCH($C$348,'Informacion del AEP'!$D$89:$AE$89,0))*INDEX('Informacion del AEP'!$F$169:$F$187,MATCH(C367,'Informacion del AEP'!$C$169:$C$187,0))))</f>
        <v>0</v>
      </c>
      <c r="N367" s="209">
        <f>INDEX('Precio Mayorista'!$D$76:$D$94,MATCH('Pagos Mayoristas'!C367,'Precio Mayorista'!$G$76:$G$94,0))*INDEX('Informacion del AEP'!$F$90:$AE$108,MATCH('Pagos Mayoristas'!C367,'Informacion del AEP'!$C$90:$C$108,0),MATCH('Pagos Mayoristas'!$C$348,'Informacion del AEP'!$F$89:$AE$89,0))</f>
        <v>0</v>
      </c>
    </row>
    <row r="368" spans="3:14" x14ac:dyDescent="0.25">
      <c r="C368" s="5" t="str">
        <f>IF(Supuestos!B67="","",Supuestos!B67)</f>
        <v/>
      </c>
      <c r="N368" s="209"/>
    </row>
    <row r="369" spans="3:15" ht="13" x14ac:dyDescent="0.3">
      <c r="C369" s="64"/>
    </row>
    <row r="374" spans="3:15" ht="13" x14ac:dyDescent="0.3">
      <c r="C374" s="74" t="str">
        <f>Supuestos!$B$84</f>
        <v>Telcel Pospago 4</v>
      </c>
      <c r="D374" s="77">
        <f>SUM(D375:D393)</f>
        <v>559664233.33333325</v>
      </c>
      <c r="E374" s="75"/>
      <c r="F374" s="77">
        <f>SUM(F375:F393)</f>
        <v>0</v>
      </c>
      <c r="G374" s="75"/>
      <c r="H374" s="77"/>
      <c r="I374" s="77">
        <f>INDEX('Informacion del AEP'!$H$31:$H$84,MATCH('Pagos Mayoristas'!C374,'Informacion del AEP'!$C$31:$C$84,0))*'Hoja Auxiliar'!$D$61</f>
        <v>562500</v>
      </c>
      <c r="J374" s="4"/>
      <c r="K374" s="77"/>
      <c r="L374" s="204">
        <f>$L$10*(INDEX('Informacion del AEP'!$F$12:$AE$12,MATCH('Pagos Mayoristas'!C374,'Informacion del AEP'!$F$11:$AE$11,0))/INDEX('Informacion del AEP'!$F$12:$AE$12,MATCH('Pagos Mayoristas'!$C$10,'Informacion del AEP'!$F$11:$AE$11,0)))</f>
        <v>81827.309257028144</v>
      </c>
      <c r="M374" s="204"/>
      <c r="N374" s="77">
        <f>SUM(N375:N393)</f>
        <v>80715600</v>
      </c>
      <c r="O374" s="204">
        <f>SUM(D374:N374)</f>
        <v>641024160.64259028</v>
      </c>
    </row>
    <row r="375" spans="3:15" x14ac:dyDescent="0.25">
      <c r="C375" s="5" t="str">
        <f>IF(Supuestos!$B$48="","",Supuestos!$B$48)</f>
        <v>Datos</v>
      </c>
      <c r="D375" s="78">
        <f>INDEX('Informacion del AEP'!$F$90:$AE$108,MATCH('Pagos Mayoristas'!$C375,'Informacion del AEP'!$C$90:$C$108,0),MATCH('Pagos Mayoristas'!C$374,'Informacion del AEP'!$F$89:$AE$89,0))*INDEX('Hoja Auxiliar'!$D$40:$D$58,MATCH('Pagos Mayoristas'!$C375,'Hoja Auxiliar'!$C$40:$C$58,0))</f>
        <v>296333333.33333331</v>
      </c>
      <c r="F375" s="238">
        <f>IF(C375="","",('Precio Mayorista'!$D$100*INDEX('Informacion del AEP'!$D$90:$AE$108,MATCH(C375,'Informacion del AEP'!$C$90:$C$108,0),MATCH($C$374,'Informacion del AEP'!$D$89:$AE$89,0))*INDEX('Informacion del AEP'!$F$169:$F$187,MATCH(C375,'Informacion del AEP'!$C$169:$C$187,0))))</f>
        <v>0</v>
      </c>
      <c r="N375" s="209">
        <f>INDEX('Precio Mayorista'!$D$76:$D$94,MATCH('Pagos Mayoristas'!C375,'Precio Mayorista'!$G$76:$G$94,0))*INDEX('Informacion del AEP'!$F$90:$AE$108,MATCH('Pagos Mayoristas'!C375,'Informacion del AEP'!$C$90:$C$108,0),MATCH('Pagos Mayoristas'!$C$374,'Informacion del AEP'!$F$89:$AE$89,0))</f>
        <v>0</v>
      </c>
    </row>
    <row r="376" spans="3:15" x14ac:dyDescent="0.25">
      <c r="C376" s="5" t="str">
        <f>IF(Supuestos!$B$49="","",Supuestos!$B$49)</f>
        <v>Originación voz on-net local</v>
      </c>
      <c r="D376" s="78">
        <f>INDEX('Informacion del AEP'!$F$90:$AE$108,MATCH('Pagos Mayoristas'!$C376,'Informacion del AEP'!$C$90:$C$108,0),MATCH('Pagos Mayoristas'!C$374,'Informacion del AEP'!$F$89:$AE$89,0))*INDEX('Hoja Auxiliar'!$D$40:$D$58,MATCH('Pagos Mayoristas'!$C376,'Hoja Auxiliar'!$C$40:$C$58,0))</f>
        <v>70000000</v>
      </c>
      <c r="F376" s="238">
        <f>IF(C376="","",('Precio Mayorista'!$D$100*INDEX('Informacion del AEP'!$D$90:$AE$108,MATCH(C376,'Informacion del AEP'!$C$90:$C$108,0),MATCH($C$374,'Informacion del AEP'!$D$89:$AE$89,0))*INDEX('Informacion del AEP'!$F$169:$F$187,MATCH(C376,'Informacion del AEP'!$C$169:$C$187,0))))</f>
        <v>0</v>
      </c>
      <c r="N376" s="209">
        <f>INDEX('Precio Mayorista'!$D$76:$D$94,MATCH('Pagos Mayoristas'!C376,'Precio Mayorista'!$G$76:$G$94,0))*INDEX('Informacion del AEP'!$F$90:$AE$108,MATCH('Pagos Mayoristas'!C376,'Informacion del AEP'!$C$90:$C$108,0),MATCH('Pagos Mayoristas'!$C$374,'Informacion del AEP'!$F$89:$AE$89,0))</f>
        <v>0</v>
      </c>
    </row>
    <row r="377" spans="3:15" x14ac:dyDescent="0.25">
      <c r="C377" s="5" t="str">
        <f>IF(Supuestos!$B$50="","",Supuestos!$B$50)</f>
        <v>Originación voz off-net móvil local</v>
      </c>
      <c r="D377" s="78">
        <f>INDEX('Informacion del AEP'!$F$90:$AE$108,MATCH('Pagos Mayoristas'!$C377,'Informacion del AEP'!$C$90:$C$108,0),MATCH('Pagos Mayoristas'!C$374,'Informacion del AEP'!$F$89:$AE$89,0))*INDEX('Hoja Auxiliar'!$D$40:$D$58,MATCH('Pagos Mayoristas'!$C377,'Hoja Auxiliar'!$C$40:$C$58,0))</f>
        <v>14000000</v>
      </c>
      <c r="F377" s="238">
        <f>IF(C377="","",('Precio Mayorista'!$D$100*INDEX('Informacion del AEP'!$D$90:$AE$108,MATCH(C377,'Informacion del AEP'!$C$90:$C$108,0),MATCH($C$374,'Informacion del AEP'!$D$89:$AE$89,0))*INDEX('Informacion del AEP'!$F$169:$F$187,MATCH(C377,'Informacion del AEP'!$C$169:$C$187,0))))</f>
        <v>0</v>
      </c>
      <c r="N377" s="209">
        <f>INDEX('Precio Mayorista'!$D$76:$D$94,MATCH('Pagos Mayoristas'!C377,'Precio Mayorista'!$G$76:$G$94,0))*INDEX('Informacion del AEP'!$F$90:$AE$108,MATCH('Pagos Mayoristas'!C377,'Informacion del AEP'!$C$90:$C$108,0),MATCH('Pagos Mayoristas'!$C$374,'Informacion del AEP'!$F$89:$AE$89,0))</f>
        <v>19703133.333333336</v>
      </c>
    </row>
    <row r="378" spans="3:15" x14ac:dyDescent="0.25">
      <c r="C378" s="5" t="str">
        <f>IF(Supuestos!$B$51="","",Supuestos!$B$51)</f>
        <v>Originación voz off-net fijo local</v>
      </c>
      <c r="D378" s="78">
        <f>INDEX('Informacion del AEP'!$F$90:$AE$108,MATCH('Pagos Mayoristas'!$C378,'Informacion del AEP'!$C$90:$C$108,0),MATCH('Pagos Mayoristas'!C$374,'Informacion del AEP'!$F$89:$AE$89,0))*INDEX('Hoja Auxiliar'!$D$40:$D$58,MATCH('Pagos Mayoristas'!$C378,'Hoja Auxiliar'!$C$40:$C$58,0))</f>
        <v>7000000</v>
      </c>
      <c r="F378" s="238">
        <f>IF(C378="","",('Precio Mayorista'!$D$100*INDEX('Informacion del AEP'!$D$90:$AE$108,MATCH(C378,'Informacion del AEP'!$C$90:$C$108,0),MATCH($C$374,'Informacion del AEP'!$D$89:$AE$89,0))*INDEX('Informacion del AEP'!$F$169:$F$187,MATCH(C378,'Informacion del AEP'!$C$169:$C$187,0))))</f>
        <v>0</v>
      </c>
      <c r="N378" s="209">
        <f>INDEX('Precio Mayorista'!$D$76:$D$94,MATCH('Pagos Mayoristas'!C378,'Precio Mayorista'!$G$76:$G$94,0))*INDEX('Informacion del AEP'!$F$90:$AE$108,MATCH('Pagos Mayoristas'!C378,'Informacion del AEP'!$C$90:$C$108,0),MATCH('Pagos Mayoristas'!$C$374,'Informacion del AEP'!$F$89:$AE$89,0))</f>
        <v>780033.33333333337</v>
      </c>
    </row>
    <row r="379" spans="3:15" x14ac:dyDescent="0.25">
      <c r="C379" s="5" t="str">
        <f>IF(Supuestos!$B$52="","",Supuestos!$B$52)</f>
        <v>Originación voz on-net LDN</v>
      </c>
      <c r="D379" s="78">
        <f>INDEX('Informacion del AEP'!$F$90:$AE$108,MATCH('Pagos Mayoristas'!$C379,'Informacion del AEP'!$C$90:$C$108,0),MATCH('Pagos Mayoristas'!C$374,'Informacion del AEP'!$F$89:$AE$89,0))*INDEX('Hoja Auxiliar'!$D$40:$D$58,MATCH('Pagos Mayoristas'!$C379,'Hoja Auxiliar'!$C$40:$C$58,0))</f>
        <v>105000000</v>
      </c>
      <c r="F379" s="238">
        <f>IF(C379="","",('Precio Mayorista'!$D$100*INDEX('Informacion del AEP'!$D$90:$AE$108,MATCH(C379,'Informacion del AEP'!$C$90:$C$108,0),MATCH($C$374,'Informacion del AEP'!$D$89:$AE$89,0))*INDEX('Informacion del AEP'!$F$169:$F$187,MATCH(C379,'Informacion del AEP'!$C$169:$C$187,0))))</f>
        <v>0</v>
      </c>
      <c r="N379" s="209">
        <f>INDEX('Precio Mayorista'!$D$76:$D$94,MATCH('Pagos Mayoristas'!C379,'Precio Mayorista'!$G$76:$G$94,0))*INDEX('Informacion del AEP'!$F$90:$AE$108,MATCH('Pagos Mayoristas'!C379,'Informacion del AEP'!$C$90:$C$108,0),MATCH('Pagos Mayoristas'!$C$374,'Informacion del AEP'!$F$89:$AE$89,0))</f>
        <v>0</v>
      </c>
    </row>
    <row r="380" spans="3:15" x14ac:dyDescent="0.25">
      <c r="C380" s="5" t="str">
        <f>IF(Supuestos!$B$53="","",Supuestos!$B$53)</f>
        <v>Originación voz off-net móvil LDN</v>
      </c>
      <c r="D380" s="78">
        <f>INDEX('Informacion del AEP'!$F$90:$AE$108,MATCH('Pagos Mayoristas'!$C380,'Informacion del AEP'!$C$90:$C$108,0),MATCH('Pagos Mayoristas'!C$374,'Informacion del AEP'!$F$89:$AE$89,0))*INDEX('Hoja Auxiliar'!$D$40:$D$58,MATCH('Pagos Mayoristas'!$C380,'Hoja Auxiliar'!$C$40:$C$58,0))</f>
        <v>10499999.999999998</v>
      </c>
      <c r="F380" s="238">
        <f>IF(C380="","",('Precio Mayorista'!$D$100*INDEX('Informacion del AEP'!$D$90:$AE$108,MATCH(C380,'Informacion del AEP'!$C$90:$C$108,0),MATCH($C$374,'Informacion del AEP'!$D$89:$AE$89,0))*INDEX('Informacion del AEP'!$F$169:$F$187,MATCH(C380,'Informacion del AEP'!$C$169:$C$187,0))))</f>
        <v>0</v>
      </c>
      <c r="N380" s="209">
        <f>INDEX('Precio Mayorista'!$D$76:$D$94,MATCH('Pagos Mayoristas'!C380,'Precio Mayorista'!$G$76:$G$94,0))*INDEX('Informacion del AEP'!$F$90:$AE$108,MATCH('Pagos Mayoristas'!C380,'Informacion del AEP'!$C$90:$C$108,0),MATCH('Pagos Mayoristas'!$C$374,'Informacion del AEP'!$F$89:$AE$89,0))</f>
        <v>14777349.999999998</v>
      </c>
    </row>
    <row r="381" spans="3:15" x14ac:dyDescent="0.25">
      <c r="C381" s="5" t="str">
        <f>IF(Supuestos!$B$54="","",Supuestos!$B$54)</f>
        <v>Originación voz off-net fijo LDN</v>
      </c>
      <c r="D381" s="78">
        <f>INDEX('Informacion del AEP'!$F$90:$AE$108,MATCH('Pagos Mayoristas'!$C381,'Informacion del AEP'!$C$90:$C$108,0),MATCH('Pagos Mayoristas'!C$374,'Informacion del AEP'!$F$89:$AE$89,0))*INDEX('Hoja Auxiliar'!$D$40:$D$58,MATCH('Pagos Mayoristas'!$C381,'Hoja Auxiliar'!$C$40:$C$58,0))</f>
        <v>3500000</v>
      </c>
      <c r="F381" s="238">
        <f>IF(C381="","",('Precio Mayorista'!$D$100*INDEX('Informacion del AEP'!$D$90:$AE$108,MATCH(C381,'Informacion del AEP'!$C$90:$C$108,0),MATCH($C$374,'Informacion del AEP'!$D$89:$AE$89,0))*INDEX('Informacion del AEP'!$F$169:$F$187,MATCH(C381,'Informacion del AEP'!$C$169:$C$187,0))))</f>
        <v>0</v>
      </c>
      <c r="N381" s="209">
        <f>INDEX('Precio Mayorista'!$D$76:$D$94,MATCH('Pagos Mayoristas'!C381,'Precio Mayorista'!$G$76:$G$94,0))*INDEX('Informacion del AEP'!$F$90:$AE$108,MATCH('Pagos Mayoristas'!C381,'Informacion del AEP'!$C$90:$C$108,0),MATCH('Pagos Mayoristas'!$C$374,'Informacion del AEP'!$F$89:$AE$89,0))</f>
        <v>390016.66666666669</v>
      </c>
    </row>
    <row r="382" spans="3:15" x14ac:dyDescent="0.25">
      <c r="C382" s="5" t="str">
        <f>IF(Supuestos!$B$55="","",Supuestos!$B$55)</f>
        <v>Originación voz internacional USA-Canadá</v>
      </c>
      <c r="D382" s="78">
        <f>INDEX('Informacion del AEP'!$F$90:$AE$108,MATCH('Pagos Mayoristas'!$C382,'Informacion del AEP'!$C$90:$C$108,0),MATCH('Pagos Mayoristas'!C$374,'Informacion del AEP'!$F$89:$AE$89,0))*INDEX('Hoja Auxiliar'!$D$40:$D$58,MATCH('Pagos Mayoristas'!$C382,'Hoja Auxiliar'!$C$40:$C$58,0))</f>
        <v>9099999.9999999981</v>
      </c>
      <c r="F382" s="238">
        <f>IF(C382="","",('Precio Mayorista'!$D$100*INDEX('Informacion del AEP'!$D$90:$AE$108,MATCH(C382,'Informacion del AEP'!$C$90:$C$108,0),MATCH($C$374,'Informacion del AEP'!$D$89:$AE$89,0))*INDEX('Informacion del AEP'!$F$169:$F$187,MATCH(C382,'Informacion del AEP'!$C$169:$C$187,0))))</f>
        <v>0</v>
      </c>
      <c r="N382" s="209">
        <f>INDEX('Precio Mayorista'!$D$76:$D$94,MATCH('Pagos Mayoristas'!C382,'Precio Mayorista'!$G$76:$G$94,0))*INDEX('Informacion del AEP'!$F$90:$AE$108,MATCH('Pagos Mayoristas'!C382,'Informacion del AEP'!$C$90:$C$108,0),MATCH('Pagos Mayoristas'!$C$374,'Informacion del AEP'!$F$89:$AE$89,0))</f>
        <v>15166666.666666666</v>
      </c>
    </row>
    <row r="383" spans="3:15" x14ac:dyDescent="0.25">
      <c r="C383" s="5" t="str">
        <f>IF(Supuestos!$B$56="","",Supuestos!$B$56)</f>
        <v>Originación voz internacional Mundial Centroamérica</v>
      </c>
      <c r="D383" s="78">
        <f>INDEX('Informacion del AEP'!$F$90:$AE$108,MATCH('Pagos Mayoristas'!$C383,'Informacion del AEP'!$C$90:$C$108,0),MATCH('Pagos Mayoristas'!C$374,'Informacion del AEP'!$F$89:$AE$89,0))*INDEX('Hoja Auxiliar'!$D$40:$D$58,MATCH('Pagos Mayoristas'!$C383,'Hoja Auxiliar'!$C$40:$C$58,0))</f>
        <v>21000</v>
      </c>
      <c r="F383" s="238">
        <f>IF(C383="","",('Precio Mayorista'!$D$100*INDEX('Informacion del AEP'!$D$90:$AE$108,MATCH(C383,'Informacion del AEP'!$C$90:$C$108,0),MATCH($C$374,'Informacion del AEP'!$D$89:$AE$89,0))*INDEX('Informacion del AEP'!$F$169:$F$187,MATCH(C383,'Informacion del AEP'!$C$169:$C$187,0))))</f>
        <v>0</v>
      </c>
      <c r="N383" s="209">
        <f>INDEX('Precio Mayorista'!$D$76:$D$94,MATCH('Pagos Mayoristas'!C383,'Precio Mayorista'!$G$76:$G$94,0))*INDEX('Informacion del AEP'!$F$90:$AE$108,MATCH('Pagos Mayoristas'!C383,'Informacion del AEP'!$C$90:$C$108,0),MATCH('Pagos Mayoristas'!$C$374,'Informacion del AEP'!$F$89:$AE$89,0))</f>
        <v>1750000</v>
      </c>
    </row>
    <row r="384" spans="3:15" x14ac:dyDescent="0.25">
      <c r="C384" s="5" t="str">
        <f>IF(Supuestos!$B$57="","",Supuestos!$B$57)</f>
        <v>Originación voz internacional Mundial LATAM y Caribe</v>
      </c>
      <c r="D384" s="78">
        <f>INDEX('Informacion del AEP'!$F$90:$AE$108,MATCH('Pagos Mayoristas'!$C384,'Informacion del AEP'!$C$90:$C$108,0),MATCH('Pagos Mayoristas'!C$374,'Informacion del AEP'!$F$89:$AE$89,0))*INDEX('Hoja Auxiliar'!$D$40:$D$58,MATCH('Pagos Mayoristas'!$C384,'Hoja Auxiliar'!$C$40:$C$58,0))</f>
        <v>1399.9999999999998</v>
      </c>
      <c r="F384" s="238">
        <f>IF(C384="","",('Precio Mayorista'!$D$100*INDEX('Informacion del AEP'!$D$90:$AE$108,MATCH(C384,'Informacion del AEP'!$C$90:$C$108,0),MATCH($C$374,'Informacion del AEP'!$D$89:$AE$89,0))*INDEX('Informacion del AEP'!$F$169:$F$187,MATCH(C384,'Informacion del AEP'!$C$169:$C$187,0))))</f>
        <v>0</v>
      </c>
      <c r="N384" s="209">
        <f>INDEX('Precio Mayorista'!$D$76:$D$94,MATCH('Pagos Mayoristas'!C384,'Precio Mayorista'!$G$76:$G$94,0))*INDEX('Informacion del AEP'!$F$90:$AE$108,MATCH('Pagos Mayoristas'!C384,'Informacion del AEP'!$C$90:$C$108,0),MATCH('Pagos Mayoristas'!$C$374,'Informacion del AEP'!$F$89:$AE$89,0))</f>
        <v>233333.33333333331</v>
      </c>
    </row>
    <row r="385" spans="3:15" x14ac:dyDescent="0.25">
      <c r="C385" s="5" t="str">
        <f>IF(Supuestos!$B$58="","",Supuestos!$B$58)</f>
        <v>Originación voz internacional Europa</v>
      </c>
      <c r="D385" s="78">
        <f>INDEX('Informacion del AEP'!$F$90:$AE$108,MATCH('Pagos Mayoristas'!$C385,'Informacion del AEP'!$C$90:$C$108,0),MATCH('Pagos Mayoristas'!C$374,'Informacion del AEP'!$F$89:$AE$89,0))*INDEX('Hoja Auxiliar'!$D$40:$D$58,MATCH('Pagos Mayoristas'!$C385,'Hoja Auxiliar'!$C$40:$C$58,0))</f>
        <v>0</v>
      </c>
      <c r="F385" s="238">
        <f>IF(C385="","",('Precio Mayorista'!$D$100*INDEX('Informacion del AEP'!$D$90:$AE$108,MATCH(C385,'Informacion del AEP'!$C$90:$C$108,0),MATCH($C$374,'Informacion del AEP'!$D$89:$AE$89,0))*INDEX('Informacion del AEP'!$F$169:$F$187,MATCH(C385,'Informacion del AEP'!$C$169:$C$187,0))))</f>
        <v>0</v>
      </c>
      <c r="N385" s="209">
        <f>INDEX('Precio Mayorista'!$D$76:$D$94,MATCH('Pagos Mayoristas'!C385,'Precio Mayorista'!$G$76:$G$94,0))*INDEX('Informacion del AEP'!$F$90:$AE$108,MATCH('Pagos Mayoristas'!C385,'Informacion del AEP'!$C$90:$C$108,0),MATCH('Pagos Mayoristas'!$C$374,'Informacion del AEP'!$F$89:$AE$89,0))</f>
        <v>0</v>
      </c>
    </row>
    <row r="386" spans="3:15" x14ac:dyDescent="0.25">
      <c r="C386" s="5" t="str">
        <f>IF(Supuestos!$B$59="","",Supuestos!$B$59)</f>
        <v>Originación voz internacional Mundial Otros geográficos</v>
      </c>
      <c r="D386" s="78">
        <f>INDEX('Informacion del AEP'!$F$90:$AE$108,MATCH('Pagos Mayoristas'!$C386,'Informacion del AEP'!$C$90:$C$108,0),MATCH('Pagos Mayoristas'!C$374,'Informacion del AEP'!$F$89:$AE$89,0))*INDEX('Hoja Auxiliar'!$D$40:$D$58,MATCH('Pagos Mayoristas'!$C386,'Hoja Auxiliar'!$C$40:$C$58,0))</f>
        <v>70000</v>
      </c>
      <c r="F386" s="238">
        <f>IF(C386="","",('Precio Mayorista'!$D$100*INDEX('Informacion del AEP'!$D$90:$AE$108,MATCH(C386,'Informacion del AEP'!$C$90:$C$108,0),MATCH($C$374,'Informacion del AEP'!$D$89:$AE$89,0))*INDEX('Informacion del AEP'!$F$169:$F$187,MATCH(C386,'Informacion del AEP'!$C$169:$C$187,0))))</f>
        <v>0</v>
      </c>
      <c r="N386" s="209">
        <f>INDEX('Precio Mayorista'!$D$76:$D$94,MATCH('Pagos Mayoristas'!C386,'Precio Mayorista'!$G$76:$G$94,0))*INDEX('Informacion del AEP'!$F$90:$AE$108,MATCH('Pagos Mayoristas'!C386,'Informacion del AEP'!$C$90:$C$108,0),MATCH('Pagos Mayoristas'!$C$374,'Informacion del AEP'!$F$89:$AE$89,0))</f>
        <v>11666666.666666668</v>
      </c>
    </row>
    <row r="387" spans="3:15" x14ac:dyDescent="0.25">
      <c r="C387" s="5" t="str">
        <f>IF(Supuestos!$B$60="","",Supuestos!$B$60)</f>
        <v>Originación voz internacional Cuba</v>
      </c>
      <c r="D387" s="78">
        <f>INDEX('Informacion del AEP'!$F$90:$AE$108,MATCH('Pagos Mayoristas'!$C387,'Informacion del AEP'!$C$90:$C$108,0),MATCH('Pagos Mayoristas'!C$374,'Informacion del AEP'!$F$89:$AE$89,0))*INDEX('Hoja Auxiliar'!$D$40:$D$58,MATCH('Pagos Mayoristas'!$C387,'Hoja Auxiliar'!$C$40:$C$58,0))</f>
        <v>3500</v>
      </c>
      <c r="F387" s="238">
        <f>IF(C387="","",('Precio Mayorista'!$D$100*INDEX('Informacion del AEP'!$D$90:$AE$108,MATCH(C387,'Informacion del AEP'!$C$90:$C$108,0),MATCH($C$374,'Informacion del AEP'!$D$89:$AE$89,0))*INDEX('Informacion del AEP'!$F$169:$F$187,MATCH(C387,'Informacion del AEP'!$C$169:$C$187,0))))</f>
        <v>0</v>
      </c>
      <c r="N387" s="209">
        <f>INDEX('Precio Mayorista'!$D$76:$D$94,MATCH('Pagos Mayoristas'!C387,'Precio Mayorista'!$G$76:$G$94,0))*INDEX('Informacion del AEP'!$F$90:$AE$108,MATCH('Pagos Mayoristas'!C387,'Informacion del AEP'!$C$90:$C$108,0),MATCH('Pagos Mayoristas'!$C$374,'Informacion del AEP'!$F$89:$AE$89,0))</f>
        <v>1750000</v>
      </c>
    </row>
    <row r="388" spans="3:15" x14ac:dyDescent="0.25">
      <c r="C388" s="5" t="str">
        <f>IF(Supuestos!$B$61="","",Supuestos!$B$61)</f>
        <v>Originación voz Mundial destinos no geográficos</v>
      </c>
      <c r="D388" s="78">
        <f>INDEX('Informacion del AEP'!$F$90:$AE$108,MATCH('Pagos Mayoristas'!$C388,'Informacion del AEP'!$C$90:$C$108,0),MATCH('Pagos Mayoristas'!C$374,'Informacion del AEP'!$F$89:$AE$89,0))*INDEX('Hoja Auxiliar'!$D$40:$D$58,MATCH('Pagos Mayoristas'!$C388,'Hoja Auxiliar'!$C$40:$C$58,0))</f>
        <v>0</v>
      </c>
      <c r="F388" s="238">
        <f>IF(C388="","",('Precio Mayorista'!$D$100*INDEX('Informacion del AEP'!$D$90:$AE$108,MATCH(C388,'Informacion del AEP'!$C$90:$C$108,0),MATCH($C$374,'Informacion del AEP'!$D$89:$AE$89,0))*INDEX('Informacion del AEP'!$F$169:$F$187,MATCH(C388,'Informacion del AEP'!$C$169:$C$187,0))))</f>
        <v>0</v>
      </c>
      <c r="N388" s="209">
        <f>INDEX('Precio Mayorista'!$D$76:$D$94,MATCH('Pagos Mayoristas'!C388,'Precio Mayorista'!$G$76:$G$94,0))*INDEX('Informacion del AEP'!$F$90:$AE$108,MATCH('Pagos Mayoristas'!C388,'Informacion del AEP'!$C$90:$C$108,0),MATCH('Pagos Mayoristas'!$C$374,'Informacion del AEP'!$F$89:$AE$89,0))</f>
        <v>0</v>
      </c>
    </row>
    <row r="389" spans="3:15" x14ac:dyDescent="0.25">
      <c r="C389" s="5" t="str">
        <f>IF(Supuestos!$B$62="","",Supuestos!$B$62)</f>
        <v>Originación SMS on-net</v>
      </c>
      <c r="D389" s="78">
        <f>INDEX('Informacion del AEP'!$F$90:$AE$108,MATCH('Pagos Mayoristas'!$C389,'Informacion del AEP'!$C$90:$C$108,0),MATCH('Pagos Mayoristas'!C$374,'Informacion del AEP'!$F$89:$AE$89,0))*INDEX('Hoja Auxiliar'!$D$40:$D$58,MATCH('Pagos Mayoristas'!$C389,'Hoja Auxiliar'!$C$40:$C$58,0))</f>
        <v>7000000</v>
      </c>
      <c r="F389" s="238">
        <f>IF(C389="","",('Precio Mayorista'!$D$100*INDEX('Informacion del AEP'!$D$90:$AE$108,MATCH(C389,'Informacion del AEP'!$C$90:$C$108,0),MATCH($C$374,'Informacion del AEP'!$D$89:$AE$89,0))*INDEX('Informacion del AEP'!$F$169:$F$187,MATCH(C389,'Informacion del AEP'!$C$169:$C$187,0))))</f>
        <v>0</v>
      </c>
      <c r="N389" s="209">
        <f>INDEX('Precio Mayorista'!$D$76:$D$94,MATCH('Pagos Mayoristas'!C389,'Precio Mayorista'!$G$76:$G$94,0))*INDEX('Informacion del AEP'!$F$90:$AE$108,MATCH('Pagos Mayoristas'!C389,'Informacion del AEP'!$C$90:$C$108,0),MATCH('Pagos Mayoristas'!$C$374,'Informacion del AEP'!$F$89:$AE$89,0))</f>
        <v>0</v>
      </c>
    </row>
    <row r="390" spans="3:15" x14ac:dyDescent="0.25">
      <c r="C390" s="5" t="str">
        <f>IF(Supuestos!$B$63="","",Supuestos!$B$63)</f>
        <v>Originación SMS - off-net nacional</v>
      </c>
      <c r="D390" s="78">
        <f>INDEX('Informacion del AEP'!$F$90:$AE$108,MATCH('Pagos Mayoristas'!$C390,'Informacion del AEP'!$C$90:$C$108,0),MATCH('Pagos Mayoristas'!C$374,'Informacion del AEP'!$F$89:$AE$89,0))*INDEX('Hoja Auxiliar'!$D$40:$D$58,MATCH('Pagos Mayoristas'!$C390,'Hoja Auxiliar'!$C$40:$C$58,0))</f>
        <v>1750000</v>
      </c>
      <c r="F390" s="238">
        <f>IF(C390="","",('Precio Mayorista'!$D$100*INDEX('Informacion del AEP'!$D$90:$AE$108,MATCH(C390,'Informacion del AEP'!$C$90:$C$108,0),MATCH($C$374,'Informacion del AEP'!$D$89:$AE$89,0))*INDEX('Informacion del AEP'!$F$169:$F$187,MATCH(C390,'Informacion del AEP'!$C$169:$C$187,0))))</f>
        <v>0</v>
      </c>
      <c r="N390" s="209">
        <f>INDEX('Precio Mayorista'!$D$76:$D$94,MATCH('Pagos Mayoristas'!C390,'Precio Mayorista'!$G$76:$G$94,0))*INDEX('Informacion del AEP'!$F$90:$AE$108,MATCH('Pagos Mayoristas'!C390,'Informacion del AEP'!$C$90:$C$108,0),MATCH('Pagos Mayoristas'!$C$374,'Informacion del AEP'!$F$89:$AE$89,0))</f>
        <v>1081733.3333333335</v>
      </c>
    </row>
    <row r="391" spans="3:15" x14ac:dyDescent="0.25">
      <c r="C391" s="5" t="str">
        <f>IF(Supuestos!$B$64="","",Supuestos!$B$64)</f>
        <v>Originación SMS internacional (USA-Canadá)</v>
      </c>
      <c r="D391" s="78">
        <f>INDEX('Informacion del AEP'!$F$90:$AE$108,MATCH('Pagos Mayoristas'!$C391,'Informacion del AEP'!$C$90:$C$108,0),MATCH('Pagos Mayoristas'!C$374,'Informacion del AEP'!$F$89:$AE$89,0))*INDEX('Hoja Auxiliar'!$D$40:$D$58,MATCH('Pagos Mayoristas'!$C391,'Hoja Auxiliar'!$C$40:$C$58,0))</f>
        <v>349999.99999999994</v>
      </c>
      <c r="F391" s="238">
        <f>IF(C391="","",('Precio Mayorista'!$D$100*INDEX('Informacion del AEP'!$D$90:$AE$108,MATCH(C391,'Informacion del AEP'!$C$90:$C$108,0),MATCH($C$374,'Informacion del AEP'!$D$89:$AE$89,0))*INDEX('Informacion del AEP'!$F$169:$F$187,MATCH(C391,'Informacion del AEP'!$C$169:$C$187,0))))</f>
        <v>0</v>
      </c>
      <c r="N391" s="209">
        <f>INDEX('Precio Mayorista'!$D$76:$D$94,MATCH('Pagos Mayoristas'!C391,'Precio Mayorista'!$G$76:$G$94,0))*INDEX('Informacion del AEP'!$F$90:$AE$108,MATCH('Pagos Mayoristas'!C391,'Informacion del AEP'!$C$90:$C$108,0),MATCH('Pagos Mayoristas'!$C$374,'Informacion del AEP'!$F$89:$AE$89,0))</f>
        <v>11666666.666666666</v>
      </c>
    </row>
    <row r="392" spans="3:15" x14ac:dyDescent="0.25">
      <c r="C392" s="5" t="str">
        <f>IF(Supuestos!$B$65="","",Supuestos!$B$65)</f>
        <v>Originación SMS internacional (Resto del Mundo)</v>
      </c>
      <c r="D392" s="78">
        <f>INDEX('Informacion del AEP'!$F$90:$AE$108,MATCH('Pagos Mayoristas'!$C392,'Informacion del AEP'!$C$90:$C$108,0),MATCH('Pagos Mayoristas'!C$374,'Informacion del AEP'!$F$89:$AE$89,0))*INDEX('Hoja Auxiliar'!$D$40:$D$58,MATCH('Pagos Mayoristas'!$C392,'Hoja Auxiliar'!$C$40:$C$58,0))</f>
        <v>35000</v>
      </c>
      <c r="F392" s="238">
        <f>IF(C392="","",('Precio Mayorista'!$D$100*INDEX('Informacion del AEP'!$D$90:$AE$108,MATCH(C392,'Informacion del AEP'!$C$90:$C$108,0),MATCH($C$374,'Informacion del AEP'!$D$89:$AE$89,0))*INDEX('Informacion del AEP'!$F$169:$F$187,MATCH(C392,'Informacion del AEP'!$C$169:$C$187,0))))</f>
        <v>0</v>
      </c>
      <c r="N392" s="209">
        <f>INDEX('Precio Mayorista'!$D$76:$D$94,MATCH('Pagos Mayoristas'!C392,'Precio Mayorista'!$G$76:$G$94,0))*INDEX('Informacion del AEP'!$F$90:$AE$108,MATCH('Pagos Mayoristas'!C392,'Informacion del AEP'!$C$90:$C$108,0),MATCH('Pagos Mayoristas'!$C$374,'Informacion del AEP'!$F$89:$AE$89,0))</f>
        <v>1750000</v>
      </c>
    </row>
    <row r="393" spans="3:15" x14ac:dyDescent="0.25">
      <c r="C393" s="5" t="str">
        <f>IF(Supuestos!$B$66="","",Supuestos!$B$66)</f>
        <v>Otros servicios (incluyendo marcaciones especiales)</v>
      </c>
      <c r="D393" s="78">
        <f>INDEX('Informacion del AEP'!$F$90:$AE$108,MATCH('Pagos Mayoristas'!$C393,'Informacion del AEP'!$C$90:$C$108,0),MATCH('Pagos Mayoristas'!C$374,'Informacion del AEP'!$F$89:$AE$89,0))*INDEX('Hoja Auxiliar'!$D$40:$D$58,MATCH('Pagos Mayoristas'!$C393,'Hoja Auxiliar'!$C$40:$C$58,0))</f>
        <v>35000000</v>
      </c>
      <c r="F393" s="238">
        <f>IF(C393="","",('Precio Mayorista'!$D$100*INDEX('Informacion del AEP'!$D$90:$AE$108,MATCH(C393,'Informacion del AEP'!$C$90:$C$108,0),MATCH($C$374,'Informacion del AEP'!$D$89:$AE$89,0))*INDEX('Informacion del AEP'!$F$169:$F$187,MATCH(C393,'Informacion del AEP'!$C$169:$C$187,0))))</f>
        <v>0</v>
      </c>
      <c r="N393" s="209">
        <f>INDEX('Precio Mayorista'!$D$76:$D$94,MATCH('Pagos Mayoristas'!C393,'Precio Mayorista'!$G$76:$G$94,0))*INDEX('Informacion del AEP'!$F$90:$AE$108,MATCH('Pagos Mayoristas'!C393,'Informacion del AEP'!$C$90:$C$108,0),MATCH('Pagos Mayoristas'!$C$374,'Informacion del AEP'!$F$89:$AE$89,0))</f>
        <v>0</v>
      </c>
    </row>
    <row r="400" spans="3:15" ht="13" x14ac:dyDescent="0.3">
      <c r="C400" s="74" t="str">
        <f>Supuestos!$B$85</f>
        <v>Telcel Pospago 2</v>
      </c>
      <c r="D400" s="77">
        <f>SUM(D401:D419)</f>
        <v>559664233.33333325</v>
      </c>
      <c r="E400" s="75"/>
      <c r="F400" s="77">
        <f>SUM(F401:F419)</f>
        <v>0</v>
      </c>
      <c r="G400" s="75"/>
      <c r="H400" s="77"/>
      <c r="I400" s="77">
        <f>INDEX('Informacion del AEP'!$H$31:$H$84,MATCH('Pagos Mayoristas'!C400,'Informacion del AEP'!$C$31:$C$84,0))*'Hoja Auxiliar'!$D$61</f>
        <v>215265</v>
      </c>
      <c r="J400" s="4"/>
      <c r="K400" s="77"/>
      <c r="L400" s="204">
        <f>$L$10*(INDEX('Informacion del AEP'!$F$12:$AE$12,MATCH('Pagos Mayoristas'!C400,'Informacion del AEP'!$F$11:$AE$11,0))/INDEX('Informacion del AEP'!$F$12:$AE$12,MATCH('Pagos Mayoristas'!$C$10,'Informacion del AEP'!$F$11:$AE$11,0)))</f>
        <v>81827.309257028144</v>
      </c>
      <c r="M400" s="204"/>
      <c r="N400" s="77">
        <f>SUM(N401:N419)</f>
        <v>80715600</v>
      </c>
      <c r="O400" s="204">
        <f>SUM(D400:N400)</f>
        <v>640676925.64259028</v>
      </c>
    </row>
    <row r="401" spans="3:14" x14ac:dyDescent="0.25">
      <c r="C401" s="5" t="str">
        <f>IF(Supuestos!$B$48="","",Supuestos!$B$48)</f>
        <v>Datos</v>
      </c>
      <c r="D401" s="78">
        <f>INDEX('Informacion del AEP'!$F$90:$AE$108,MATCH('Pagos Mayoristas'!$C401,'Informacion del AEP'!$C$90:$C$108,0),MATCH('Pagos Mayoristas'!C$400,'Informacion del AEP'!$F$89:$AE$89,0))*INDEX('Hoja Auxiliar'!$D$40:$D$58,MATCH('Pagos Mayoristas'!$C401,'Hoja Auxiliar'!$C$40:$C$58,0))</f>
        <v>296333333.33333331</v>
      </c>
      <c r="F401" s="238">
        <f>IF(C401="","",('Precio Mayorista'!$D$100*INDEX('Informacion del AEP'!$D$90:$AE$108,MATCH(C401,'Informacion del AEP'!$C$90:$C$108,0),MATCH($C$400,'Informacion del AEP'!$D$89:$AE$89,0))*INDEX('Informacion del AEP'!$F$169:$F$187,MATCH(C401,'Informacion del AEP'!$C$169:$C$187,0))))</f>
        <v>0</v>
      </c>
      <c r="N401" s="209">
        <f>INDEX('Precio Mayorista'!$D$76:$D$94,MATCH('Pagos Mayoristas'!C401,'Precio Mayorista'!$G$76:$G$94,0))*INDEX('Informacion del AEP'!$F$90:$AE$108,MATCH('Pagos Mayoristas'!C401,'Informacion del AEP'!$C$90:$C$108,0),MATCH('Pagos Mayoristas'!$C$400,'Informacion del AEP'!$F$89:$AE$89,0))</f>
        <v>0</v>
      </c>
    </row>
    <row r="402" spans="3:14" x14ac:dyDescent="0.25">
      <c r="C402" s="5" t="str">
        <f>IF(Supuestos!$B$49="","",Supuestos!$B$49)</f>
        <v>Originación voz on-net local</v>
      </c>
      <c r="D402" s="78">
        <f>INDEX('Informacion del AEP'!$F$90:$AE$108,MATCH('Pagos Mayoristas'!$C402,'Informacion del AEP'!$C$90:$C$108,0),MATCH('Pagos Mayoristas'!C$400,'Informacion del AEP'!$F$89:$AE$89,0))*INDEX('Hoja Auxiliar'!$D$40:$D$58,MATCH('Pagos Mayoristas'!$C402,'Hoja Auxiliar'!$C$40:$C$58,0))</f>
        <v>70000000</v>
      </c>
      <c r="F402" s="238">
        <f>IF(C402="","",('Precio Mayorista'!$D$100*INDEX('Informacion del AEP'!$D$90:$AE$108,MATCH(C402,'Informacion del AEP'!$C$90:$C$108,0),MATCH($C$400,'Informacion del AEP'!$D$89:$AE$89,0))*INDEX('Informacion del AEP'!$F$169:$F$187,MATCH(C402,'Informacion del AEP'!$C$169:$C$187,0))))</f>
        <v>0</v>
      </c>
      <c r="N402" s="209">
        <f>INDEX('Precio Mayorista'!$D$76:$D$94,MATCH('Pagos Mayoristas'!C402,'Precio Mayorista'!$G$76:$G$94,0))*INDEX('Informacion del AEP'!$F$90:$AE$108,MATCH('Pagos Mayoristas'!C402,'Informacion del AEP'!$C$90:$C$108,0),MATCH('Pagos Mayoristas'!$C$400,'Informacion del AEP'!$F$89:$AE$89,0))</f>
        <v>0</v>
      </c>
    </row>
    <row r="403" spans="3:14" x14ac:dyDescent="0.25">
      <c r="C403" s="5" t="str">
        <f>IF(Supuestos!$B$50="","",Supuestos!$B$50)</f>
        <v>Originación voz off-net móvil local</v>
      </c>
      <c r="D403" s="78">
        <f>INDEX('Informacion del AEP'!$F$90:$AE$108,MATCH('Pagos Mayoristas'!$C403,'Informacion del AEP'!$C$90:$C$108,0),MATCH('Pagos Mayoristas'!C$400,'Informacion del AEP'!$F$89:$AE$89,0))*INDEX('Hoja Auxiliar'!$D$40:$D$58,MATCH('Pagos Mayoristas'!$C403,'Hoja Auxiliar'!$C$40:$C$58,0))</f>
        <v>14000000</v>
      </c>
      <c r="F403" s="238">
        <f>IF(C403="","",('Precio Mayorista'!$D$100*INDEX('Informacion del AEP'!$D$90:$AE$108,MATCH(C403,'Informacion del AEP'!$C$90:$C$108,0),MATCH($C$400,'Informacion del AEP'!$D$89:$AE$89,0))*INDEX('Informacion del AEP'!$F$169:$F$187,MATCH(C403,'Informacion del AEP'!$C$169:$C$187,0))))</f>
        <v>0</v>
      </c>
      <c r="N403" s="209">
        <f>INDEX('Precio Mayorista'!$D$76:$D$94,MATCH('Pagos Mayoristas'!C403,'Precio Mayorista'!$G$76:$G$94,0))*INDEX('Informacion del AEP'!$F$90:$AE$108,MATCH('Pagos Mayoristas'!C403,'Informacion del AEP'!$C$90:$C$108,0),MATCH('Pagos Mayoristas'!$C$400,'Informacion del AEP'!$F$89:$AE$89,0))</f>
        <v>19703133.333333336</v>
      </c>
    </row>
    <row r="404" spans="3:14" x14ac:dyDescent="0.25">
      <c r="C404" s="5" t="str">
        <f>IF(Supuestos!$B$51="","",Supuestos!$B$51)</f>
        <v>Originación voz off-net fijo local</v>
      </c>
      <c r="D404" s="78">
        <f>INDEX('Informacion del AEP'!$F$90:$AE$108,MATCH('Pagos Mayoristas'!$C404,'Informacion del AEP'!$C$90:$C$108,0),MATCH('Pagos Mayoristas'!C$400,'Informacion del AEP'!$F$89:$AE$89,0))*INDEX('Hoja Auxiliar'!$D$40:$D$58,MATCH('Pagos Mayoristas'!$C404,'Hoja Auxiliar'!$C$40:$C$58,0))</f>
        <v>7000000</v>
      </c>
      <c r="F404" s="238">
        <f>IF(C404="","",('Precio Mayorista'!$D$100*INDEX('Informacion del AEP'!$D$90:$AE$108,MATCH(C404,'Informacion del AEP'!$C$90:$C$108,0),MATCH($C$400,'Informacion del AEP'!$D$89:$AE$89,0))*INDEX('Informacion del AEP'!$F$169:$F$187,MATCH(C404,'Informacion del AEP'!$C$169:$C$187,0))))</f>
        <v>0</v>
      </c>
      <c r="N404" s="209">
        <f>INDEX('Precio Mayorista'!$D$76:$D$94,MATCH('Pagos Mayoristas'!C404,'Precio Mayorista'!$G$76:$G$94,0))*INDEX('Informacion del AEP'!$F$90:$AE$108,MATCH('Pagos Mayoristas'!C404,'Informacion del AEP'!$C$90:$C$108,0),MATCH('Pagos Mayoristas'!$C$400,'Informacion del AEP'!$F$89:$AE$89,0))</f>
        <v>780033.33333333337</v>
      </c>
    </row>
    <row r="405" spans="3:14" x14ac:dyDescent="0.25">
      <c r="C405" s="5" t="str">
        <f>IF(Supuestos!$B$52="","",Supuestos!$B$52)</f>
        <v>Originación voz on-net LDN</v>
      </c>
      <c r="D405" s="78">
        <f>INDEX('Informacion del AEP'!$F$90:$AE$108,MATCH('Pagos Mayoristas'!$C405,'Informacion del AEP'!$C$90:$C$108,0),MATCH('Pagos Mayoristas'!C$400,'Informacion del AEP'!$F$89:$AE$89,0))*INDEX('Hoja Auxiliar'!$D$40:$D$58,MATCH('Pagos Mayoristas'!$C405,'Hoja Auxiliar'!$C$40:$C$58,0))</f>
        <v>105000000</v>
      </c>
      <c r="F405" s="238">
        <f>IF(C405="","",('Precio Mayorista'!$D$100*INDEX('Informacion del AEP'!$D$90:$AE$108,MATCH(C405,'Informacion del AEP'!$C$90:$C$108,0),MATCH($C$400,'Informacion del AEP'!$D$89:$AE$89,0))*INDEX('Informacion del AEP'!$F$169:$F$187,MATCH(C405,'Informacion del AEP'!$C$169:$C$187,0))))</f>
        <v>0</v>
      </c>
      <c r="N405" s="209">
        <f>INDEX('Precio Mayorista'!$D$76:$D$94,MATCH('Pagos Mayoristas'!C405,'Precio Mayorista'!$G$76:$G$94,0))*INDEX('Informacion del AEP'!$F$90:$AE$108,MATCH('Pagos Mayoristas'!C405,'Informacion del AEP'!$C$90:$C$108,0),MATCH('Pagos Mayoristas'!$C$400,'Informacion del AEP'!$F$89:$AE$89,0))</f>
        <v>0</v>
      </c>
    </row>
    <row r="406" spans="3:14" x14ac:dyDescent="0.25">
      <c r="C406" s="5" t="str">
        <f>IF(Supuestos!$B$53="","",Supuestos!$B$53)</f>
        <v>Originación voz off-net móvil LDN</v>
      </c>
      <c r="D406" s="78">
        <f>INDEX('Informacion del AEP'!$F$90:$AE$108,MATCH('Pagos Mayoristas'!$C406,'Informacion del AEP'!$C$90:$C$108,0),MATCH('Pagos Mayoristas'!C$400,'Informacion del AEP'!$F$89:$AE$89,0))*INDEX('Hoja Auxiliar'!$D$40:$D$58,MATCH('Pagos Mayoristas'!$C406,'Hoja Auxiliar'!$C$40:$C$58,0))</f>
        <v>10499999.999999998</v>
      </c>
      <c r="F406" s="238">
        <f>IF(C406="","",('Precio Mayorista'!$D$100*INDEX('Informacion del AEP'!$D$90:$AE$108,MATCH(C406,'Informacion del AEP'!$C$90:$C$108,0),MATCH($C$400,'Informacion del AEP'!$D$89:$AE$89,0))*INDEX('Informacion del AEP'!$F$169:$F$187,MATCH(C406,'Informacion del AEP'!$C$169:$C$187,0))))</f>
        <v>0</v>
      </c>
      <c r="N406" s="209">
        <f>INDEX('Precio Mayorista'!$D$76:$D$94,MATCH('Pagos Mayoristas'!C406,'Precio Mayorista'!$G$76:$G$94,0))*INDEX('Informacion del AEP'!$F$90:$AE$108,MATCH('Pagos Mayoristas'!C406,'Informacion del AEP'!$C$90:$C$108,0),MATCH('Pagos Mayoristas'!$C$400,'Informacion del AEP'!$F$89:$AE$89,0))</f>
        <v>14777349.999999998</v>
      </c>
    </row>
    <row r="407" spans="3:14" x14ac:dyDescent="0.25">
      <c r="C407" s="5" t="str">
        <f>IF(Supuestos!$B$54="","",Supuestos!$B$54)</f>
        <v>Originación voz off-net fijo LDN</v>
      </c>
      <c r="D407" s="78">
        <f>INDEX('Informacion del AEP'!$F$90:$AE$108,MATCH('Pagos Mayoristas'!$C407,'Informacion del AEP'!$C$90:$C$108,0),MATCH('Pagos Mayoristas'!C$400,'Informacion del AEP'!$F$89:$AE$89,0))*INDEX('Hoja Auxiliar'!$D$40:$D$58,MATCH('Pagos Mayoristas'!$C407,'Hoja Auxiliar'!$C$40:$C$58,0))</f>
        <v>3500000</v>
      </c>
      <c r="F407" s="238">
        <f>IF(C407="","",('Precio Mayorista'!$D$100*INDEX('Informacion del AEP'!$D$90:$AE$108,MATCH(C407,'Informacion del AEP'!$C$90:$C$108,0),MATCH($C$400,'Informacion del AEP'!$D$89:$AE$89,0))*INDEX('Informacion del AEP'!$F$169:$F$187,MATCH(C407,'Informacion del AEP'!$C$169:$C$187,0))))</f>
        <v>0</v>
      </c>
      <c r="N407" s="209">
        <f>INDEX('Precio Mayorista'!$D$76:$D$94,MATCH('Pagos Mayoristas'!C407,'Precio Mayorista'!$G$76:$G$94,0))*INDEX('Informacion del AEP'!$F$90:$AE$108,MATCH('Pagos Mayoristas'!C407,'Informacion del AEP'!$C$90:$C$108,0),MATCH('Pagos Mayoristas'!$C$400,'Informacion del AEP'!$F$89:$AE$89,0))</f>
        <v>390016.66666666669</v>
      </c>
    </row>
    <row r="408" spans="3:14" x14ac:dyDescent="0.25">
      <c r="C408" s="5" t="str">
        <f>IF(Supuestos!$B$55="","",Supuestos!$B$55)</f>
        <v>Originación voz internacional USA-Canadá</v>
      </c>
      <c r="D408" s="78">
        <f>INDEX('Informacion del AEP'!$F$90:$AE$108,MATCH('Pagos Mayoristas'!$C408,'Informacion del AEP'!$C$90:$C$108,0),MATCH('Pagos Mayoristas'!C$400,'Informacion del AEP'!$F$89:$AE$89,0))*INDEX('Hoja Auxiliar'!$D$40:$D$58,MATCH('Pagos Mayoristas'!$C408,'Hoja Auxiliar'!$C$40:$C$58,0))</f>
        <v>9099999.9999999981</v>
      </c>
      <c r="F408" s="238">
        <f>IF(C408="","",('Precio Mayorista'!$D$100*INDEX('Informacion del AEP'!$D$90:$AE$108,MATCH(C408,'Informacion del AEP'!$C$90:$C$108,0),MATCH($C$400,'Informacion del AEP'!$D$89:$AE$89,0))*INDEX('Informacion del AEP'!$F$169:$F$187,MATCH(C408,'Informacion del AEP'!$C$169:$C$187,0))))</f>
        <v>0</v>
      </c>
      <c r="N408" s="209">
        <f>INDEX('Precio Mayorista'!$D$76:$D$94,MATCH('Pagos Mayoristas'!C408,'Precio Mayorista'!$G$76:$G$94,0))*INDEX('Informacion del AEP'!$F$90:$AE$108,MATCH('Pagos Mayoristas'!C408,'Informacion del AEP'!$C$90:$C$108,0),MATCH('Pagos Mayoristas'!$C$400,'Informacion del AEP'!$F$89:$AE$89,0))</f>
        <v>15166666.666666666</v>
      </c>
    </row>
    <row r="409" spans="3:14" x14ac:dyDescent="0.25">
      <c r="C409" s="5" t="str">
        <f>IF(Supuestos!$B$56="","",Supuestos!$B$56)</f>
        <v>Originación voz internacional Mundial Centroamérica</v>
      </c>
      <c r="D409" s="78">
        <f>INDEX('Informacion del AEP'!$F$90:$AE$108,MATCH('Pagos Mayoristas'!$C409,'Informacion del AEP'!$C$90:$C$108,0),MATCH('Pagos Mayoristas'!C$400,'Informacion del AEP'!$F$89:$AE$89,0))*INDEX('Hoja Auxiliar'!$D$40:$D$58,MATCH('Pagos Mayoristas'!$C409,'Hoja Auxiliar'!$C$40:$C$58,0))</f>
        <v>21000</v>
      </c>
      <c r="F409" s="238">
        <f>IF(C409="","",('Precio Mayorista'!$D$100*INDEX('Informacion del AEP'!$D$90:$AE$108,MATCH(C409,'Informacion del AEP'!$C$90:$C$108,0),MATCH($C$400,'Informacion del AEP'!$D$89:$AE$89,0))*INDEX('Informacion del AEP'!$F$169:$F$187,MATCH(C409,'Informacion del AEP'!$C$169:$C$187,0))))</f>
        <v>0</v>
      </c>
      <c r="N409" s="209">
        <f>INDEX('Precio Mayorista'!$D$76:$D$94,MATCH('Pagos Mayoristas'!C409,'Precio Mayorista'!$G$76:$G$94,0))*INDEX('Informacion del AEP'!$F$90:$AE$108,MATCH('Pagos Mayoristas'!C409,'Informacion del AEP'!$C$90:$C$108,0),MATCH('Pagos Mayoristas'!$C$400,'Informacion del AEP'!$F$89:$AE$89,0))</f>
        <v>1750000</v>
      </c>
    </row>
    <row r="410" spans="3:14" x14ac:dyDescent="0.25">
      <c r="C410" s="5" t="str">
        <f>IF(Supuestos!$B$57="","",Supuestos!$B$57)</f>
        <v>Originación voz internacional Mundial LATAM y Caribe</v>
      </c>
      <c r="D410" s="78">
        <f>INDEX('Informacion del AEP'!$F$90:$AE$108,MATCH('Pagos Mayoristas'!$C410,'Informacion del AEP'!$C$90:$C$108,0),MATCH('Pagos Mayoristas'!C$400,'Informacion del AEP'!$F$89:$AE$89,0))*INDEX('Hoja Auxiliar'!$D$40:$D$58,MATCH('Pagos Mayoristas'!$C410,'Hoja Auxiliar'!$C$40:$C$58,0))</f>
        <v>1399.9999999999998</v>
      </c>
      <c r="F410" s="238">
        <f>IF(C410="","",('Precio Mayorista'!$D$100*INDEX('Informacion del AEP'!$D$90:$AE$108,MATCH(C410,'Informacion del AEP'!$C$90:$C$108,0),MATCH($C$400,'Informacion del AEP'!$D$89:$AE$89,0))*INDEX('Informacion del AEP'!$F$169:$F$187,MATCH(C410,'Informacion del AEP'!$C$169:$C$187,0))))</f>
        <v>0</v>
      </c>
      <c r="N410" s="209">
        <f>INDEX('Precio Mayorista'!$D$76:$D$94,MATCH('Pagos Mayoristas'!C410,'Precio Mayorista'!$G$76:$G$94,0))*INDEX('Informacion del AEP'!$F$90:$AE$108,MATCH('Pagos Mayoristas'!C410,'Informacion del AEP'!$C$90:$C$108,0),MATCH('Pagos Mayoristas'!$C$400,'Informacion del AEP'!$F$89:$AE$89,0))</f>
        <v>233333.33333333331</v>
      </c>
    </row>
    <row r="411" spans="3:14" x14ac:dyDescent="0.25">
      <c r="C411" s="5" t="str">
        <f>IF(Supuestos!$B$58="","",Supuestos!$B$58)</f>
        <v>Originación voz internacional Europa</v>
      </c>
      <c r="D411" s="78">
        <f>INDEX('Informacion del AEP'!$F$90:$AE$108,MATCH('Pagos Mayoristas'!$C411,'Informacion del AEP'!$C$90:$C$108,0),MATCH('Pagos Mayoristas'!C$400,'Informacion del AEP'!$F$89:$AE$89,0))*INDEX('Hoja Auxiliar'!$D$40:$D$58,MATCH('Pagos Mayoristas'!$C411,'Hoja Auxiliar'!$C$40:$C$58,0))</f>
        <v>0</v>
      </c>
      <c r="F411" s="238">
        <f>IF(C411="","",('Precio Mayorista'!$D$100*INDEX('Informacion del AEP'!$D$90:$AE$108,MATCH(C411,'Informacion del AEP'!$C$90:$C$108,0),MATCH($C$400,'Informacion del AEP'!$D$89:$AE$89,0))*INDEX('Informacion del AEP'!$F$169:$F$187,MATCH(C411,'Informacion del AEP'!$C$169:$C$187,0))))</f>
        <v>0</v>
      </c>
      <c r="N411" s="209">
        <f>INDEX('Precio Mayorista'!$D$76:$D$94,MATCH('Pagos Mayoristas'!C411,'Precio Mayorista'!$G$76:$G$94,0))*INDEX('Informacion del AEP'!$F$90:$AE$108,MATCH('Pagos Mayoristas'!C411,'Informacion del AEP'!$C$90:$C$108,0),MATCH('Pagos Mayoristas'!$C$400,'Informacion del AEP'!$F$89:$AE$89,0))</f>
        <v>0</v>
      </c>
    </row>
    <row r="412" spans="3:14" x14ac:dyDescent="0.25">
      <c r="C412" s="5" t="str">
        <f>IF(Supuestos!$B$59="","",Supuestos!$B$59)</f>
        <v>Originación voz internacional Mundial Otros geográficos</v>
      </c>
      <c r="D412" s="78">
        <f>INDEX('Informacion del AEP'!$F$90:$AE$108,MATCH('Pagos Mayoristas'!$C412,'Informacion del AEP'!$C$90:$C$108,0),MATCH('Pagos Mayoristas'!C$400,'Informacion del AEP'!$F$89:$AE$89,0))*INDEX('Hoja Auxiliar'!$D$40:$D$58,MATCH('Pagos Mayoristas'!$C412,'Hoja Auxiliar'!$C$40:$C$58,0))</f>
        <v>70000</v>
      </c>
      <c r="F412" s="238">
        <f>IF(C412="","",('Precio Mayorista'!$D$100*INDEX('Informacion del AEP'!$D$90:$AE$108,MATCH(C412,'Informacion del AEP'!$C$90:$C$108,0),MATCH($C$400,'Informacion del AEP'!$D$89:$AE$89,0))*INDEX('Informacion del AEP'!$F$169:$F$187,MATCH(C412,'Informacion del AEP'!$C$169:$C$187,0))))</f>
        <v>0</v>
      </c>
      <c r="N412" s="209">
        <f>INDEX('Precio Mayorista'!$D$76:$D$94,MATCH('Pagos Mayoristas'!C412,'Precio Mayorista'!$G$76:$G$94,0))*INDEX('Informacion del AEP'!$F$90:$AE$108,MATCH('Pagos Mayoristas'!C412,'Informacion del AEP'!$C$90:$C$108,0),MATCH('Pagos Mayoristas'!$C$400,'Informacion del AEP'!$F$89:$AE$89,0))</f>
        <v>11666666.666666668</v>
      </c>
    </row>
    <row r="413" spans="3:14" x14ac:dyDescent="0.25">
      <c r="C413" s="5" t="str">
        <f>IF(Supuestos!$B$60="","",Supuestos!$B$60)</f>
        <v>Originación voz internacional Cuba</v>
      </c>
      <c r="D413" s="78">
        <f>INDEX('Informacion del AEP'!$F$90:$AE$108,MATCH('Pagos Mayoristas'!$C413,'Informacion del AEP'!$C$90:$C$108,0),MATCH('Pagos Mayoristas'!C$400,'Informacion del AEP'!$F$89:$AE$89,0))*INDEX('Hoja Auxiliar'!$D$40:$D$58,MATCH('Pagos Mayoristas'!$C413,'Hoja Auxiliar'!$C$40:$C$58,0))</f>
        <v>3500</v>
      </c>
      <c r="F413" s="238">
        <f>IF(C413="","",('Precio Mayorista'!$D$100*INDEX('Informacion del AEP'!$D$90:$AE$108,MATCH(C413,'Informacion del AEP'!$C$90:$C$108,0),MATCH($C$400,'Informacion del AEP'!$D$89:$AE$89,0))*INDEX('Informacion del AEP'!$F$169:$F$187,MATCH(C413,'Informacion del AEP'!$C$169:$C$187,0))))</f>
        <v>0</v>
      </c>
      <c r="N413" s="209">
        <f>INDEX('Precio Mayorista'!$D$76:$D$94,MATCH('Pagos Mayoristas'!C413,'Precio Mayorista'!$G$76:$G$94,0))*INDEX('Informacion del AEP'!$F$90:$AE$108,MATCH('Pagos Mayoristas'!C413,'Informacion del AEP'!$C$90:$C$108,0),MATCH('Pagos Mayoristas'!$C$400,'Informacion del AEP'!$F$89:$AE$89,0))</f>
        <v>1750000</v>
      </c>
    </row>
    <row r="414" spans="3:14" x14ac:dyDescent="0.25">
      <c r="C414" s="5" t="str">
        <f>IF(Supuestos!$B$61="","",Supuestos!$B$61)</f>
        <v>Originación voz Mundial destinos no geográficos</v>
      </c>
      <c r="D414" s="78">
        <f>INDEX('Informacion del AEP'!$F$90:$AE$108,MATCH('Pagos Mayoristas'!$C414,'Informacion del AEP'!$C$90:$C$108,0),MATCH('Pagos Mayoristas'!C$400,'Informacion del AEP'!$F$89:$AE$89,0))*INDEX('Hoja Auxiliar'!$D$40:$D$58,MATCH('Pagos Mayoristas'!$C414,'Hoja Auxiliar'!$C$40:$C$58,0))</f>
        <v>0</v>
      </c>
      <c r="F414" s="238">
        <f>IF(C414="","",('Precio Mayorista'!$D$100*INDEX('Informacion del AEP'!$D$90:$AE$108,MATCH(C414,'Informacion del AEP'!$C$90:$C$108,0),MATCH($C$400,'Informacion del AEP'!$D$89:$AE$89,0))*INDEX('Informacion del AEP'!$F$169:$F$187,MATCH(C414,'Informacion del AEP'!$C$169:$C$187,0))))</f>
        <v>0</v>
      </c>
      <c r="N414" s="209">
        <f>INDEX('Precio Mayorista'!$D$76:$D$94,MATCH('Pagos Mayoristas'!C414,'Precio Mayorista'!$G$76:$G$94,0))*INDEX('Informacion del AEP'!$F$90:$AE$108,MATCH('Pagos Mayoristas'!C414,'Informacion del AEP'!$C$90:$C$108,0),MATCH('Pagos Mayoristas'!$C$400,'Informacion del AEP'!$F$89:$AE$89,0))</f>
        <v>0</v>
      </c>
    </row>
    <row r="415" spans="3:14" x14ac:dyDescent="0.25">
      <c r="C415" s="5" t="str">
        <f>IF(Supuestos!$B$62="","",Supuestos!$B$62)</f>
        <v>Originación SMS on-net</v>
      </c>
      <c r="D415" s="78">
        <f>INDEX('Informacion del AEP'!$F$90:$AE$108,MATCH('Pagos Mayoristas'!$C415,'Informacion del AEP'!$C$90:$C$108,0),MATCH('Pagos Mayoristas'!C$400,'Informacion del AEP'!$F$89:$AE$89,0))*INDEX('Hoja Auxiliar'!$D$40:$D$58,MATCH('Pagos Mayoristas'!$C415,'Hoja Auxiliar'!$C$40:$C$58,0))</f>
        <v>7000000</v>
      </c>
      <c r="F415" s="238">
        <f>IF(C415="","",('Precio Mayorista'!$D$100*INDEX('Informacion del AEP'!$D$90:$AE$108,MATCH(C415,'Informacion del AEP'!$C$90:$C$108,0),MATCH($C$400,'Informacion del AEP'!$D$89:$AE$89,0))*INDEX('Informacion del AEP'!$F$169:$F$187,MATCH(C415,'Informacion del AEP'!$C$169:$C$187,0))))</f>
        <v>0</v>
      </c>
      <c r="N415" s="209">
        <f>INDEX('Precio Mayorista'!$D$76:$D$94,MATCH('Pagos Mayoristas'!C415,'Precio Mayorista'!$G$76:$G$94,0))*INDEX('Informacion del AEP'!$F$90:$AE$108,MATCH('Pagos Mayoristas'!C415,'Informacion del AEP'!$C$90:$C$108,0),MATCH('Pagos Mayoristas'!$C$400,'Informacion del AEP'!$F$89:$AE$89,0))</f>
        <v>0</v>
      </c>
    </row>
    <row r="416" spans="3:14" x14ac:dyDescent="0.25">
      <c r="C416" s="5" t="str">
        <f>IF(Supuestos!$B$63="","",Supuestos!$B$63)</f>
        <v>Originación SMS - off-net nacional</v>
      </c>
      <c r="D416" s="78">
        <f>INDEX('Informacion del AEP'!$F$90:$AE$108,MATCH('Pagos Mayoristas'!$C416,'Informacion del AEP'!$C$90:$C$108,0),MATCH('Pagos Mayoristas'!C$400,'Informacion del AEP'!$F$89:$AE$89,0))*INDEX('Hoja Auxiliar'!$D$40:$D$58,MATCH('Pagos Mayoristas'!$C416,'Hoja Auxiliar'!$C$40:$C$58,0))</f>
        <v>1750000</v>
      </c>
      <c r="F416" s="238">
        <f>IF(C416="","",('Precio Mayorista'!$D$100*INDEX('Informacion del AEP'!$D$90:$AE$108,MATCH(C416,'Informacion del AEP'!$C$90:$C$108,0),MATCH($C$400,'Informacion del AEP'!$D$89:$AE$89,0))*INDEX('Informacion del AEP'!$F$169:$F$187,MATCH(C416,'Informacion del AEP'!$C$169:$C$187,0))))</f>
        <v>0</v>
      </c>
      <c r="N416" s="209">
        <f>INDEX('Precio Mayorista'!$D$76:$D$94,MATCH('Pagos Mayoristas'!C416,'Precio Mayorista'!$G$76:$G$94,0))*INDEX('Informacion del AEP'!$F$90:$AE$108,MATCH('Pagos Mayoristas'!C416,'Informacion del AEP'!$C$90:$C$108,0),MATCH('Pagos Mayoristas'!$C$400,'Informacion del AEP'!$F$89:$AE$89,0))</f>
        <v>1081733.3333333335</v>
      </c>
    </row>
    <row r="417" spans="3:15" x14ac:dyDescent="0.25">
      <c r="C417" s="5" t="str">
        <f>IF(Supuestos!$B$64="","",Supuestos!$B$64)</f>
        <v>Originación SMS internacional (USA-Canadá)</v>
      </c>
      <c r="D417" s="78">
        <f>INDEX('Informacion del AEP'!$F$90:$AE$108,MATCH('Pagos Mayoristas'!$C417,'Informacion del AEP'!$C$90:$C$108,0),MATCH('Pagos Mayoristas'!C$400,'Informacion del AEP'!$F$89:$AE$89,0))*INDEX('Hoja Auxiliar'!$D$40:$D$58,MATCH('Pagos Mayoristas'!$C417,'Hoja Auxiliar'!$C$40:$C$58,0))</f>
        <v>349999.99999999994</v>
      </c>
      <c r="F417" s="238">
        <f>IF(C417="","",('Precio Mayorista'!$D$100*INDEX('Informacion del AEP'!$D$90:$AE$108,MATCH(C417,'Informacion del AEP'!$C$90:$C$108,0),MATCH($C$400,'Informacion del AEP'!$D$89:$AE$89,0))*INDEX('Informacion del AEP'!$F$169:$F$187,MATCH(C417,'Informacion del AEP'!$C$169:$C$187,0))))</f>
        <v>0</v>
      </c>
      <c r="N417" s="209">
        <f>INDEX('Precio Mayorista'!$D$76:$D$94,MATCH('Pagos Mayoristas'!C417,'Precio Mayorista'!$G$76:$G$94,0))*INDEX('Informacion del AEP'!$F$90:$AE$108,MATCH('Pagos Mayoristas'!C417,'Informacion del AEP'!$C$90:$C$108,0),MATCH('Pagos Mayoristas'!$C$400,'Informacion del AEP'!$F$89:$AE$89,0))</f>
        <v>11666666.666666666</v>
      </c>
    </row>
    <row r="418" spans="3:15" x14ac:dyDescent="0.25">
      <c r="C418" s="5" t="str">
        <f>IF(Supuestos!$B$65="","",Supuestos!$B$65)</f>
        <v>Originación SMS internacional (Resto del Mundo)</v>
      </c>
      <c r="D418" s="78">
        <f>INDEX('Informacion del AEP'!$F$90:$AE$108,MATCH('Pagos Mayoristas'!$C418,'Informacion del AEP'!$C$90:$C$108,0),MATCH('Pagos Mayoristas'!C$400,'Informacion del AEP'!$F$89:$AE$89,0))*INDEX('Hoja Auxiliar'!$D$40:$D$58,MATCH('Pagos Mayoristas'!$C418,'Hoja Auxiliar'!$C$40:$C$58,0))</f>
        <v>35000</v>
      </c>
      <c r="F418" s="238">
        <f>IF(C418="","",('Precio Mayorista'!$D$100*INDEX('Informacion del AEP'!$D$90:$AE$108,MATCH(C418,'Informacion del AEP'!$C$90:$C$108,0),MATCH($C$400,'Informacion del AEP'!$D$89:$AE$89,0))*INDEX('Informacion del AEP'!$F$169:$F$187,MATCH(C418,'Informacion del AEP'!$C$169:$C$187,0))))</f>
        <v>0</v>
      </c>
      <c r="N418" s="209">
        <f>INDEX('Precio Mayorista'!$D$76:$D$94,MATCH('Pagos Mayoristas'!C418,'Precio Mayorista'!$G$76:$G$94,0))*INDEX('Informacion del AEP'!$F$90:$AE$108,MATCH('Pagos Mayoristas'!C418,'Informacion del AEP'!$C$90:$C$108,0),MATCH('Pagos Mayoristas'!$C$400,'Informacion del AEP'!$F$89:$AE$89,0))</f>
        <v>1750000</v>
      </c>
    </row>
    <row r="419" spans="3:15" x14ac:dyDescent="0.25">
      <c r="C419" s="5" t="str">
        <f>IF(Supuestos!$B$66="","",Supuestos!$B$66)</f>
        <v>Otros servicios (incluyendo marcaciones especiales)</v>
      </c>
      <c r="D419" s="78">
        <f>INDEX('Informacion del AEP'!$F$90:$AE$108,MATCH('Pagos Mayoristas'!$C419,'Informacion del AEP'!$C$90:$C$108,0),MATCH('Pagos Mayoristas'!C$400,'Informacion del AEP'!$F$89:$AE$89,0))*INDEX('Hoja Auxiliar'!$D$40:$D$58,MATCH('Pagos Mayoristas'!$C419,'Hoja Auxiliar'!$C$40:$C$58,0))</f>
        <v>35000000</v>
      </c>
      <c r="F419" s="238">
        <f>IF(C419="","",('Precio Mayorista'!$D$100*INDEX('Informacion del AEP'!$D$90:$AE$108,MATCH(C419,'Informacion del AEP'!$C$90:$C$108,0),MATCH($C$400,'Informacion del AEP'!$D$89:$AE$89,0))*INDEX('Informacion del AEP'!$F$169:$F$187,MATCH(C419,'Informacion del AEP'!$C$169:$C$187,0))))</f>
        <v>0</v>
      </c>
      <c r="N419" s="209">
        <f>INDEX('Precio Mayorista'!$D$76:$D$94,MATCH('Pagos Mayoristas'!C419,'Precio Mayorista'!$G$76:$G$94,0))*INDEX('Informacion del AEP'!$F$90:$AE$108,MATCH('Pagos Mayoristas'!C419,'Informacion del AEP'!$C$90:$C$108,0),MATCH('Pagos Mayoristas'!$C$400,'Informacion del AEP'!$F$89:$AE$89,0))</f>
        <v>0</v>
      </c>
    </row>
    <row r="426" spans="3:15" ht="13" x14ac:dyDescent="0.3">
      <c r="C426" s="74" t="str">
        <f>Supuestos!$B$86</f>
        <v>Telcel Pospago 6</v>
      </c>
      <c r="D426" s="77">
        <f>SUM(D427:D445)</f>
        <v>559664233.33333325</v>
      </c>
      <c r="E426" s="75"/>
      <c r="F426" s="77">
        <f>SUM(F427:F445)</f>
        <v>0</v>
      </c>
      <c r="G426" s="75"/>
      <c r="H426" s="77"/>
      <c r="I426" s="77">
        <f>INDEX('Informacion del AEP'!$H$31:$H$84,MATCH('Pagos Mayoristas'!C426,'Informacion del AEP'!$C$31:$C$84,0))*'Hoja Auxiliar'!$D$61</f>
        <v>364364.625</v>
      </c>
      <c r="J426" s="4"/>
      <c r="K426" s="77"/>
      <c r="L426" s="204">
        <f>$L$10*(INDEX('Informacion del AEP'!$F$12:$AE$12,MATCH('Pagos Mayoristas'!C426,'Informacion del AEP'!$F$11:$AE$11,0))/INDEX('Informacion del AEP'!$F$12:$AE$12,MATCH('Pagos Mayoristas'!$C$10,'Informacion del AEP'!$F$11:$AE$11,0)))</f>
        <v>81827.309257028144</v>
      </c>
      <c r="M426" s="204"/>
      <c r="N426" s="77">
        <f>SUM(N427:N445)</f>
        <v>80715600</v>
      </c>
      <c r="O426" s="204">
        <f>SUM(D426:N426)</f>
        <v>640826025.26759028</v>
      </c>
    </row>
    <row r="427" spans="3:15" x14ac:dyDescent="0.25">
      <c r="C427" s="5" t="str">
        <f>IF(Supuestos!$B$48="","",Supuestos!$B$48)</f>
        <v>Datos</v>
      </c>
      <c r="D427" s="78">
        <f>INDEX('Informacion del AEP'!$F$90:$AE$108,MATCH('Pagos Mayoristas'!$C427,'Informacion del AEP'!$C$90:$C$108,0),MATCH('Pagos Mayoristas'!C$426,'Informacion del AEP'!$F$89:$AE$89,0))*INDEX('Hoja Auxiliar'!$D$40:$D$58,MATCH('Pagos Mayoristas'!$C427,'Hoja Auxiliar'!$C$40:$C$58,0))</f>
        <v>296333333.33333331</v>
      </c>
      <c r="F427" s="238">
        <f>IF(C427="","",('Precio Mayorista'!$D$100*INDEX('Informacion del AEP'!$D$90:$AE$108,MATCH(C427,'Informacion del AEP'!$C$90:$C$108,0),MATCH($C$426,'Informacion del AEP'!$D$89:$AE$89,0))*INDEX('Informacion del AEP'!$F$169:$F$187,MATCH(C427,'Informacion del AEP'!$C$169:$C$187,0))))</f>
        <v>0</v>
      </c>
      <c r="N427" s="209">
        <f>INDEX('Precio Mayorista'!$D$76:$D$94,MATCH('Pagos Mayoristas'!C427,'Precio Mayorista'!$G$76:$G$94,0))*INDEX('Informacion del AEP'!$F$90:$AE$108,MATCH('Pagos Mayoristas'!C427,'Informacion del AEP'!$C$90:$C$108,0),MATCH('Pagos Mayoristas'!$C$426,'Informacion del AEP'!$F$89:$AE$89,0))</f>
        <v>0</v>
      </c>
    </row>
    <row r="428" spans="3:15" x14ac:dyDescent="0.25">
      <c r="C428" s="5" t="str">
        <f>IF(Supuestos!$B$49="","",Supuestos!$B$49)</f>
        <v>Originación voz on-net local</v>
      </c>
      <c r="D428" s="78">
        <f>INDEX('Informacion del AEP'!$F$90:$AE$108,MATCH('Pagos Mayoristas'!$C428,'Informacion del AEP'!$C$90:$C$108,0),MATCH('Pagos Mayoristas'!C$426,'Informacion del AEP'!$F$89:$AE$89,0))*INDEX('Hoja Auxiliar'!$D$40:$D$58,MATCH('Pagos Mayoristas'!$C428,'Hoja Auxiliar'!$C$40:$C$58,0))</f>
        <v>70000000</v>
      </c>
      <c r="F428" s="238">
        <f>IF(C428="","",('Precio Mayorista'!$D$100*INDEX('Informacion del AEP'!$D$90:$AE$108,MATCH(C428,'Informacion del AEP'!$C$90:$C$108,0),MATCH($C$426,'Informacion del AEP'!$D$89:$AE$89,0))*INDEX('Informacion del AEP'!$F$169:$F$187,MATCH(C428,'Informacion del AEP'!$C$169:$C$187,0))))</f>
        <v>0</v>
      </c>
      <c r="N428" s="209">
        <f>INDEX('Precio Mayorista'!$D$76:$D$94,MATCH('Pagos Mayoristas'!C428,'Precio Mayorista'!$G$76:$G$94,0))*INDEX('Informacion del AEP'!$F$90:$AE$108,MATCH('Pagos Mayoristas'!C428,'Informacion del AEP'!$C$90:$C$108,0),MATCH('Pagos Mayoristas'!$C$426,'Informacion del AEP'!$F$89:$AE$89,0))</f>
        <v>0</v>
      </c>
    </row>
    <row r="429" spans="3:15" x14ac:dyDescent="0.25">
      <c r="C429" s="5" t="str">
        <f>IF(Supuestos!$B$50="","",Supuestos!$B$50)</f>
        <v>Originación voz off-net móvil local</v>
      </c>
      <c r="D429" s="78">
        <f>INDEX('Informacion del AEP'!$F$90:$AE$108,MATCH('Pagos Mayoristas'!$C429,'Informacion del AEP'!$C$90:$C$108,0),MATCH('Pagos Mayoristas'!C$426,'Informacion del AEP'!$F$89:$AE$89,0))*INDEX('Hoja Auxiliar'!$D$40:$D$58,MATCH('Pagos Mayoristas'!$C429,'Hoja Auxiliar'!$C$40:$C$58,0))</f>
        <v>14000000</v>
      </c>
      <c r="F429" s="238">
        <f>IF(C429="","",('Precio Mayorista'!$D$100*INDEX('Informacion del AEP'!$D$90:$AE$108,MATCH(C429,'Informacion del AEP'!$C$90:$C$108,0),MATCH($C$426,'Informacion del AEP'!$D$89:$AE$89,0))*INDEX('Informacion del AEP'!$F$169:$F$187,MATCH(C429,'Informacion del AEP'!$C$169:$C$187,0))))</f>
        <v>0</v>
      </c>
      <c r="N429" s="209">
        <f>INDEX('Precio Mayorista'!$D$76:$D$94,MATCH('Pagos Mayoristas'!C429,'Precio Mayorista'!$G$76:$G$94,0))*INDEX('Informacion del AEP'!$F$90:$AE$108,MATCH('Pagos Mayoristas'!C429,'Informacion del AEP'!$C$90:$C$108,0),MATCH('Pagos Mayoristas'!$C$426,'Informacion del AEP'!$F$89:$AE$89,0))</f>
        <v>19703133.333333336</v>
      </c>
    </row>
    <row r="430" spans="3:15" x14ac:dyDescent="0.25">
      <c r="C430" s="5" t="str">
        <f>IF(Supuestos!$B$51="","",Supuestos!$B$51)</f>
        <v>Originación voz off-net fijo local</v>
      </c>
      <c r="D430" s="78">
        <f>INDEX('Informacion del AEP'!$F$90:$AE$108,MATCH('Pagos Mayoristas'!$C430,'Informacion del AEP'!$C$90:$C$108,0),MATCH('Pagos Mayoristas'!C$426,'Informacion del AEP'!$F$89:$AE$89,0))*INDEX('Hoja Auxiliar'!$D$40:$D$58,MATCH('Pagos Mayoristas'!$C430,'Hoja Auxiliar'!$C$40:$C$58,0))</f>
        <v>7000000</v>
      </c>
      <c r="F430" s="238">
        <f>IF(C430="","",('Precio Mayorista'!$D$100*INDEX('Informacion del AEP'!$D$90:$AE$108,MATCH(C430,'Informacion del AEP'!$C$90:$C$108,0),MATCH($C$426,'Informacion del AEP'!$D$89:$AE$89,0))*INDEX('Informacion del AEP'!$F$169:$F$187,MATCH(C430,'Informacion del AEP'!$C$169:$C$187,0))))</f>
        <v>0</v>
      </c>
      <c r="N430" s="209">
        <f>INDEX('Precio Mayorista'!$D$76:$D$94,MATCH('Pagos Mayoristas'!C430,'Precio Mayorista'!$G$76:$G$94,0))*INDEX('Informacion del AEP'!$F$90:$AE$108,MATCH('Pagos Mayoristas'!C430,'Informacion del AEP'!$C$90:$C$108,0),MATCH('Pagos Mayoristas'!$C$426,'Informacion del AEP'!$F$89:$AE$89,0))</f>
        <v>780033.33333333337</v>
      </c>
    </row>
    <row r="431" spans="3:15" x14ac:dyDescent="0.25">
      <c r="C431" s="5" t="str">
        <f>IF(Supuestos!$B$52="","",Supuestos!$B$52)</f>
        <v>Originación voz on-net LDN</v>
      </c>
      <c r="D431" s="78">
        <f>INDEX('Informacion del AEP'!$F$90:$AE$108,MATCH('Pagos Mayoristas'!$C431,'Informacion del AEP'!$C$90:$C$108,0),MATCH('Pagos Mayoristas'!C$426,'Informacion del AEP'!$F$89:$AE$89,0))*INDEX('Hoja Auxiliar'!$D$40:$D$58,MATCH('Pagos Mayoristas'!$C431,'Hoja Auxiliar'!$C$40:$C$58,0))</f>
        <v>105000000</v>
      </c>
      <c r="F431" s="238">
        <f>IF(C431="","",('Precio Mayorista'!$D$100*INDEX('Informacion del AEP'!$D$90:$AE$108,MATCH(C431,'Informacion del AEP'!$C$90:$C$108,0),MATCH($C$426,'Informacion del AEP'!$D$89:$AE$89,0))*INDEX('Informacion del AEP'!$F$169:$F$187,MATCH(C431,'Informacion del AEP'!$C$169:$C$187,0))))</f>
        <v>0</v>
      </c>
      <c r="N431" s="209">
        <f>INDEX('Precio Mayorista'!$D$76:$D$94,MATCH('Pagos Mayoristas'!C431,'Precio Mayorista'!$G$76:$G$94,0))*INDEX('Informacion del AEP'!$F$90:$AE$108,MATCH('Pagos Mayoristas'!C431,'Informacion del AEP'!$C$90:$C$108,0),MATCH('Pagos Mayoristas'!$C$426,'Informacion del AEP'!$F$89:$AE$89,0))</f>
        <v>0</v>
      </c>
    </row>
    <row r="432" spans="3:15" x14ac:dyDescent="0.25">
      <c r="C432" s="5" t="str">
        <f>IF(Supuestos!$B$53="","",Supuestos!$B$53)</f>
        <v>Originación voz off-net móvil LDN</v>
      </c>
      <c r="D432" s="78">
        <f>INDEX('Informacion del AEP'!$F$90:$AE$108,MATCH('Pagos Mayoristas'!$C432,'Informacion del AEP'!$C$90:$C$108,0),MATCH('Pagos Mayoristas'!C$426,'Informacion del AEP'!$F$89:$AE$89,0))*INDEX('Hoja Auxiliar'!$D$40:$D$58,MATCH('Pagos Mayoristas'!$C432,'Hoja Auxiliar'!$C$40:$C$58,0))</f>
        <v>10499999.999999998</v>
      </c>
      <c r="F432" s="238">
        <f>IF(C432="","",('Precio Mayorista'!$D$100*INDEX('Informacion del AEP'!$D$90:$AE$108,MATCH(C432,'Informacion del AEP'!$C$90:$C$108,0),MATCH($C$426,'Informacion del AEP'!$D$89:$AE$89,0))*INDEX('Informacion del AEP'!$F$169:$F$187,MATCH(C432,'Informacion del AEP'!$C$169:$C$187,0))))</f>
        <v>0</v>
      </c>
      <c r="N432" s="209">
        <f>INDEX('Precio Mayorista'!$D$76:$D$94,MATCH('Pagos Mayoristas'!C432,'Precio Mayorista'!$G$76:$G$94,0))*INDEX('Informacion del AEP'!$F$90:$AE$108,MATCH('Pagos Mayoristas'!C432,'Informacion del AEP'!$C$90:$C$108,0),MATCH('Pagos Mayoristas'!$C$426,'Informacion del AEP'!$F$89:$AE$89,0))</f>
        <v>14777349.999999998</v>
      </c>
    </row>
    <row r="433" spans="3:14" x14ac:dyDescent="0.25">
      <c r="C433" s="5" t="str">
        <f>IF(Supuestos!$B$54="","",Supuestos!$B$54)</f>
        <v>Originación voz off-net fijo LDN</v>
      </c>
      <c r="D433" s="78">
        <f>INDEX('Informacion del AEP'!$F$90:$AE$108,MATCH('Pagos Mayoristas'!$C433,'Informacion del AEP'!$C$90:$C$108,0),MATCH('Pagos Mayoristas'!C$426,'Informacion del AEP'!$F$89:$AE$89,0))*INDEX('Hoja Auxiliar'!$D$40:$D$58,MATCH('Pagos Mayoristas'!$C433,'Hoja Auxiliar'!$C$40:$C$58,0))</f>
        <v>3500000</v>
      </c>
      <c r="F433" s="238">
        <f>IF(C433="","",('Precio Mayorista'!$D$100*INDEX('Informacion del AEP'!$D$90:$AE$108,MATCH(C433,'Informacion del AEP'!$C$90:$C$108,0),MATCH($C$426,'Informacion del AEP'!$D$89:$AE$89,0))*INDEX('Informacion del AEP'!$F$169:$F$187,MATCH(C433,'Informacion del AEP'!$C$169:$C$187,0))))</f>
        <v>0</v>
      </c>
      <c r="N433" s="209">
        <f>INDEX('Precio Mayorista'!$D$76:$D$94,MATCH('Pagos Mayoristas'!C433,'Precio Mayorista'!$G$76:$G$94,0))*INDEX('Informacion del AEP'!$F$90:$AE$108,MATCH('Pagos Mayoristas'!C433,'Informacion del AEP'!$C$90:$C$108,0),MATCH('Pagos Mayoristas'!$C$426,'Informacion del AEP'!$F$89:$AE$89,0))</f>
        <v>390016.66666666669</v>
      </c>
    </row>
    <row r="434" spans="3:14" x14ac:dyDescent="0.25">
      <c r="C434" s="5" t="str">
        <f>IF(Supuestos!$B$55="","",Supuestos!$B$55)</f>
        <v>Originación voz internacional USA-Canadá</v>
      </c>
      <c r="D434" s="78">
        <f>INDEX('Informacion del AEP'!$F$90:$AE$108,MATCH('Pagos Mayoristas'!$C434,'Informacion del AEP'!$C$90:$C$108,0),MATCH('Pagos Mayoristas'!C$426,'Informacion del AEP'!$F$89:$AE$89,0))*INDEX('Hoja Auxiliar'!$D$40:$D$58,MATCH('Pagos Mayoristas'!$C434,'Hoja Auxiliar'!$C$40:$C$58,0))</f>
        <v>9099999.9999999981</v>
      </c>
      <c r="F434" s="238">
        <f>IF(C434="","",('Precio Mayorista'!$D$100*INDEX('Informacion del AEP'!$D$90:$AE$108,MATCH(C434,'Informacion del AEP'!$C$90:$C$108,0),MATCH($C$426,'Informacion del AEP'!$D$89:$AE$89,0))*INDEX('Informacion del AEP'!$F$169:$F$187,MATCH(C434,'Informacion del AEP'!$C$169:$C$187,0))))</f>
        <v>0</v>
      </c>
      <c r="N434" s="209">
        <f>INDEX('Precio Mayorista'!$D$76:$D$94,MATCH('Pagos Mayoristas'!C434,'Precio Mayorista'!$G$76:$G$94,0))*INDEX('Informacion del AEP'!$F$90:$AE$108,MATCH('Pagos Mayoristas'!C434,'Informacion del AEP'!$C$90:$C$108,0),MATCH('Pagos Mayoristas'!$C$426,'Informacion del AEP'!$F$89:$AE$89,0))</f>
        <v>15166666.666666666</v>
      </c>
    </row>
    <row r="435" spans="3:14" x14ac:dyDescent="0.25">
      <c r="C435" s="5" t="str">
        <f>IF(Supuestos!$B$56="","",Supuestos!$B$56)</f>
        <v>Originación voz internacional Mundial Centroamérica</v>
      </c>
      <c r="D435" s="78">
        <f>INDEX('Informacion del AEP'!$F$90:$AE$108,MATCH('Pagos Mayoristas'!$C435,'Informacion del AEP'!$C$90:$C$108,0),MATCH('Pagos Mayoristas'!C$426,'Informacion del AEP'!$F$89:$AE$89,0))*INDEX('Hoja Auxiliar'!$D$40:$D$58,MATCH('Pagos Mayoristas'!$C435,'Hoja Auxiliar'!$C$40:$C$58,0))</f>
        <v>21000</v>
      </c>
      <c r="F435" s="238">
        <f>IF(C435="","",('Precio Mayorista'!$D$100*INDEX('Informacion del AEP'!$D$90:$AE$108,MATCH(C435,'Informacion del AEP'!$C$90:$C$108,0),MATCH($C$426,'Informacion del AEP'!$D$89:$AE$89,0))*INDEX('Informacion del AEP'!$F$169:$F$187,MATCH(C435,'Informacion del AEP'!$C$169:$C$187,0))))</f>
        <v>0</v>
      </c>
      <c r="N435" s="209">
        <f>INDEX('Precio Mayorista'!$D$76:$D$94,MATCH('Pagos Mayoristas'!C435,'Precio Mayorista'!$G$76:$G$94,0))*INDEX('Informacion del AEP'!$F$90:$AE$108,MATCH('Pagos Mayoristas'!C435,'Informacion del AEP'!$C$90:$C$108,0),MATCH('Pagos Mayoristas'!$C$426,'Informacion del AEP'!$F$89:$AE$89,0))</f>
        <v>1750000</v>
      </c>
    </row>
    <row r="436" spans="3:14" x14ac:dyDescent="0.25">
      <c r="C436" s="5" t="str">
        <f>IF(Supuestos!$B$57="","",Supuestos!$B$57)</f>
        <v>Originación voz internacional Mundial LATAM y Caribe</v>
      </c>
      <c r="D436" s="78">
        <f>INDEX('Informacion del AEP'!$F$90:$AE$108,MATCH('Pagos Mayoristas'!$C436,'Informacion del AEP'!$C$90:$C$108,0),MATCH('Pagos Mayoristas'!C$426,'Informacion del AEP'!$F$89:$AE$89,0))*INDEX('Hoja Auxiliar'!$D$40:$D$58,MATCH('Pagos Mayoristas'!$C436,'Hoja Auxiliar'!$C$40:$C$58,0))</f>
        <v>1399.9999999999998</v>
      </c>
      <c r="F436" s="238">
        <f>IF(C436="","",('Precio Mayorista'!$D$100*INDEX('Informacion del AEP'!$D$90:$AE$108,MATCH(C436,'Informacion del AEP'!$C$90:$C$108,0),MATCH($C$426,'Informacion del AEP'!$D$89:$AE$89,0))*INDEX('Informacion del AEP'!$F$169:$F$187,MATCH(C436,'Informacion del AEP'!$C$169:$C$187,0))))</f>
        <v>0</v>
      </c>
      <c r="N436" s="209">
        <f>INDEX('Precio Mayorista'!$D$76:$D$94,MATCH('Pagos Mayoristas'!C436,'Precio Mayorista'!$G$76:$G$94,0))*INDEX('Informacion del AEP'!$F$90:$AE$108,MATCH('Pagos Mayoristas'!C436,'Informacion del AEP'!$C$90:$C$108,0),MATCH('Pagos Mayoristas'!$C$426,'Informacion del AEP'!$F$89:$AE$89,0))</f>
        <v>233333.33333333331</v>
      </c>
    </row>
    <row r="437" spans="3:14" x14ac:dyDescent="0.25">
      <c r="C437" s="5" t="str">
        <f>IF(Supuestos!$B$58="","",Supuestos!$B$58)</f>
        <v>Originación voz internacional Europa</v>
      </c>
      <c r="D437" s="78">
        <f>INDEX('Informacion del AEP'!$F$90:$AE$108,MATCH('Pagos Mayoristas'!$C437,'Informacion del AEP'!$C$90:$C$108,0),MATCH('Pagos Mayoristas'!C$426,'Informacion del AEP'!$F$89:$AE$89,0))*INDEX('Hoja Auxiliar'!$D$40:$D$58,MATCH('Pagos Mayoristas'!$C437,'Hoja Auxiliar'!$C$40:$C$58,0))</f>
        <v>0</v>
      </c>
      <c r="F437" s="238">
        <f>IF(C437="","",('Precio Mayorista'!$D$100*INDEX('Informacion del AEP'!$D$90:$AE$108,MATCH(C437,'Informacion del AEP'!$C$90:$C$108,0),MATCH($C$426,'Informacion del AEP'!$D$89:$AE$89,0))*INDEX('Informacion del AEP'!$F$169:$F$187,MATCH(C437,'Informacion del AEP'!$C$169:$C$187,0))))</f>
        <v>0</v>
      </c>
      <c r="N437" s="209">
        <f>INDEX('Precio Mayorista'!$D$76:$D$94,MATCH('Pagos Mayoristas'!C437,'Precio Mayorista'!$G$76:$G$94,0))*INDEX('Informacion del AEP'!$F$90:$AE$108,MATCH('Pagos Mayoristas'!C437,'Informacion del AEP'!$C$90:$C$108,0),MATCH('Pagos Mayoristas'!$C$426,'Informacion del AEP'!$F$89:$AE$89,0))</f>
        <v>0</v>
      </c>
    </row>
    <row r="438" spans="3:14" x14ac:dyDescent="0.25">
      <c r="C438" s="5" t="str">
        <f>IF(Supuestos!$B$59="","",Supuestos!$B$59)</f>
        <v>Originación voz internacional Mundial Otros geográficos</v>
      </c>
      <c r="D438" s="78">
        <f>INDEX('Informacion del AEP'!$F$90:$AE$108,MATCH('Pagos Mayoristas'!$C438,'Informacion del AEP'!$C$90:$C$108,0),MATCH('Pagos Mayoristas'!C$426,'Informacion del AEP'!$F$89:$AE$89,0))*INDEX('Hoja Auxiliar'!$D$40:$D$58,MATCH('Pagos Mayoristas'!$C438,'Hoja Auxiliar'!$C$40:$C$58,0))</f>
        <v>70000</v>
      </c>
      <c r="F438" s="238">
        <f>IF(C438="","",('Precio Mayorista'!$D$100*INDEX('Informacion del AEP'!$D$90:$AE$108,MATCH(C438,'Informacion del AEP'!$C$90:$C$108,0),MATCH($C$426,'Informacion del AEP'!$D$89:$AE$89,0))*INDEX('Informacion del AEP'!$F$169:$F$187,MATCH(C438,'Informacion del AEP'!$C$169:$C$187,0))))</f>
        <v>0</v>
      </c>
      <c r="N438" s="209">
        <f>INDEX('Precio Mayorista'!$D$76:$D$94,MATCH('Pagos Mayoristas'!C438,'Precio Mayorista'!$G$76:$G$94,0))*INDEX('Informacion del AEP'!$F$90:$AE$108,MATCH('Pagos Mayoristas'!C438,'Informacion del AEP'!$C$90:$C$108,0),MATCH('Pagos Mayoristas'!$C$426,'Informacion del AEP'!$F$89:$AE$89,0))</f>
        <v>11666666.666666668</v>
      </c>
    </row>
    <row r="439" spans="3:14" x14ac:dyDescent="0.25">
      <c r="C439" s="5" t="str">
        <f>IF(Supuestos!$B$60="","",Supuestos!$B$60)</f>
        <v>Originación voz internacional Cuba</v>
      </c>
      <c r="D439" s="78">
        <f>INDEX('Informacion del AEP'!$F$90:$AE$108,MATCH('Pagos Mayoristas'!$C439,'Informacion del AEP'!$C$90:$C$108,0),MATCH('Pagos Mayoristas'!C$426,'Informacion del AEP'!$F$89:$AE$89,0))*INDEX('Hoja Auxiliar'!$D$40:$D$58,MATCH('Pagos Mayoristas'!$C439,'Hoja Auxiliar'!$C$40:$C$58,0))</f>
        <v>3500</v>
      </c>
      <c r="F439" s="238">
        <f>IF(C439="","",('Precio Mayorista'!$D$100*INDEX('Informacion del AEP'!$D$90:$AE$108,MATCH(C439,'Informacion del AEP'!$C$90:$C$108,0),MATCH($C$426,'Informacion del AEP'!$D$89:$AE$89,0))*INDEX('Informacion del AEP'!$F$169:$F$187,MATCH(C439,'Informacion del AEP'!$C$169:$C$187,0))))</f>
        <v>0</v>
      </c>
      <c r="N439" s="209">
        <f>INDEX('Precio Mayorista'!$D$76:$D$94,MATCH('Pagos Mayoristas'!C439,'Precio Mayorista'!$G$76:$G$94,0))*INDEX('Informacion del AEP'!$F$90:$AE$108,MATCH('Pagos Mayoristas'!C439,'Informacion del AEP'!$C$90:$C$108,0),MATCH('Pagos Mayoristas'!$C$426,'Informacion del AEP'!$F$89:$AE$89,0))</f>
        <v>1750000</v>
      </c>
    </row>
    <row r="440" spans="3:14" x14ac:dyDescent="0.25">
      <c r="C440" s="5" t="str">
        <f>IF(Supuestos!$B$61="","",Supuestos!$B$61)</f>
        <v>Originación voz Mundial destinos no geográficos</v>
      </c>
      <c r="D440" s="78">
        <f>INDEX('Informacion del AEP'!$F$90:$AE$108,MATCH('Pagos Mayoristas'!$C440,'Informacion del AEP'!$C$90:$C$108,0),MATCH('Pagos Mayoristas'!C$426,'Informacion del AEP'!$F$89:$AE$89,0))*INDEX('Hoja Auxiliar'!$D$40:$D$58,MATCH('Pagos Mayoristas'!$C440,'Hoja Auxiliar'!$C$40:$C$58,0))</f>
        <v>0</v>
      </c>
      <c r="F440" s="238">
        <f>IF(C440="","",('Precio Mayorista'!$D$100*INDEX('Informacion del AEP'!$D$90:$AE$108,MATCH(C440,'Informacion del AEP'!$C$90:$C$108,0),MATCH($C$426,'Informacion del AEP'!$D$89:$AE$89,0))*INDEX('Informacion del AEP'!$F$169:$F$187,MATCH(C440,'Informacion del AEP'!$C$169:$C$187,0))))</f>
        <v>0</v>
      </c>
      <c r="N440" s="209">
        <f>INDEX('Precio Mayorista'!$D$76:$D$94,MATCH('Pagos Mayoristas'!C440,'Precio Mayorista'!$G$76:$G$94,0))*INDEX('Informacion del AEP'!$F$90:$AE$108,MATCH('Pagos Mayoristas'!C440,'Informacion del AEP'!$C$90:$C$108,0),MATCH('Pagos Mayoristas'!$C$426,'Informacion del AEP'!$F$89:$AE$89,0))</f>
        <v>0</v>
      </c>
    </row>
    <row r="441" spans="3:14" x14ac:dyDescent="0.25">
      <c r="C441" s="5" t="str">
        <f>IF(Supuestos!$B$62="","",Supuestos!$B$62)</f>
        <v>Originación SMS on-net</v>
      </c>
      <c r="D441" s="78">
        <f>INDEX('Informacion del AEP'!$F$90:$AE$108,MATCH('Pagos Mayoristas'!$C441,'Informacion del AEP'!$C$90:$C$108,0),MATCH('Pagos Mayoristas'!C$426,'Informacion del AEP'!$F$89:$AE$89,0))*INDEX('Hoja Auxiliar'!$D$40:$D$58,MATCH('Pagos Mayoristas'!$C441,'Hoja Auxiliar'!$C$40:$C$58,0))</f>
        <v>7000000</v>
      </c>
      <c r="F441" s="238">
        <f>IF(C441="","",('Precio Mayorista'!$D$100*INDEX('Informacion del AEP'!$D$90:$AE$108,MATCH(C441,'Informacion del AEP'!$C$90:$C$108,0),MATCH($C$426,'Informacion del AEP'!$D$89:$AE$89,0))*INDEX('Informacion del AEP'!$F$169:$F$187,MATCH(C441,'Informacion del AEP'!$C$169:$C$187,0))))</f>
        <v>0</v>
      </c>
      <c r="N441" s="209">
        <f>INDEX('Precio Mayorista'!$D$76:$D$94,MATCH('Pagos Mayoristas'!C441,'Precio Mayorista'!$G$76:$G$94,0))*INDEX('Informacion del AEP'!$F$90:$AE$108,MATCH('Pagos Mayoristas'!C441,'Informacion del AEP'!$C$90:$C$108,0),MATCH('Pagos Mayoristas'!$C$426,'Informacion del AEP'!$F$89:$AE$89,0))</f>
        <v>0</v>
      </c>
    </row>
    <row r="442" spans="3:14" x14ac:dyDescent="0.25">
      <c r="C442" s="5" t="str">
        <f>IF(Supuestos!$B$63="","",Supuestos!$B$63)</f>
        <v>Originación SMS - off-net nacional</v>
      </c>
      <c r="D442" s="78">
        <f>INDEX('Informacion del AEP'!$F$90:$AE$108,MATCH('Pagos Mayoristas'!$C442,'Informacion del AEP'!$C$90:$C$108,0),MATCH('Pagos Mayoristas'!C$426,'Informacion del AEP'!$F$89:$AE$89,0))*INDEX('Hoja Auxiliar'!$D$40:$D$58,MATCH('Pagos Mayoristas'!$C442,'Hoja Auxiliar'!$C$40:$C$58,0))</f>
        <v>1750000</v>
      </c>
      <c r="F442" s="238">
        <f>IF(C442="","",('Precio Mayorista'!$D$100*INDEX('Informacion del AEP'!$D$90:$AE$108,MATCH(C442,'Informacion del AEP'!$C$90:$C$108,0),MATCH($C$426,'Informacion del AEP'!$D$89:$AE$89,0))*INDEX('Informacion del AEP'!$F$169:$F$187,MATCH(C442,'Informacion del AEP'!$C$169:$C$187,0))))</f>
        <v>0</v>
      </c>
      <c r="N442" s="209">
        <f>INDEX('Precio Mayorista'!$D$76:$D$94,MATCH('Pagos Mayoristas'!C442,'Precio Mayorista'!$G$76:$G$94,0))*INDEX('Informacion del AEP'!$F$90:$AE$108,MATCH('Pagos Mayoristas'!C442,'Informacion del AEP'!$C$90:$C$108,0),MATCH('Pagos Mayoristas'!$C$426,'Informacion del AEP'!$F$89:$AE$89,0))</f>
        <v>1081733.3333333335</v>
      </c>
    </row>
    <row r="443" spans="3:14" x14ac:dyDescent="0.25">
      <c r="C443" s="5" t="str">
        <f>IF(Supuestos!$B$64="","",Supuestos!$B$64)</f>
        <v>Originación SMS internacional (USA-Canadá)</v>
      </c>
      <c r="D443" s="78">
        <f>INDEX('Informacion del AEP'!$F$90:$AE$108,MATCH('Pagos Mayoristas'!$C443,'Informacion del AEP'!$C$90:$C$108,0),MATCH('Pagos Mayoristas'!C$426,'Informacion del AEP'!$F$89:$AE$89,0))*INDEX('Hoja Auxiliar'!$D$40:$D$58,MATCH('Pagos Mayoristas'!$C443,'Hoja Auxiliar'!$C$40:$C$58,0))</f>
        <v>349999.99999999994</v>
      </c>
      <c r="F443" s="238">
        <f>IF(C443="","",('Precio Mayorista'!$D$100*INDEX('Informacion del AEP'!$D$90:$AE$108,MATCH(C443,'Informacion del AEP'!$C$90:$C$108,0),MATCH($C$426,'Informacion del AEP'!$D$89:$AE$89,0))*INDEX('Informacion del AEP'!$F$169:$F$187,MATCH(C443,'Informacion del AEP'!$C$169:$C$187,0))))</f>
        <v>0</v>
      </c>
      <c r="N443" s="209">
        <f>INDEX('Precio Mayorista'!$D$76:$D$94,MATCH('Pagos Mayoristas'!C443,'Precio Mayorista'!$G$76:$G$94,0))*INDEX('Informacion del AEP'!$F$90:$AE$108,MATCH('Pagos Mayoristas'!C443,'Informacion del AEP'!$C$90:$C$108,0),MATCH('Pagos Mayoristas'!$C$426,'Informacion del AEP'!$F$89:$AE$89,0))</f>
        <v>11666666.666666666</v>
      </c>
    </row>
    <row r="444" spans="3:14" x14ac:dyDescent="0.25">
      <c r="C444" s="5" t="str">
        <f>IF(Supuestos!$B$65="","",Supuestos!$B$65)</f>
        <v>Originación SMS internacional (Resto del Mundo)</v>
      </c>
      <c r="D444" s="78">
        <f>INDEX('Informacion del AEP'!$F$90:$AE$108,MATCH('Pagos Mayoristas'!$C444,'Informacion del AEP'!$C$90:$C$108,0),MATCH('Pagos Mayoristas'!C$426,'Informacion del AEP'!$F$89:$AE$89,0))*INDEX('Hoja Auxiliar'!$D$40:$D$58,MATCH('Pagos Mayoristas'!$C444,'Hoja Auxiliar'!$C$40:$C$58,0))</f>
        <v>35000</v>
      </c>
      <c r="F444" s="238">
        <f>IF(C444="","",('Precio Mayorista'!$D$100*INDEX('Informacion del AEP'!$D$90:$AE$108,MATCH(C444,'Informacion del AEP'!$C$90:$C$108,0),MATCH($C$426,'Informacion del AEP'!$D$89:$AE$89,0))*INDEX('Informacion del AEP'!$F$169:$F$187,MATCH(C444,'Informacion del AEP'!$C$169:$C$187,0))))</f>
        <v>0</v>
      </c>
      <c r="N444" s="209">
        <f>INDEX('Precio Mayorista'!$D$76:$D$94,MATCH('Pagos Mayoristas'!C444,'Precio Mayorista'!$G$76:$G$94,0))*INDEX('Informacion del AEP'!$F$90:$AE$108,MATCH('Pagos Mayoristas'!C444,'Informacion del AEP'!$C$90:$C$108,0),MATCH('Pagos Mayoristas'!$C$426,'Informacion del AEP'!$F$89:$AE$89,0))</f>
        <v>1750000</v>
      </c>
    </row>
    <row r="445" spans="3:14" x14ac:dyDescent="0.25">
      <c r="C445" s="5" t="str">
        <f>IF(Supuestos!$B$66="","",Supuestos!$B$66)</f>
        <v>Otros servicios (incluyendo marcaciones especiales)</v>
      </c>
      <c r="D445" s="78">
        <f>INDEX('Informacion del AEP'!$F$90:$AE$108,MATCH('Pagos Mayoristas'!$C445,'Informacion del AEP'!$C$90:$C$108,0),MATCH('Pagos Mayoristas'!C$426,'Informacion del AEP'!$F$89:$AE$89,0))*INDEX('Hoja Auxiliar'!$D$40:$D$58,MATCH('Pagos Mayoristas'!$C445,'Hoja Auxiliar'!$C$40:$C$58,0))</f>
        <v>35000000</v>
      </c>
      <c r="F445" s="238">
        <f>IF(C445="","",('Precio Mayorista'!$D$100*INDEX('Informacion del AEP'!$D$90:$AE$108,MATCH(C445,'Informacion del AEP'!$C$90:$C$108,0),MATCH($C$426,'Informacion del AEP'!$D$89:$AE$89,0))*INDEX('Informacion del AEP'!$F$169:$F$187,MATCH(C445,'Informacion del AEP'!$C$169:$C$187,0))))</f>
        <v>0</v>
      </c>
      <c r="N445" s="209">
        <f>INDEX('Precio Mayorista'!$D$76:$D$94,MATCH('Pagos Mayoristas'!C445,'Precio Mayorista'!$G$76:$G$94,0))*INDEX('Informacion del AEP'!$F$90:$AE$108,MATCH('Pagos Mayoristas'!C445,'Informacion del AEP'!$C$90:$C$108,0),MATCH('Pagos Mayoristas'!$C$426,'Informacion del AEP'!$F$89:$AE$89,0))</f>
        <v>0</v>
      </c>
    </row>
    <row r="452" spans="3:15" ht="13" x14ac:dyDescent="0.3">
      <c r="C452" s="74" t="str">
        <f>Supuestos!$B$87</f>
        <v>Telcel Pospago 7</v>
      </c>
      <c r="D452" s="77">
        <f>SUM(D453:D471)</f>
        <v>559664233.33333325</v>
      </c>
      <c r="E452" s="75"/>
      <c r="F452" s="77">
        <f>SUM(F453:F471)</f>
        <v>0</v>
      </c>
      <c r="G452" s="75"/>
      <c r="H452" s="77"/>
      <c r="I452" s="77">
        <f>INDEX('Informacion del AEP'!$H$31:$H$84,MATCH('Pagos Mayoristas'!C452,'Informacion del AEP'!$C$31:$C$84,0))*'Hoja Auxiliar'!$D$61</f>
        <v>562500</v>
      </c>
      <c r="J452" s="4"/>
      <c r="K452" s="77"/>
      <c r="L452" s="204">
        <f>$L$10*(INDEX('Informacion del AEP'!$F$12:$AE$12,MATCH('Pagos Mayoristas'!C452,'Informacion del AEP'!$F$11:$AE$11,0))/INDEX('Informacion del AEP'!$F$12:$AE$12,MATCH('Pagos Mayoristas'!$C$10,'Informacion del AEP'!$F$11:$AE$11,0)))</f>
        <v>81827.309257028144</v>
      </c>
      <c r="M452" s="204"/>
      <c r="N452" s="77">
        <f>SUM(N453:N471)</f>
        <v>80715600</v>
      </c>
      <c r="O452" s="204">
        <f>SUM(D452:N452)</f>
        <v>641024160.64259028</v>
      </c>
    </row>
    <row r="453" spans="3:15" x14ac:dyDescent="0.25">
      <c r="C453" s="5" t="str">
        <f>IF(Supuestos!$B$48="","",Supuestos!$B$48)</f>
        <v>Datos</v>
      </c>
      <c r="D453" s="78">
        <f>INDEX('Informacion del AEP'!$F$90:$AE$108,MATCH('Pagos Mayoristas'!$C453,'Informacion del AEP'!$C$90:$C$108,0),MATCH('Pagos Mayoristas'!C$452,'Informacion del AEP'!$F$89:$AE$89,0))*INDEX('Hoja Auxiliar'!$D$40:$D$58,MATCH('Pagos Mayoristas'!$C453,'Hoja Auxiliar'!$C$40:$C$58,0))</f>
        <v>296333333.33333331</v>
      </c>
      <c r="F453" s="238">
        <f>IF(C453="","",('Precio Mayorista'!$D$100*INDEX('Informacion del AEP'!$D$90:$AE$108,MATCH(C453,'Informacion del AEP'!$C$90:$C$108,0),MATCH($C$452,'Informacion del AEP'!$D$89:$AE$89,0))*INDEX('Informacion del AEP'!$F$169:$F$187,MATCH(C453,'Informacion del AEP'!$C$169:$C$187,0))))</f>
        <v>0</v>
      </c>
      <c r="N453" s="209">
        <f>INDEX('Precio Mayorista'!$D$76:$D$94,MATCH('Pagos Mayoristas'!C453,'Precio Mayorista'!$G$76:$G$94,0))*INDEX('Informacion del AEP'!$F$90:$AE$108,MATCH('Pagos Mayoristas'!C453,'Informacion del AEP'!$C$90:$C$108,0),MATCH('Pagos Mayoristas'!$C$452,'Informacion del AEP'!$F$89:$AE$89,0))</f>
        <v>0</v>
      </c>
    </row>
    <row r="454" spans="3:15" x14ac:dyDescent="0.25">
      <c r="C454" s="5" t="str">
        <f>IF(Supuestos!$B$49="","",Supuestos!$B$49)</f>
        <v>Originación voz on-net local</v>
      </c>
      <c r="D454" s="78">
        <f>INDEX('Informacion del AEP'!$F$90:$AE$108,MATCH('Pagos Mayoristas'!$C454,'Informacion del AEP'!$C$90:$C$108,0),MATCH('Pagos Mayoristas'!C$452,'Informacion del AEP'!$F$89:$AE$89,0))*INDEX('Hoja Auxiliar'!$D$40:$D$58,MATCH('Pagos Mayoristas'!$C454,'Hoja Auxiliar'!$C$40:$C$58,0))</f>
        <v>70000000</v>
      </c>
      <c r="F454" s="238">
        <f>IF(C454="","",('Precio Mayorista'!$D$100*INDEX('Informacion del AEP'!$D$90:$AE$108,MATCH(C454,'Informacion del AEP'!$C$90:$C$108,0),MATCH($C$452,'Informacion del AEP'!$D$89:$AE$89,0))*INDEX('Informacion del AEP'!$F$169:$F$187,MATCH(C454,'Informacion del AEP'!$C$169:$C$187,0))))</f>
        <v>0</v>
      </c>
      <c r="N454" s="209">
        <f>INDEX('Precio Mayorista'!$D$76:$D$94,MATCH('Pagos Mayoristas'!C454,'Precio Mayorista'!$G$76:$G$94,0))*INDEX('Informacion del AEP'!$F$90:$AE$108,MATCH('Pagos Mayoristas'!C454,'Informacion del AEP'!$C$90:$C$108,0),MATCH('Pagos Mayoristas'!$C$452,'Informacion del AEP'!$F$89:$AE$89,0))</f>
        <v>0</v>
      </c>
    </row>
    <row r="455" spans="3:15" x14ac:dyDescent="0.25">
      <c r="C455" s="5" t="str">
        <f>IF(Supuestos!$B$50="","",Supuestos!$B$50)</f>
        <v>Originación voz off-net móvil local</v>
      </c>
      <c r="D455" s="78">
        <f>INDEX('Informacion del AEP'!$F$90:$AE$108,MATCH('Pagos Mayoristas'!$C455,'Informacion del AEP'!$C$90:$C$108,0),MATCH('Pagos Mayoristas'!C$452,'Informacion del AEP'!$F$89:$AE$89,0))*INDEX('Hoja Auxiliar'!$D$40:$D$58,MATCH('Pagos Mayoristas'!$C455,'Hoja Auxiliar'!$C$40:$C$58,0))</f>
        <v>14000000</v>
      </c>
      <c r="F455" s="238">
        <f>IF(C455="","",('Precio Mayorista'!$D$100*INDEX('Informacion del AEP'!$D$90:$AE$108,MATCH(C455,'Informacion del AEP'!$C$90:$C$108,0),MATCH($C$452,'Informacion del AEP'!$D$89:$AE$89,0))*INDEX('Informacion del AEP'!$F$169:$F$187,MATCH(C455,'Informacion del AEP'!$C$169:$C$187,0))))</f>
        <v>0</v>
      </c>
      <c r="N455" s="209">
        <f>INDEX('Precio Mayorista'!$D$76:$D$94,MATCH('Pagos Mayoristas'!C455,'Precio Mayorista'!$G$76:$G$94,0))*INDEX('Informacion del AEP'!$F$90:$AE$108,MATCH('Pagos Mayoristas'!C455,'Informacion del AEP'!$C$90:$C$108,0),MATCH('Pagos Mayoristas'!$C$452,'Informacion del AEP'!$F$89:$AE$89,0))</f>
        <v>19703133.333333336</v>
      </c>
    </row>
    <row r="456" spans="3:15" x14ac:dyDescent="0.25">
      <c r="C456" s="5" t="str">
        <f>IF(Supuestos!$B$51="","",Supuestos!$B$51)</f>
        <v>Originación voz off-net fijo local</v>
      </c>
      <c r="D456" s="78">
        <f>INDEX('Informacion del AEP'!$F$90:$AE$108,MATCH('Pagos Mayoristas'!$C456,'Informacion del AEP'!$C$90:$C$108,0),MATCH('Pagos Mayoristas'!C$452,'Informacion del AEP'!$F$89:$AE$89,0))*INDEX('Hoja Auxiliar'!$D$40:$D$58,MATCH('Pagos Mayoristas'!$C456,'Hoja Auxiliar'!$C$40:$C$58,0))</f>
        <v>7000000</v>
      </c>
      <c r="F456" s="238">
        <f>IF(C456="","",('Precio Mayorista'!$D$100*INDEX('Informacion del AEP'!$D$90:$AE$108,MATCH(C456,'Informacion del AEP'!$C$90:$C$108,0),MATCH($C$452,'Informacion del AEP'!$D$89:$AE$89,0))*INDEX('Informacion del AEP'!$F$169:$F$187,MATCH(C456,'Informacion del AEP'!$C$169:$C$187,0))))</f>
        <v>0</v>
      </c>
      <c r="N456" s="209">
        <f>INDEX('Precio Mayorista'!$D$76:$D$94,MATCH('Pagos Mayoristas'!C456,'Precio Mayorista'!$G$76:$G$94,0))*INDEX('Informacion del AEP'!$F$90:$AE$108,MATCH('Pagos Mayoristas'!C456,'Informacion del AEP'!$C$90:$C$108,0),MATCH('Pagos Mayoristas'!$C$452,'Informacion del AEP'!$F$89:$AE$89,0))</f>
        <v>780033.33333333337</v>
      </c>
    </row>
    <row r="457" spans="3:15" x14ac:dyDescent="0.25">
      <c r="C457" s="5" t="str">
        <f>IF(Supuestos!$B$52="","",Supuestos!$B$52)</f>
        <v>Originación voz on-net LDN</v>
      </c>
      <c r="D457" s="78">
        <f>INDEX('Informacion del AEP'!$F$90:$AE$108,MATCH('Pagos Mayoristas'!$C457,'Informacion del AEP'!$C$90:$C$108,0),MATCH('Pagos Mayoristas'!C$452,'Informacion del AEP'!$F$89:$AE$89,0))*INDEX('Hoja Auxiliar'!$D$40:$D$58,MATCH('Pagos Mayoristas'!$C457,'Hoja Auxiliar'!$C$40:$C$58,0))</f>
        <v>105000000</v>
      </c>
      <c r="F457" s="238">
        <f>IF(C457="","",('Precio Mayorista'!$D$100*INDEX('Informacion del AEP'!$D$90:$AE$108,MATCH(C457,'Informacion del AEP'!$C$90:$C$108,0),MATCH($C$452,'Informacion del AEP'!$D$89:$AE$89,0))*INDEX('Informacion del AEP'!$F$169:$F$187,MATCH(C457,'Informacion del AEP'!$C$169:$C$187,0))))</f>
        <v>0</v>
      </c>
      <c r="N457" s="209">
        <f>INDEX('Precio Mayorista'!$D$76:$D$94,MATCH('Pagos Mayoristas'!C457,'Precio Mayorista'!$G$76:$G$94,0))*INDEX('Informacion del AEP'!$F$90:$AE$108,MATCH('Pagos Mayoristas'!C457,'Informacion del AEP'!$C$90:$C$108,0),MATCH('Pagos Mayoristas'!$C$452,'Informacion del AEP'!$F$89:$AE$89,0))</f>
        <v>0</v>
      </c>
    </row>
    <row r="458" spans="3:15" x14ac:dyDescent="0.25">
      <c r="C458" s="5" t="str">
        <f>IF(Supuestos!$B$53="","",Supuestos!$B$53)</f>
        <v>Originación voz off-net móvil LDN</v>
      </c>
      <c r="D458" s="78">
        <f>INDEX('Informacion del AEP'!$F$90:$AE$108,MATCH('Pagos Mayoristas'!$C458,'Informacion del AEP'!$C$90:$C$108,0),MATCH('Pagos Mayoristas'!C$452,'Informacion del AEP'!$F$89:$AE$89,0))*INDEX('Hoja Auxiliar'!$D$40:$D$58,MATCH('Pagos Mayoristas'!$C458,'Hoja Auxiliar'!$C$40:$C$58,0))</f>
        <v>10499999.999999998</v>
      </c>
      <c r="F458" s="238">
        <f>IF(C458="","",('Precio Mayorista'!$D$100*INDEX('Informacion del AEP'!$D$90:$AE$108,MATCH(C458,'Informacion del AEP'!$C$90:$C$108,0),MATCH($C$452,'Informacion del AEP'!$D$89:$AE$89,0))*INDEX('Informacion del AEP'!$F$169:$F$187,MATCH(C458,'Informacion del AEP'!$C$169:$C$187,0))))</f>
        <v>0</v>
      </c>
      <c r="N458" s="209">
        <f>INDEX('Precio Mayorista'!$D$76:$D$94,MATCH('Pagos Mayoristas'!C458,'Precio Mayorista'!$G$76:$G$94,0))*INDEX('Informacion del AEP'!$F$90:$AE$108,MATCH('Pagos Mayoristas'!C458,'Informacion del AEP'!$C$90:$C$108,0),MATCH('Pagos Mayoristas'!$C$452,'Informacion del AEP'!$F$89:$AE$89,0))</f>
        <v>14777349.999999998</v>
      </c>
    </row>
    <row r="459" spans="3:15" x14ac:dyDescent="0.25">
      <c r="C459" s="5" t="str">
        <f>IF(Supuestos!$B$54="","",Supuestos!$B$54)</f>
        <v>Originación voz off-net fijo LDN</v>
      </c>
      <c r="D459" s="78">
        <f>INDEX('Informacion del AEP'!$F$90:$AE$108,MATCH('Pagos Mayoristas'!$C459,'Informacion del AEP'!$C$90:$C$108,0),MATCH('Pagos Mayoristas'!C$452,'Informacion del AEP'!$F$89:$AE$89,0))*INDEX('Hoja Auxiliar'!$D$40:$D$58,MATCH('Pagos Mayoristas'!$C459,'Hoja Auxiliar'!$C$40:$C$58,0))</f>
        <v>3500000</v>
      </c>
      <c r="F459" s="238">
        <f>IF(C459="","",('Precio Mayorista'!$D$100*INDEX('Informacion del AEP'!$D$90:$AE$108,MATCH(C459,'Informacion del AEP'!$C$90:$C$108,0),MATCH($C$452,'Informacion del AEP'!$D$89:$AE$89,0))*INDEX('Informacion del AEP'!$F$169:$F$187,MATCH(C459,'Informacion del AEP'!$C$169:$C$187,0))))</f>
        <v>0</v>
      </c>
      <c r="N459" s="209">
        <f>INDEX('Precio Mayorista'!$D$76:$D$94,MATCH('Pagos Mayoristas'!C459,'Precio Mayorista'!$G$76:$G$94,0))*INDEX('Informacion del AEP'!$F$90:$AE$108,MATCH('Pagos Mayoristas'!C459,'Informacion del AEP'!$C$90:$C$108,0),MATCH('Pagos Mayoristas'!$C$452,'Informacion del AEP'!$F$89:$AE$89,0))</f>
        <v>390016.66666666669</v>
      </c>
    </row>
    <row r="460" spans="3:15" x14ac:dyDescent="0.25">
      <c r="C460" s="5" t="str">
        <f>IF(Supuestos!$B$55="","",Supuestos!$B$55)</f>
        <v>Originación voz internacional USA-Canadá</v>
      </c>
      <c r="D460" s="78">
        <f>INDEX('Informacion del AEP'!$F$90:$AE$108,MATCH('Pagos Mayoristas'!$C460,'Informacion del AEP'!$C$90:$C$108,0),MATCH('Pagos Mayoristas'!C$452,'Informacion del AEP'!$F$89:$AE$89,0))*INDEX('Hoja Auxiliar'!$D$40:$D$58,MATCH('Pagos Mayoristas'!$C460,'Hoja Auxiliar'!$C$40:$C$58,0))</f>
        <v>9099999.9999999981</v>
      </c>
      <c r="F460" s="238">
        <f>IF(C460="","",('Precio Mayorista'!$D$100*INDEX('Informacion del AEP'!$D$90:$AE$108,MATCH(C460,'Informacion del AEP'!$C$90:$C$108,0),MATCH($C$452,'Informacion del AEP'!$D$89:$AE$89,0))*INDEX('Informacion del AEP'!$F$169:$F$187,MATCH(C460,'Informacion del AEP'!$C$169:$C$187,0))))</f>
        <v>0</v>
      </c>
      <c r="N460" s="209">
        <f>INDEX('Precio Mayorista'!$D$76:$D$94,MATCH('Pagos Mayoristas'!C460,'Precio Mayorista'!$G$76:$G$94,0))*INDEX('Informacion del AEP'!$F$90:$AE$108,MATCH('Pagos Mayoristas'!C460,'Informacion del AEP'!$C$90:$C$108,0),MATCH('Pagos Mayoristas'!$C$452,'Informacion del AEP'!$F$89:$AE$89,0))</f>
        <v>15166666.666666666</v>
      </c>
    </row>
    <row r="461" spans="3:15" x14ac:dyDescent="0.25">
      <c r="C461" s="5" t="str">
        <f>IF(Supuestos!$B$56="","",Supuestos!$B$56)</f>
        <v>Originación voz internacional Mundial Centroamérica</v>
      </c>
      <c r="D461" s="78">
        <f>INDEX('Informacion del AEP'!$F$90:$AE$108,MATCH('Pagos Mayoristas'!$C461,'Informacion del AEP'!$C$90:$C$108,0),MATCH('Pagos Mayoristas'!C$452,'Informacion del AEP'!$F$89:$AE$89,0))*INDEX('Hoja Auxiliar'!$D$40:$D$58,MATCH('Pagos Mayoristas'!$C461,'Hoja Auxiliar'!$C$40:$C$58,0))</f>
        <v>21000</v>
      </c>
      <c r="F461" s="238">
        <f>IF(C461="","",('Precio Mayorista'!$D$100*INDEX('Informacion del AEP'!$D$90:$AE$108,MATCH(C461,'Informacion del AEP'!$C$90:$C$108,0),MATCH($C$452,'Informacion del AEP'!$D$89:$AE$89,0))*INDEX('Informacion del AEP'!$F$169:$F$187,MATCH(C461,'Informacion del AEP'!$C$169:$C$187,0))))</f>
        <v>0</v>
      </c>
      <c r="N461" s="209">
        <f>INDEX('Precio Mayorista'!$D$76:$D$94,MATCH('Pagos Mayoristas'!C461,'Precio Mayorista'!$G$76:$G$94,0))*INDEX('Informacion del AEP'!$F$90:$AE$108,MATCH('Pagos Mayoristas'!C461,'Informacion del AEP'!$C$90:$C$108,0),MATCH('Pagos Mayoristas'!$C$452,'Informacion del AEP'!$F$89:$AE$89,0))</f>
        <v>1750000</v>
      </c>
    </row>
    <row r="462" spans="3:15" x14ac:dyDescent="0.25">
      <c r="C462" s="5" t="str">
        <f>IF(Supuestos!$B$57="","",Supuestos!$B$57)</f>
        <v>Originación voz internacional Mundial LATAM y Caribe</v>
      </c>
      <c r="D462" s="78">
        <f>INDEX('Informacion del AEP'!$F$90:$AE$108,MATCH('Pagos Mayoristas'!$C462,'Informacion del AEP'!$C$90:$C$108,0),MATCH('Pagos Mayoristas'!C$452,'Informacion del AEP'!$F$89:$AE$89,0))*INDEX('Hoja Auxiliar'!$D$40:$D$58,MATCH('Pagos Mayoristas'!$C462,'Hoja Auxiliar'!$C$40:$C$58,0))</f>
        <v>1399.9999999999998</v>
      </c>
      <c r="F462" s="238">
        <f>IF(C462="","",('Precio Mayorista'!$D$100*INDEX('Informacion del AEP'!$D$90:$AE$108,MATCH(C462,'Informacion del AEP'!$C$90:$C$108,0),MATCH($C$452,'Informacion del AEP'!$D$89:$AE$89,0))*INDEX('Informacion del AEP'!$F$169:$F$187,MATCH(C462,'Informacion del AEP'!$C$169:$C$187,0))))</f>
        <v>0</v>
      </c>
      <c r="N462" s="209">
        <f>INDEX('Precio Mayorista'!$D$76:$D$94,MATCH('Pagos Mayoristas'!C462,'Precio Mayorista'!$G$76:$G$94,0))*INDEX('Informacion del AEP'!$F$90:$AE$108,MATCH('Pagos Mayoristas'!C462,'Informacion del AEP'!$C$90:$C$108,0),MATCH('Pagos Mayoristas'!$C$452,'Informacion del AEP'!$F$89:$AE$89,0))</f>
        <v>233333.33333333331</v>
      </c>
    </row>
    <row r="463" spans="3:15" x14ac:dyDescent="0.25">
      <c r="C463" s="5" t="str">
        <f>IF(Supuestos!$B$58="","",Supuestos!$B$58)</f>
        <v>Originación voz internacional Europa</v>
      </c>
      <c r="D463" s="78">
        <f>INDEX('Informacion del AEP'!$F$90:$AE$108,MATCH('Pagos Mayoristas'!$C463,'Informacion del AEP'!$C$90:$C$108,0),MATCH('Pagos Mayoristas'!C$452,'Informacion del AEP'!$F$89:$AE$89,0))*INDEX('Hoja Auxiliar'!$D$40:$D$58,MATCH('Pagos Mayoristas'!$C463,'Hoja Auxiliar'!$C$40:$C$58,0))</f>
        <v>0</v>
      </c>
      <c r="F463" s="238">
        <f>IF(C463="","",('Precio Mayorista'!$D$100*INDEX('Informacion del AEP'!$D$90:$AE$108,MATCH(C463,'Informacion del AEP'!$C$90:$C$108,0),MATCH($C$452,'Informacion del AEP'!$D$89:$AE$89,0))*INDEX('Informacion del AEP'!$F$169:$F$187,MATCH(C463,'Informacion del AEP'!$C$169:$C$187,0))))</f>
        <v>0</v>
      </c>
      <c r="N463" s="209">
        <f>INDEX('Precio Mayorista'!$D$76:$D$94,MATCH('Pagos Mayoristas'!C463,'Precio Mayorista'!$G$76:$G$94,0))*INDEX('Informacion del AEP'!$F$90:$AE$108,MATCH('Pagos Mayoristas'!C463,'Informacion del AEP'!$C$90:$C$108,0),MATCH('Pagos Mayoristas'!$C$452,'Informacion del AEP'!$F$89:$AE$89,0))</f>
        <v>0</v>
      </c>
    </row>
    <row r="464" spans="3:15" x14ac:dyDescent="0.25">
      <c r="C464" s="5" t="str">
        <f>IF(Supuestos!$B$59="","",Supuestos!$B$59)</f>
        <v>Originación voz internacional Mundial Otros geográficos</v>
      </c>
      <c r="D464" s="78">
        <f>INDEX('Informacion del AEP'!$F$90:$AE$108,MATCH('Pagos Mayoristas'!$C464,'Informacion del AEP'!$C$90:$C$108,0),MATCH('Pagos Mayoristas'!C$452,'Informacion del AEP'!$F$89:$AE$89,0))*INDEX('Hoja Auxiliar'!$D$40:$D$58,MATCH('Pagos Mayoristas'!$C464,'Hoja Auxiliar'!$C$40:$C$58,0))</f>
        <v>70000</v>
      </c>
      <c r="F464" s="238">
        <f>IF(C464="","",('Precio Mayorista'!$D$100*INDEX('Informacion del AEP'!$D$90:$AE$108,MATCH(C464,'Informacion del AEP'!$C$90:$C$108,0),MATCH($C$452,'Informacion del AEP'!$D$89:$AE$89,0))*INDEX('Informacion del AEP'!$F$169:$F$187,MATCH(C464,'Informacion del AEP'!$C$169:$C$187,0))))</f>
        <v>0</v>
      </c>
      <c r="N464" s="209">
        <f>INDEX('Precio Mayorista'!$D$76:$D$94,MATCH('Pagos Mayoristas'!C464,'Precio Mayorista'!$G$76:$G$94,0))*INDEX('Informacion del AEP'!$F$90:$AE$108,MATCH('Pagos Mayoristas'!C464,'Informacion del AEP'!$C$90:$C$108,0),MATCH('Pagos Mayoristas'!$C$452,'Informacion del AEP'!$F$89:$AE$89,0))</f>
        <v>11666666.666666668</v>
      </c>
    </row>
    <row r="465" spans="3:15" x14ac:dyDescent="0.25">
      <c r="C465" s="5" t="str">
        <f>IF(Supuestos!$B$60="","",Supuestos!$B$60)</f>
        <v>Originación voz internacional Cuba</v>
      </c>
      <c r="D465" s="78">
        <f>INDEX('Informacion del AEP'!$F$90:$AE$108,MATCH('Pagos Mayoristas'!$C465,'Informacion del AEP'!$C$90:$C$108,0),MATCH('Pagos Mayoristas'!C$452,'Informacion del AEP'!$F$89:$AE$89,0))*INDEX('Hoja Auxiliar'!$D$40:$D$58,MATCH('Pagos Mayoristas'!$C465,'Hoja Auxiliar'!$C$40:$C$58,0))</f>
        <v>3500</v>
      </c>
      <c r="F465" s="238">
        <f>IF(C465="","",('Precio Mayorista'!$D$100*INDEX('Informacion del AEP'!$D$90:$AE$108,MATCH(C465,'Informacion del AEP'!$C$90:$C$108,0),MATCH($C$452,'Informacion del AEP'!$D$89:$AE$89,0))*INDEX('Informacion del AEP'!$F$169:$F$187,MATCH(C465,'Informacion del AEP'!$C$169:$C$187,0))))</f>
        <v>0</v>
      </c>
      <c r="N465" s="209">
        <f>INDEX('Precio Mayorista'!$D$76:$D$94,MATCH('Pagos Mayoristas'!C465,'Precio Mayorista'!$G$76:$G$94,0))*INDEX('Informacion del AEP'!$F$90:$AE$108,MATCH('Pagos Mayoristas'!C465,'Informacion del AEP'!$C$90:$C$108,0),MATCH('Pagos Mayoristas'!$C$452,'Informacion del AEP'!$F$89:$AE$89,0))</f>
        <v>1750000</v>
      </c>
    </row>
    <row r="466" spans="3:15" x14ac:dyDescent="0.25">
      <c r="C466" s="5" t="str">
        <f>IF(Supuestos!$B$61="","",Supuestos!$B$61)</f>
        <v>Originación voz Mundial destinos no geográficos</v>
      </c>
      <c r="D466" s="78">
        <f>INDEX('Informacion del AEP'!$F$90:$AE$108,MATCH('Pagos Mayoristas'!$C466,'Informacion del AEP'!$C$90:$C$108,0),MATCH('Pagos Mayoristas'!C$452,'Informacion del AEP'!$F$89:$AE$89,0))*INDEX('Hoja Auxiliar'!$D$40:$D$58,MATCH('Pagos Mayoristas'!$C466,'Hoja Auxiliar'!$C$40:$C$58,0))</f>
        <v>0</v>
      </c>
      <c r="F466" s="238">
        <f>IF(C466="","",('Precio Mayorista'!$D$100*INDEX('Informacion del AEP'!$D$90:$AE$108,MATCH(C466,'Informacion del AEP'!$C$90:$C$108,0),MATCH($C$452,'Informacion del AEP'!$D$89:$AE$89,0))*INDEX('Informacion del AEP'!$F$169:$F$187,MATCH(C466,'Informacion del AEP'!$C$169:$C$187,0))))</f>
        <v>0</v>
      </c>
      <c r="N466" s="209">
        <f>INDEX('Precio Mayorista'!$D$76:$D$94,MATCH('Pagos Mayoristas'!C466,'Precio Mayorista'!$G$76:$G$94,0))*INDEX('Informacion del AEP'!$F$90:$AE$108,MATCH('Pagos Mayoristas'!C466,'Informacion del AEP'!$C$90:$C$108,0),MATCH('Pagos Mayoristas'!$C$452,'Informacion del AEP'!$F$89:$AE$89,0))</f>
        <v>0</v>
      </c>
    </row>
    <row r="467" spans="3:15" x14ac:dyDescent="0.25">
      <c r="C467" s="5" t="str">
        <f>IF(Supuestos!$B$62="","",Supuestos!$B$62)</f>
        <v>Originación SMS on-net</v>
      </c>
      <c r="D467" s="78">
        <f>INDEX('Informacion del AEP'!$F$90:$AE$108,MATCH('Pagos Mayoristas'!$C467,'Informacion del AEP'!$C$90:$C$108,0),MATCH('Pagos Mayoristas'!C$452,'Informacion del AEP'!$F$89:$AE$89,0))*INDEX('Hoja Auxiliar'!$D$40:$D$58,MATCH('Pagos Mayoristas'!$C467,'Hoja Auxiliar'!$C$40:$C$58,0))</f>
        <v>7000000</v>
      </c>
      <c r="F467" s="238">
        <f>IF(C467="","",('Precio Mayorista'!$D$100*INDEX('Informacion del AEP'!$D$90:$AE$108,MATCH(C467,'Informacion del AEP'!$C$90:$C$108,0),MATCH($C$452,'Informacion del AEP'!$D$89:$AE$89,0))*INDEX('Informacion del AEP'!$F$169:$F$187,MATCH(C467,'Informacion del AEP'!$C$169:$C$187,0))))</f>
        <v>0</v>
      </c>
      <c r="N467" s="209">
        <f>INDEX('Precio Mayorista'!$D$76:$D$94,MATCH('Pagos Mayoristas'!C467,'Precio Mayorista'!$G$76:$G$94,0))*INDEX('Informacion del AEP'!$F$90:$AE$108,MATCH('Pagos Mayoristas'!C467,'Informacion del AEP'!$C$90:$C$108,0),MATCH('Pagos Mayoristas'!$C$452,'Informacion del AEP'!$F$89:$AE$89,0))</f>
        <v>0</v>
      </c>
    </row>
    <row r="468" spans="3:15" x14ac:dyDescent="0.25">
      <c r="C468" s="5" t="str">
        <f>IF(Supuestos!$B$63="","",Supuestos!$B$63)</f>
        <v>Originación SMS - off-net nacional</v>
      </c>
      <c r="D468" s="78">
        <f>INDEX('Informacion del AEP'!$F$90:$AE$108,MATCH('Pagos Mayoristas'!$C468,'Informacion del AEP'!$C$90:$C$108,0),MATCH('Pagos Mayoristas'!C$452,'Informacion del AEP'!$F$89:$AE$89,0))*INDEX('Hoja Auxiliar'!$D$40:$D$58,MATCH('Pagos Mayoristas'!$C468,'Hoja Auxiliar'!$C$40:$C$58,0))</f>
        <v>1750000</v>
      </c>
      <c r="F468" s="238">
        <f>IF(C468="","",('Precio Mayorista'!$D$100*INDEX('Informacion del AEP'!$D$90:$AE$108,MATCH(C468,'Informacion del AEP'!$C$90:$C$108,0),MATCH($C$452,'Informacion del AEP'!$D$89:$AE$89,0))*INDEX('Informacion del AEP'!$F$169:$F$187,MATCH(C468,'Informacion del AEP'!$C$169:$C$187,0))))</f>
        <v>0</v>
      </c>
      <c r="N468" s="209">
        <f>INDEX('Precio Mayorista'!$D$76:$D$94,MATCH('Pagos Mayoristas'!C468,'Precio Mayorista'!$G$76:$G$94,0))*INDEX('Informacion del AEP'!$F$90:$AE$108,MATCH('Pagos Mayoristas'!C468,'Informacion del AEP'!$C$90:$C$108,0),MATCH('Pagos Mayoristas'!$C$452,'Informacion del AEP'!$F$89:$AE$89,0))</f>
        <v>1081733.3333333335</v>
      </c>
    </row>
    <row r="469" spans="3:15" x14ac:dyDescent="0.25">
      <c r="C469" s="5" t="str">
        <f>IF(Supuestos!$B$64="","",Supuestos!$B$64)</f>
        <v>Originación SMS internacional (USA-Canadá)</v>
      </c>
      <c r="D469" s="78">
        <f>INDEX('Informacion del AEP'!$F$90:$AE$108,MATCH('Pagos Mayoristas'!$C469,'Informacion del AEP'!$C$90:$C$108,0),MATCH('Pagos Mayoristas'!C$452,'Informacion del AEP'!$F$89:$AE$89,0))*INDEX('Hoja Auxiliar'!$D$40:$D$58,MATCH('Pagos Mayoristas'!$C469,'Hoja Auxiliar'!$C$40:$C$58,0))</f>
        <v>349999.99999999994</v>
      </c>
      <c r="F469" s="238">
        <f>IF(C469="","",('Precio Mayorista'!$D$100*INDEX('Informacion del AEP'!$D$90:$AE$108,MATCH(C469,'Informacion del AEP'!$C$90:$C$108,0),MATCH($C$452,'Informacion del AEP'!$D$89:$AE$89,0))*INDEX('Informacion del AEP'!$F$169:$F$187,MATCH(C469,'Informacion del AEP'!$C$169:$C$187,0))))</f>
        <v>0</v>
      </c>
      <c r="N469" s="209">
        <f>INDEX('Precio Mayorista'!$D$76:$D$94,MATCH('Pagos Mayoristas'!C469,'Precio Mayorista'!$G$76:$G$94,0))*INDEX('Informacion del AEP'!$F$90:$AE$108,MATCH('Pagos Mayoristas'!C469,'Informacion del AEP'!$C$90:$C$108,0),MATCH('Pagos Mayoristas'!$C$452,'Informacion del AEP'!$F$89:$AE$89,0))</f>
        <v>11666666.666666666</v>
      </c>
    </row>
    <row r="470" spans="3:15" x14ac:dyDescent="0.25">
      <c r="C470" s="5" t="str">
        <f>IF(Supuestos!$B$65="","",Supuestos!$B$65)</f>
        <v>Originación SMS internacional (Resto del Mundo)</v>
      </c>
      <c r="D470" s="78">
        <f>INDEX('Informacion del AEP'!$F$90:$AE$108,MATCH('Pagos Mayoristas'!$C470,'Informacion del AEP'!$C$90:$C$108,0),MATCH('Pagos Mayoristas'!C$452,'Informacion del AEP'!$F$89:$AE$89,0))*INDEX('Hoja Auxiliar'!$D$40:$D$58,MATCH('Pagos Mayoristas'!$C470,'Hoja Auxiliar'!$C$40:$C$58,0))</f>
        <v>35000</v>
      </c>
      <c r="F470" s="238">
        <f>IF(C470="","",('Precio Mayorista'!$D$100*INDEX('Informacion del AEP'!$D$90:$AE$108,MATCH(C470,'Informacion del AEP'!$C$90:$C$108,0),MATCH($C$452,'Informacion del AEP'!$D$89:$AE$89,0))*INDEX('Informacion del AEP'!$F$169:$F$187,MATCH(C470,'Informacion del AEP'!$C$169:$C$187,0))))</f>
        <v>0</v>
      </c>
      <c r="N470" s="209">
        <f>INDEX('Precio Mayorista'!$D$76:$D$94,MATCH('Pagos Mayoristas'!C470,'Precio Mayorista'!$G$76:$G$94,0))*INDEX('Informacion del AEP'!$F$90:$AE$108,MATCH('Pagos Mayoristas'!C470,'Informacion del AEP'!$C$90:$C$108,0),MATCH('Pagos Mayoristas'!$C$452,'Informacion del AEP'!$F$89:$AE$89,0))</f>
        <v>1750000</v>
      </c>
    </row>
    <row r="471" spans="3:15" x14ac:dyDescent="0.25">
      <c r="C471" s="5" t="str">
        <f>IF(Supuestos!$B$66="","",Supuestos!$B$66)</f>
        <v>Otros servicios (incluyendo marcaciones especiales)</v>
      </c>
      <c r="D471" s="78">
        <f>INDEX('Informacion del AEP'!$F$90:$AE$108,MATCH('Pagos Mayoristas'!$C471,'Informacion del AEP'!$C$90:$C$108,0),MATCH('Pagos Mayoristas'!C$452,'Informacion del AEP'!$F$89:$AE$89,0))*INDEX('Hoja Auxiliar'!$D$40:$D$58,MATCH('Pagos Mayoristas'!$C471,'Hoja Auxiliar'!$C$40:$C$58,0))</f>
        <v>35000000</v>
      </c>
      <c r="F471" s="238">
        <f>IF(C471="","",('Precio Mayorista'!$D$100*INDEX('Informacion del AEP'!$D$90:$AE$108,MATCH(C471,'Informacion del AEP'!$C$90:$C$108,0),MATCH($C$452,'Informacion del AEP'!$D$89:$AE$89,0))*INDEX('Informacion del AEP'!$F$169:$F$187,MATCH(C471,'Informacion del AEP'!$C$169:$C$187,0))))</f>
        <v>0</v>
      </c>
      <c r="N471" s="209">
        <f>INDEX('Precio Mayorista'!$D$76:$D$94,MATCH('Pagos Mayoristas'!C471,'Precio Mayorista'!$G$76:$G$94,0))*INDEX('Informacion del AEP'!$F$90:$AE$108,MATCH('Pagos Mayoristas'!C471,'Informacion del AEP'!$C$90:$C$108,0),MATCH('Pagos Mayoristas'!$C$452,'Informacion del AEP'!$F$89:$AE$89,0))</f>
        <v>0</v>
      </c>
    </row>
    <row r="478" spans="3:15" ht="13" x14ac:dyDescent="0.3">
      <c r="C478" s="74" t="str">
        <f>Supuestos!$B$88</f>
        <v>Telcel Pospago 9</v>
      </c>
      <c r="D478" s="77">
        <f>SUM(D479:D497)</f>
        <v>559664233.33333325</v>
      </c>
      <c r="E478" s="75"/>
      <c r="F478" s="77">
        <f>SUM(F479:F497)</f>
        <v>0</v>
      </c>
      <c r="G478" s="75"/>
      <c r="H478" s="77"/>
      <c r="I478" s="77">
        <f>INDEX('Informacion del AEP'!$H$31:$H$84,MATCH('Pagos Mayoristas'!C478,'Informacion del AEP'!$C$31:$C$84,0))*'Hoja Auxiliar'!$D$61</f>
        <v>215265</v>
      </c>
      <c r="J478" s="4"/>
      <c r="K478" s="77"/>
      <c r="L478" s="204">
        <f>$L$10*(INDEX('Informacion del AEP'!$F$12:$AE$12,MATCH('Pagos Mayoristas'!C478,'Informacion del AEP'!$F$11:$AE$11,0))/INDEX('Informacion del AEP'!$F$12:$AE$12,MATCH('Pagos Mayoristas'!$C$10,'Informacion del AEP'!$F$11:$AE$11,0)))</f>
        <v>81827.309257028144</v>
      </c>
      <c r="M478" s="204"/>
      <c r="N478" s="77">
        <f>SUM(N479:N497)</f>
        <v>80715600</v>
      </c>
      <c r="O478" s="204">
        <f>SUM(D478:N478)</f>
        <v>640676925.64259028</v>
      </c>
    </row>
    <row r="479" spans="3:15" x14ac:dyDescent="0.25">
      <c r="C479" s="5" t="str">
        <f>IF(Supuestos!$B$48="","",Supuestos!$B$48)</f>
        <v>Datos</v>
      </c>
      <c r="D479" s="78">
        <f>INDEX('Informacion del AEP'!$F$90:$AE$108,MATCH('Pagos Mayoristas'!$C479,'Informacion del AEP'!$C$90:$C$108,0),MATCH('Pagos Mayoristas'!C$478,'Informacion del AEP'!$F$89:$AE$89,0))*INDEX('Hoja Auxiliar'!$D$40:$D$58,MATCH('Pagos Mayoristas'!$C479,'Hoja Auxiliar'!$C$40:$C$58,0))</f>
        <v>296333333.33333331</v>
      </c>
      <c r="F479" s="238">
        <f>IF(C479="","",('Precio Mayorista'!$D$100*INDEX('Informacion del AEP'!$D$90:$AE$108,MATCH(C479,'Informacion del AEP'!$C$90:$C$108,0),MATCH($C$478,'Informacion del AEP'!$D$89:$AE$89,0))*INDEX('Informacion del AEP'!$F$169:$F$187,MATCH(C479,'Informacion del AEP'!$C$169:$C$187,0))))</f>
        <v>0</v>
      </c>
      <c r="N479" s="209">
        <f>INDEX('Precio Mayorista'!$D$76:$D$94,MATCH('Pagos Mayoristas'!C479,'Precio Mayorista'!$G$76:$G$94,0))*INDEX('Informacion del AEP'!$F$90:$AE$108,MATCH('Pagos Mayoristas'!C479,'Informacion del AEP'!$C$90:$C$108,0),MATCH('Pagos Mayoristas'!$C$478,'Informacion del AEP'!$F$89:$AE$89,0))</f>
        <v>0</v>
      </c>
    </row>
    <row r="480" spans="3:15" x14ac:dyDescent="0.25">
      <c r="C480" s="5" t="str">
        <f>IF(Supuestos!$B$49="","",Supuestos!$B$49)</f>
        <v>Originación voz on-net local</v>
      </c>
      <c r="D480" s="78">
        <f>INDEX('Informacion del AEP'!$F$90:$AE$108,MATCH('Pagos Mayoristas'!$C480,'Informacion del AEP'!$C$90:$C$108,0),MATCH('Pagos Mayoristas'!C$478,'Informacion del AEP'!$F$89:$AE$89,0))*INDEX('Hoja Auxiliar'!$D$40:$D$58,MATCH('Pagos Mayoristas'!$C480,'Hoja Auxiliar'!$C$40:$C$58,0))</f>
        <v>70000000</v>
      </c>
      <c r="F480" s="238">
        <f>IF(C480="","",('Precio Mayorista'!$D$100*INDEX('Informacion del AEP'!$D$90:$AE$108,MATCH(C480,'Informacion del AEP'!$C$90:$C$108,0),MATCH($C$478,'Informacion del AEP'!$D$89:$AE$89,0))*INDEX('Informacion del AEP'!$F$169:$F$187,MATCH(C480,'Informacion del AEP'!$C$169:$C$187,0))))</f>
        <v>0</v>
      </c>
      <c r="N480" s="209">
        <f>INDEX('Precio Mayorista'!$D$76:$D$94,MATCH('Pagos Mayoristas'!C480,'Precio Mayorista'!$G$76:$G$94,0))*INDEX('Informacion del AEP'!$F$90:$AE$108,MATCH('Pagos Mayoristas'!C480,'Informacion del AEP'!$C$90:$C$108,0),MATCH('Pagos Mayoristas'!$C$478,'Informacion del AEP'!$F$89:$AE$89,0))</f>
        <v>0</v>
      </c>
    </row>
    <row r="481" spans="3:14" x14ac:dyDescent="0.25">
      <c r="C481" s="5" t="str">
        <f>IF(Supuestos!$B$50="","",Supuestos!$B$50)</f>
        <v>Originación voz off-net móvil local</v>
      </c>
      <c r="D481" s="78">
        <f>INDEX('Informacion del AEP'!$F$90:$AE$108,MATCH('Pagos Mayoristas'!$C481,'Informacion del AEP'!$C$90:$C$108,0),MATCH('Pagos Mayoristas'!C$478,'Informacion del AEP'!$F$89:$AE$89,0))*INDEX('Hoja Auxiliar'!$D$40:$D$58,MATCH('Pagos Mayoristas'!$C481,'Hoja Auxiliar'!$C$40:$C$58,0))</f>
        <v>14000000</v>
      </c>
      <c r="F481" s="238">
        <f>IF(C481="","",('Precio Mayorista'!$D$100*INDEX('Informacion del AEP'!$D$90:$AE$108,MATCH(C481,'Informacion del AEP'!$C$90:$C$108,0),MATCH($C$478,'Informacion del AEP'!$D$89:$AE$89,0))*INDEX('Informacion del AEP'!$F$169:$F$187,MATCH(C481,'Informacion del AEP'!$C$169:$C$187,0))))</f>
        <v>0</v>
      </c>
      <c r="N481" s="209">
        <f>INDEX('Precio Mayorista'!$D$76:$D$94,MATCH('Pagos Mayoristas'!C481,'Precio Mayorista'!$G$76:$G$94,0))*INDEX('Informacion del AEP'!$F$90:$AE$108,MATCH('Pagos Mayoristas'!C481,'Informacion del AEP'!$C$90:$C$108,0),MATCH('Pagos Mayoristas'!$C$478,'Informacion del AEP'!$F$89:$AE$89,0))</f>
        <v>19703133.333333336</v>
      </c>
    </row>
    <row r="482" spans="3:14" x14ac:dyDescent="0.25">
      <c r="C482" s="5" t="str">
        <f>IF(Supuestos!$B$51="","",Supuestos!$B$51)</f>
        <v>Originación voz off-net fijo local</v>
      </c>
      <c r="D482" s="78">
        <f>INDEX('Informacion del AEP'!$F$90:$AE$108,MATCH('Pagos Mayoristas'!$C482,'Informacion del AEP'!$C$90:$C$108,0),MATCH('Pagos Mayoristas'!C$478,'Informacion del AEP'!$F$89:$AE$89,0))*INDEX('Hoja Auxiliar'!$D$40:$D$58,MATCH('Pagos Mayoristas'!$C482,'Hoja Auxiliar'!$C$40:$C$58,0))</f>
        <v>7000000</v>
      </c>
      <c r="F482" s="238">
        <f>IF(C482="","",('Precio Mayorista'!$D$100*INDEX('Informacion del AEP'!$D$90:$AE$108,MATCH(C482,'Informacion del AEP'!$C$90:$C$108,0),MATCH($C$478,'Informacion del AEP'!$D$89:$AE$89,0))*INDEX('Informacion del AEP'!$F$169:$F$187,MATCH(C482,'Informacion del AEP'!$C$169:$C$187,0))))</f>
        <v>0</v>
      </c>
      <c r="N482" s="209">
        <f>INDEX('Precio Mayorista'!$D$76:$D$94,MATCH('Pagos Mayoristas'!C482,'Precio Mayorista'!$G$76:$G$94,0))*INDEX('Informacion del AEP'!$F$90:$AE$108,MATCH('Pagos Mayoristas'!C482,'Informacion del AEP'!$C$90:$C$108,0),MATCH('Pagos Mayoristas'!$C$478,'Informacion del AEP'!$F$89:$AE$89,0))</f>
        <v>780033.33333333337</v>
      </c>
    </row>
    <row r="483" spans="3:14" x14ac:dyDescent="0.25">
      <c r="C483" s="5" t="str">
        <f>IF(Supuestos!$B$52="","",Supuestos!$B$52)</f>
        <v>Originación voz on-net LDN</v>
      </c>
      <c r="D483" s="78">
        <f>INDEX('Informacion del AEP'!$F$90:$AE$108,MATCH('Pagos Mayoristas'!$C483,'Informacion del AEP'!$C$90:$C$108,0),MATCH('Pagos Mayoristas'!C$478,'Informacion del AEP'!$F$89:$AE$89,0))*INDEX('Hoja Auxiliar'!$D$40:$D$58,MATCH('Pagos Mayoristas'!$C483,'Hoja Auxiliar'!$C$40:$C$58,0))</f>
        <v>105000000</v>
      </c>
      <c r="F483" s="238">
        <f>IF(C483="","",('Precio Mayorista'!$D$100*INDEX('Informacion del AEP'!$D$90:$AE$108,MATCH(C483,'Informacion del AEP'!$C$90:$C$108,0),MATCH($C$478,'Informacion del AEP'!$D$89:$AE$89,0))*INDEX('Informacion del AEP'!$F$169:$F$187,MATCH(C483,'Informacion del AEP'!$C$169:$C$187,0))))</f>
        <v>0</v>
      </c>
      <c r="N483" s="209">
        <f>INDEX('Precio Mayorista'!$D$76:$D$94,MATCH('Pagos Mayoristas'!C483,'Precio Mayorista'!$G$76:$G$94,0))*INDEX('Informacion del AEP'!$F$90:$AE$108,MATCH('Pagos Mayoristas'!C483,'Informacion del AEP'!$C$90:$C$108,0),MATCH('Pagos Mayoristas'!$C$478,'Informacion del AEP'!$F$89:$AE$89,0))</f>
        <v>0</v>
      </c>
    </row>
    <row r="484" spans="3:14" x14ac:dyDescent="0.25">
      <c r="C484" s="5" t="str">
        <f>IF(Supuestos!$B$53="","",Supuestos!$B$53)</f>
        <v>Originación voz off-net móvil LDN</v>
      </c>
      <c r="D484" s="78">
        <f>INDEX('Informacion del AEP'!$F$90:$AE$108,MATCH('Pagos Mayoristas'!$C484,'Informacion del AEP'!$C$90:$C$108,0),MATCH('Pagos Mayoristas'!C$478,'Informacion del AEP'!$F$89:$AE$89,0))*INDEX('Hoja Auxiliar'!$D$40:$D$58,MATCH('Pagos Mayoristas'!$C484,'Hoja Auxiliar'!$C$40:$C$58,0))</f>
        <v>10499999.999999998</v>
      </c>
      <c r="F484" s="238">
        <f>IF(C484="","",('Precio Mayorista'!$D$100*INDEX('Informacion del AEP'!$D$90:$AE$108,MATCH(C484,'Informacion del AEP'!$C$90:$C$108,0),MATCH($C$478,'Informacion del AEP'!$D$89:$AE$89,0))*INDEX('Informacion del AEP'!$F$169:$F$187,MATCH(C484,'Informacion del AEP'!$C$169:$C$187,0))))</f>
        <v>0</v>
      </c>
      <c r="N484" s="209">
        <f>INDEX('Precio Mayorista'!$D$76:$D$94,MATCH('Pagos Mayoristas'!C484,'Precio Mayorista'!$G$76:$G$94,0))*INDEX('Informacion del AEP'!$F$90:$AE$108,MATCH('Pagos Mayoristas'!C484,'Informacion del AEP'!$C$90:$C$108,0),MATCH('Pagos Mayoristas'!$C$478,'Informacion del AEP'!$F$89:$AE$89,0))</f>
        <v>14777349.999999998</v>
      </c>
    </row>
    <row r="485" spans="3:14" x14ac:dyDescent="0.25">
      <c r="C485" s="5" t="str">
        <f>IF(Supuestos!$B$54="","",Supuestos!$B$54)</f>
        <v>Originación voz off-net fijo LDN</v>
      </c>
      <c r="D485" s="78">
        <f>INDEX('Informacion del AEP'!$F$90:$AE$108,MATCH('Pagos Mayoristas'!$C485,'Informacion del AEP'!$C$90:$C$108,0),MATCH('Pagos Mayoristas'!C$478,'Informacion del AEP'!$F$89:$AE$89,0))*INDEX('Hoja Auxiliar'!$D$40:$D$58,MATCH('Pagos Mayoristas'!$C485,'Hoja Auxiliar'!$C$40:$C$58,0))</f>
        <v>3500000</v>
      </c>
      <c r="F485" s="238">
        <f>IF(C485="","",('Precio Mayorista'!$D$100*INDEX('Informacion del AEP'!$D$90:$AE$108,MATCH(C485,'Informacion del AEP'!$C$90:$C$108,0),MATCH($C$478,'Informacion del AEP'!$D$89:$AE$89,0))*INDEX('Informacion del AEP'!$F$169:$F$187,MATCH(C485,'Informacion del AEP'!$C$169:$C$187,0))))</f>
        <v>0</v>
      </c>
      <c r="N485" s="209">
        <f>INDEX('Precio Mayorista'!$D$76:$D$94,MATCH('Pagos Mayoristas'!C485,'Precio Mayorista'!$G$76:$G$94,0))*INDEX('Informacion del AEP'!$F$90:$AE$108,MATCH('Pagos Mayoristas'!C485,'Informacion del AEP'!$C$90:$C$108,0),MATCH('Pagos Mayoristas'!$C$478,'Informacion del AEP'!$F$89:$AE$89,0))</f>
        <v>390016.66666666669</v>
      </c>
    </row>
    <row r="486" spans="3:14" x14ac:dyDescent="0.25">
      <c r="C486" s="5" t="str">
        <f>IF(Supuestos!$B$55="","",Supuestos!$B$55)</f>
        <v>Originación voz internacional USA-Canadá</v>
      </c>
      <c r="D486" s="78">
        <f>INDEX('Informacion del AEP'!$F$90:$AE$108,MATCH('Pagos Mayoristas'!$C486,'Informacion del AEP'!$C$90:$C$108,0),MATCH('Pagos Mayoristas'!C$478,'Informacion del AEP'!$F$89:$AE$89,0))*INDEX('Hoja Auxiliar'!$D$40:$D$58,MATCH('Pagos Mayoristas'!$C486,'Hoja Auxiliar'!$C$40:$C$58,0))</f>
        <v>9099999.9999999981</v>
      </c>
      <c r="F486" s="238">
        <f>IF(C486="","",('Precio Mayorista'!$D$100*INDEX('Informacion del AEP'!$D$90:$AE$108,MATCH(C486,'Informacion del AEP'!$C$90:$C$108,0),MATCH($C$478,'Informacion del AEP'!$D$89:$AE$89,0))*INDEX('Informacion del AEP'!$F$169:$F$187,MATCH(C486,'Informacion del AEP'!$C$169:$C$187,0))))</f>
        <v>0</v>
      </c>
      <c r="N486" s="209">
        <f>INDEX('Precio Mayorista'!$D$76:$D$94,MATCH('Pagos Mayoristas'!C486,'Precio Mayorista'!$G$76:$G$94,0))*INDEX('Informacion del AEP'!$F$90:$AE$108,MATCH('Pagos Mayoristas'!C486,'Informacion del AEP'!$C$90:$C$108,0),MATCH('Pagos Mayoristas'!$C$478,'Informacion del AEP'!$F$89:$AE$89,0))</f>
        <v>15166666.666666666</v>
      </c>
    </row>
    <row r="487" spans="3:14" x14ac:dyDescent="0.25">
      <c r="C487" s="5" t="str">
        <f>IF(Supuestos!$B$56="","",Supuestos!$B$56)</f>
        <v>Originación voz internacional Mundial Centroamérica</v>
      </c>
      <c r="D487" s="78">
        <f>INDEX('Informacion del AEP'!$F$90:$AE$108,MATCH('Pagos Mayoristas'!$C487,'Informacion del AEP'!$C$90:$C$108,0),MATCH('Pagos Mayoristas'!C$478,'Informacion del AEP'!$F$89:$AE$89,0))*INDEX('Hoja Auxiliar'!$D$40:$D$58,MATCH('Pagos Mayoristas'!$C487,'Hoja Auxiliar'!$C$40:$C$58,0))</f>
        <v>21000</v>
      </c>
      <c r="F487" s="238">
        <f>IF(C487="","",('Precio Mayorista'!$D$100*INDEX('Informacion del AEP'!$D$90:$AE$108,MATCH(C487,'Informacion del AEP'!$C$90:$C$108,0),MATCH($C$478,'Informacion del AEP'!$D$89:$AE$89,0))*INDEX('Informacion del AEP'!$F$169:$F$187,MATCH(C487,'Informacion del AEP'!$C$169:$C$187,0))))</f>
        <v>0</v>
      </c>
      <c r="N487" s="209">
        <f>INDEX('Precio Mayorista'!$D$76:$D$94,MATCH('Pagos Mayoristas'!C487,'Precio Mayorista'!$G$76:$G$94,0))*INDEX('Informacion del AEP'!$F$90:$AE$108,MATCH('Pagos Mayoristas'!C487,'Informacion del AEP'!$C$90:$C$108,0),MATCH('Pagos Mayoristas'!$C$478,'Informacion del AEP'!$F$89:$AE$89,0))</f>
        <v>1750000</v>
      </c>
    </row>
    <row r="488" spans="3:14" x14ac:dyDescent="0.25">
      <c r="C488" s="5" t="str">
        <f>IF(Supuestos!$B$57="","",Supuestos!$B$57)</f>
        <v>Originación voz internacional Mundial LATAM y Caribe</v>
      </c>
      <c r="D488" s="78">
        <f>INDEX('Informacion del AEP'!$F$90:$AE$108,MATCH('Pagos Mayoristas'!$C488,'Informacion del AEP'!$C$90:$C$108,0),MATCH('Pagos Mayoristas'!C$478,'Informacion del AEP'!$F$89:$AE$89,0))*INDEX('Hoja Auxiliar'!$D$40:$D$58,MATCH('Pagos Mayoristas'!$C488,'Hoja Auxiliar'!$C$40:$C$58,0))</f>
        <v>1399.9999999999998</v>
      </c>
      <c r="F488" s="238">
        <f>IF(C488="","",('Precio Mayorista'!$D$100*INDEX('Informacion del AEP'!$D$90:$AE$108,MATCH(C488,'Informacion del AEP'!$C$90:$C$108,0),MATCH($C$478,'Informacion del AEP'!$D$89:$AE$89,0))*INDEX('Informacion del AEP'!$F$169:$F$187,MATCH(C488,'Informacion del AEP'!$C$169:$C$187,0))))</f>
        <v>0</v>
      </c>
      <c r="N488" s="209">
        <f>INDEX('Precio Mayorista'!$D$76:$D$94,MATCH('Pagos Mayoristas'!C488,'Precio Mayorista'!$G$76:$G$94,0))*INDEX('Informacion del AEP'!$F$90:$AE$108,MATCH('Pagos Mayoristas'!C488,'Informacion del AEP'!$C$90:$C$108,0),MATCH('Pagos Mayoristas'!$C$478,'Informacion del AEP'!$F$89:$AE$89,0))</f>
        <v>233333.33333333331</v>
      </c>
    </row>
    <row r="489" spans="3:14" x14ac:dyDescent="0.25">
      <c r="C489" s="5" t="str">
        <f>IF(Supuestos!$B$58="","",Supuestos!$B$58)</f>
        <v>Originación voz internacional Europa</v>
      </c>
      <c r="D489" s="78">
        <f>INDEX('Informacion del AEP'!$F$90:$AE$108,MATCH('Pagos Mayoristas'!$C489,'Informacion del AEP'!$C$90:$C$108,0),MATCH('Pagos Mayoristas'!C$478,'Informacion del AEP'!$F$89:$AE$89,0))*INDEX('Hoja Auxiliar'!$D$40:$D$58,MATCH('Pagos Mayoristas'!$C489,'Hoja Auxiliar'!$C$40:$C$58,0))</f>
        <v>0</v>
      </c>
      <c r="F489" s="238">
        <f>IF(C489="","",('Precio Mayorista'!$D$100*INDEX('Informacion del AEP'!$D$90:$AE$108,MATCH(C489,'Informacion del AEP'!$C$90:$C$108,0),MATCH($C$478,'Informacion del AEP'!$D$89:$AE$89,0))*INDEX('Informacion del AEP'!$F$169:$F$187,MATCH(C489,'Informacion del AEP'!$C$169:$C$187,0))))</f>
        <v>0</v>
      </c>
      <c r="N489" s="209">
        <f>INDEX('Precio Mayorista'!$D$76:$D$94,MATCH('Pagos Mayoristas'!C489,'Precio Mayorista'!$G$76:$G$94,0))*INDEX('Informacion del AEP'!$F$90:$AE$108,MATCH('Pagos Mayoristas'!C489,'Informacion del AEP'!$C$90:$C$108,0),MATCH('Pagos Mayoristas'!$C$478,'Informacion del AEP'!$F$89:$AE$89,0))</f>
        <v>0</v>
      </c>
    </row>
    <row r="490" spans="3:14" x14ac:dyDescent="0.25">
      <c r="C490" s="5" t="str">
        <f>IF(Supuestos!$B$59="","",Supuestos!$B$59)</f>
        <v>Originación voz internacional Mundial Otros geográficos</v>
      </c>
      <c r="D490" s="78">
        <f>INDEX('Informacion del AEP'!$F$90:$AE$108,MATCH('Pagos Mayoristas'!$C490,'Informacion del AEP'!$C$90:$C$108,0),MATCH('Pagos Mayoristas'!C$478,'Informacion del AEP'!$F$89:$AE$89,0))*INDEX('Hoja Auxiliar'!$D$40:$D$58,MATCH('Pagos Mayoristas'!$C490,'Hoja Auxiliar'!$C$40:$C$58,0))</f>
        <v>70000</v>
      </c>
      <c r="F490" s="238">
        <f>IF(C490="","",('Precio Mayorista'!$D$100*INDEX('Informacion del AEP'!$D$90:$AE$108,MATCH(C490,'Informacion del AEP'!$C$90:$C$108,0),MATCH($C$478,'Informacion del AEP'!$D$89:$AE$89,0))*INDEX('Informacion del AEP'!$F$169:$F$187,MATCH(C490,'Informacion del AEP'!$C$169:$C$187,0))))</f>
        <v>0</v>
      </c>
      <c r="N490" s="209">
        <f>INDEX('Precio Mayorista'!$D$76:$D$94,MATCH('Pagos Mayoristas'!C490,'Precio Mayorista'!$G$76:$G$94,0))*INDEX('Informacion del AEP'!$F$90:$AE$108,MATCH('Pagos Mayoristas'!C490,'Informacion del AEP'!$C$90:$C$108,0),MATCH('Pagos Mayoristas'!$C$478,'Informacion del AEP'!$F$89:$AE$89,0))</f>
        <v>11666666.666666668</v>
      </c>
    </row>
    <row r="491" spans="3:14" x14ac:dyDescent="0.25">
      <c r="C491" s="5" t="str">
        <f>IF(Supuestos!$B$60="","",Supuestos!$B$60)</f>
        <v>Originación voz internacional Cuba</v>
      </c>
      <c r="D491" s="78">
        <f>INDEX('Informacion del AEP'!$F$90:$AE$108,MATCH('Pagos Mayoristas'!$C491,'Informacion del AEP'!$C$90:$C$108,0),MATCH('Pagos Mayoristas'!C$478,'Informacion del AEP'!$F$89:$AE$89,0))*INDEX('Hoja Auxiliar'!$D$40:$D$58,MATCH('Pagos Mayoristas'!$C491,'Hoja Auxiliar'!$C$40:$C$58,0))</f>
        <v>3500</v>
      </c>
      <c r="F491" s="238">
        <f>IF(C491="","",('Precio Mayorista'!$D$100*INDEX('Informacion del AEP'!$D$90:$AE$108,MATCH(C491,'Informacion del AEP'!$C$90:$C$108,0),MATCH($C$478,'Informacion del AEP'!$D$89:$AE$89,0))*INDEX('Informacion del AEP'!$F$169:$F$187,MATCH(C491,'Informacion del AEP'!$C$169:$C$187,0))))</f>
        <v>0</v>
      </c>
      <c r="N491" s="209">
        <f>INDEX('Precio Mayorista'!$D$76:$D$94,MATCH('Pagos Mayoristas'!C491,'Precio Mayorista'!$G$76:$G$94,0))*INDEX('Informacion del AEP'!$F$90:$AE$108,MATCH('Pagos Mayoristas'!C491,'Informacion del AEP'!$C$90:$C$108,0),MATCH('Pagos Mayoristas'!$C$478,'Informacion del AEP'!$F$89:$AE$89,0))</f>
        <v>1750000</v>
      </c>
    </row>
    <row r="492" spans="3:14" x14ac:dyDescent="0.25">
      <c r="C492" s="5" t="str">
        <f>IF(Supuestos!$B$61="","",Supuestos!$B$61)</f>
        <v>Originación voz Mundial destinos no geográficos</v>
      </c>
      <c r="D492" s="78">
        <f>INDEX('Informacion del AEP'!$F$90:$AE$108,MATCH('Pagos Mayoristas'!$C492,'Informacion del AEP'!$C$90:$C$108,0),MATCH('Pagos Mayoristas'!C$478,'Informacion del AEP'!$F$89:$AE$89,0))*INDEX('Hoja Auxiliar'!$D$40:$D$58,MATCH('Pagos Mayoristas'!$C492,'Hoja Auxiliar'!$C$40:$C$58,0))</f>
        <v>0</v>
      </c>
      <c r="F492" s="238">
        <f>IF(C492="","",('Precio Mayorista'!$D$100*INDEX('Informacion del AEP'!$D$90:$AE$108,MATCH(C492,'Informacion del AEP'!$C$90:$C$108,0),MATCH($C$478,'Informacion del AEP'!$D$89:$AE$89,0))*INDEX('Informacion del AEP'!$F$169:$F$187,MATCH(C492,'Informacion del AEP'!$C$169:$C$187,0))))</f>
        <v>0</v>
      </c>
      <c r="N492" s="209">
        <f>INDEX('Precio Mayorista'!$D$76:$D$94,MATCH('Pagos Mayoristas'!C492,'Precio Mayorista'!$G$76:$G$94,0))*INDEX('Informacion del AEP'!$F$90:$AE$108,MATCH('Pagos Mayoristas'!C492,'Informacion del AEP'!$C$90:$C$108,0),MATCH('Pagos Mayoristas'!$C$478,'Informacion del AEP'!$F$89:$AE$89,0))</f>
        <v>0</v>
      </c>
    </row>
    <row r="493" spans="3:14" x14ac:dyDescent="0.25">
      <c r="C493" s="5" t="str">
        <f>IF(Supuestos!$B$62="","",Supuestos!$B$62)</f>
        <v>Originación SMS on-net</v>
      </c>
      <c r="D493" s="78">
        <f>INDEX('Informacion del AEP'!$F$90:$AE$108,MATCH('Pagos Mayoristas'!$C493,'Informacion del AEP'!$C$90:$C$108,0),MATCH('Pagos Mayoristas'!C$478,'Informacion del AEP'!$F$89:$AE$89,0))*INDEX('Hoja Auxiliar'!$D$40:$D$58,MATCH('Pagos Mayoristas'!$C493,'Hoja Auxiliar'!$C$40:$C$58,0))</f>
        <v>7000000</v>
      </c>
      <c r="F493" s="238">
        <f>IF(C493="","",('Precio Mayorista'!$D$100*INDEX('Informacion del AEP'!$D$90:$AE$108,MATCH(C493,'Informacion del AEP'!$C$90:$C$108,0),MATCH($C$478,'Informacion del AEP'!$D$89:$AE$89,0))*INDEX('Informacion del AEP'!$F$169:$F$187,MATCH(C493,'Informacion del AEP'!$C$169:$C$187,0))))</f>
        <v>0</v>
      </c>
      <c r="N493" s="209">
        <f>INDEX('Precio Mayorista'!$D$76:$D$94,MATCH('Pagos Mayoristas'!C493,'Precio Mayorista'!$G$76:$G$94,0))*INDEX('Informacion del AEP'!$F$90:$AE$108,MATCH('Pagos Mayoristas'!C493,'Informacion del AEP'!$C$90:$C$108,0),MATCH('Pagos Mayoristas'!$C$478,'Informacion del AEP'!$F$89:$AE$89,0))</f>
        <v>0</v>
      </c>
    </row>
    <row r="494" spans="3:14" x14ac:dyDescent="0.25">
      <c r="C494" s="5" t="str">
        <f>IF(Supuestos!$B$63="","",Supuestos!$B$63)</f>
        <v>Originación SMS - off-net nacional</v>
      </c>
      <c r="D494" s="78">
        <f>INDEX('Informacion del AEP'!$F$90:$AE$108,MATCH('Pagos Mayoristas'!$C494,'Informacion del AEP'!$C$90:$C$108,0),MATCH('Pagos Mayoristas'!C$478,'Informacion del AEP'!$F$89:$AE$89,0))*INDEX('Hoja Auxiliar'!$D$40:$D$58,MATCH('Pagos Mayoristas'!$C494,'Hoja Auxiliar'!$C$40:$C$58,0))</f>
        <v>1750000</v>
      </c>
      <c r="F494" s="238">
        <f>IF(C494="","",('Precio Mayorista'!$D$100*INDEX('Informacion del AEP'!$D$90:$AE$108,MATCH(C494,'Informacion del AEP'!$C$90:$C$108,0),MATCH($C$478,'Informacion del AEP'!$D$89:$AE$89,0))*INDEX('Informacion del AEP'!$F$169:$F$187,MATCH(C494,'Informacion del AEP'!$C$169:$C$187,0))))</f>
        <v>0</v>
      </c>
      <c r="N494" s="209">
        <f>INDEX('Precio Mayorista'!$D$76:$D$94,MATCH('Pagos Mayoristas'!C494,'Precio Mayorista'!$G$76:$G$94,0))*INDEX('Informacion del AEP'!$F$90:$AE$108,MATCH('Pagos Mayoristas'!C494,'Informacion del AEP'!$C$90:$C$108,0),MATCH('Pagos Mayoristas'!$C$478,'Informacion del AEP'!$F$89:$AE$89,0))</f>
        <v>1081733.3333333335</v>
      </c>
    </row>
    <row r="495" spans="3:14" x14ac:dyDescent="0.25">
      <c r="C495" s="5" t="str">
        <f>IF(Supuestos!$B$64="","",Supuestos!$B$64)</f>
        <v>Originación SMS internacional (USA-Canadá)</v>
      </c>
      <c r="D495" s="78">
        <f>INDEX('Informacion del AEP'!$F$90:$AE$108,MATCH('Pagos Mayoristas'!$C495,'Informacion del AEP'!$C$90:$C$108,0),MATCH('Pagos Mayoristas'!C$478,'Informacion del AEP'!$F$89:$AE$89,0))*INDEX('Hoja Auxiliar'!$D$40:$D$58,MATCH('Pagos Mayoristas'!$C495,'Hoja Auxiliar'!$C$40:$C$58,0))</f>
        <v>349999.99999999994</v>
      </c>
      <c r="F495" s="238">
        <f>IF(C495="","",('Precio Mayorista'!$D$100*INDEX('Informacion del AEP'!$D$90:$AE$108,MATCH(C495,'Informacion del AEP'!$C$90:$C$108,0),MATCH($C$478,'Informacion del AEP'!$D$89:$AE$89,0))*INDEX('Informacion del AEP'!$F$169:$F$187,MATCH(C495,'Informacion del AEP'!$C$169:$C$187,0))))</f>
        <v>0</v>
      </c>
      <c r="N495" s="209">
        <f>INDEX('Precio Mayorista'!$D$76:$D$94,MATCH('Pagos Mayoristas'!C495,'Precio Mayorista'!$G$76:$G$94,0))*INDEX('Informacion del AEP'!$F$90:$AE$108,MATCH('Pagos Mayoristas'!C495,'Informacion del AEP'!$C$90:$C$108,0),MATCH('Pagos Mayoristas'!$C$478,'Informacion del AEP'!$F$89:$AE$89,0))</f>
        <v>11666666.666666666</v>
      </c>
    </row>
    <row r="496" spans="3:14" x14ac:dyDescent="0.25">
      <c r="C496" s="5" t="str">
        <f>IF(Supuestos!$B$65="","",Supuestos!$B$65)</f>
        <v>Originación SMS internacional (Resto del Mundo)</v>
      </c>
      <c r="D496" s="78">
        <f>INDEX('Informacion del AEP'!$F$90:$AE$108,MATCH('Pagos Mayoristas'!$C496,'Informacion del AEP'!$C$90:$C$108,0),MATCH('Pagos Mayoristas'!C$478,'Informacion del AEP'!$F$89:$AE$89,0))*INDEX('Hoja Auxiliar'!$D$40:$D$58,MATCH('Pagos Mayoristas'!$C496,'Hoja Auxiliar'!$C$40:$C$58,0))</f>
        <v>35000</v>
      </c>
      <c r="F496" s="238">
        <f>IF(C496="","",('Precio Mayorista'!$D$100*INDEX('Informacion del AEP'!$D$90:$AE$108,MATCH(C496,'Informacion del AEP'!$C$90:$C$108,0),MATCH($C$478,'Informacion del AEP'!$D$89:$AE$89,0))*INDEX('Informacion del AEP'!$F$169:$F$187,MATCH(C496,'Informacion del AEP'!$C$169:$C$187,0))))</f>
        <v>0</v>
      </c>
      <c r="N496" s="209">
        <f>INDEX('Precio Mayorista'!$D$76:$D$94,MATCH('Pagos Mayoristas'!C496,'Precio Mayorista'!$G$76:$G$94,0))*INDEX('Informacion del AEP'!$F$90:$AE$108,MATCH('Pagos Mayoristas'!C496,'Informacion del AEP'!$C$90:$C$108,0),MATCH('Pagos Mayoristas'!$C$478,'Informacion del AEP'!$F$89:$AE$89,0))</f>
        <v>1750000</v>
      </c>
    </row>
    <row r="497" spans="3:15" x14ac:dyDescent="0.25">
      <c r="C497" s="5" t="str">
        <f>IF(Supuestos!$B$66="","",Supuestos!$B$66)</f>
        <v>Otros servicios (incluyendo marcaciones especiales)</v>
      </c>
      <c r="D497" s="78">
        <f>INDEX('Informacion del AEP'!$F$90:$AE$108,MATCH('Pagos Mayoristas'!$C497,'Informacion del AEP'!$C$90:$C$108,0),MATCH('Pagos Mayoristas'!C$478,'Informacion del AEP'!$F$89:$AE$89,0))*INDEX('Hoja Auxiliar'!$D$40:$D$58,MATCH('Pagos Mayoristas'!$C497,'Hoja Auxiliar'!$C$40:$C$58,0))</f>
        <v>35000000</v>
      </c>
      <c r="F497" s="238">
        <f>IF(C497="","",('Precio Mayorista'!$D$100*INDEX('Informacion del AEP'!$D$90:$AE$108,MATCH(C497,'Informacion del AEP'!$C$90:$C$108,0),MATCH($C$478,'Informacion del AEP'!$D$89:$AE$89,0))*INDEX('Informacion del AEP'!$F$169:$F$187,MATCH(C497,'Informacion del AEP'!$C$169:$C$187,0))))</f>
        <v>0</v>
      </c>
      <c r="N497" s="209">
        <f>INDEX('Precio Mayorista'!$D$76:$D$94,MATCH('Pagos Mayoristas'!C497,'Precio Mayorista'!$G$76:$G$94,0))*INDEX('Informacion del AEP'!$F$90:$AE$108,MATCH('Pagos Mayoristas'!C497,'Informacion del AEP'!$C$90:$C$108,0),MATCH('Pagos Mayoristas'!$C$478,'Informacion del AEP'!$F$89:$AE$89,0))</f>
        <v>0</v>
      </c>
    </row>
    <row r="504" spans="3:15" ht="13" x14ac:dyDescent="0.3">
      <c r="C504" s="74" t="str">
        <f>Supuestos!$B$89</f>
        <v>Telcel Pospago 8</v>
      </c>
      <c r="D504" s="77">
        <f>SUM(D505:D523)</f>
        <v>559664233.33333325</v>
      </c>
      <c r="E504" s="75"/>
      <c r="F504" s="77">
        <f>SUM(F505:F523)</f>
        <v>0</v>
      </c>
      <c r="G504" s="75"/>
      <c r="H504" s="77"/>
      <c r="I504" s="77">
        <f>INDEX('Informacion del AEP'!$H$31:$H$84,MATCH('Pagos Mayoristas'!C504,'Informacion del AEP'!$C$31:$C$84,0))*'Hoja Auxiliar'!$D$61</f>
        <v>364364.625</v>
      </c>
      <c r="J504" s="4"/>
      <c r="K504" s="77"/>
      <c r="L504" s="204">
        <f>$L$10*(INDEX('Informacion del AEP'!$F$12:$AE$12,MATCH('Pagos Mayoristas'!C504,'Informacion del AEP'!$F$11:$AE$11,0))/INDEX('Informacion del AEP'!$F$12:$AE$12,MATCH('Pagos Mayoristas'!$C$10,'Informacion del AEP'!$F$11:$AE$11,0)))</f>
        <v>81827.309257028144</v>
      </c>
      <c r="M504" s="204"/>
      <c r="N504" s="77">
        <f>SUM(N505:N523)</f>
        <v>80715600</v>
      </c>
      <c r="O504" s="204">
        <f>SUM(D504:N504)</f>
        <v>640826025.26759028</v>
      </c>
    </row>
    <row r="505" spans="3:15" x14ac:dyDescent="0.25">
      <c r="C505" s="5" t="str">
        <f>IF(Supuestos!$B$48="","",Supuestos!$B$48)</f>
        <v>Datos</v>
      </c>
      <c r="D505" s="78">
        <f>INDEX('Informacion del AEP'!$F$90:$AE$108,MATCH('Pagos Mayoristas'!$C505,'Informacion del AEP'!$C$90:$C$108,0),MATCH('Pagos Mayoristas'!C$504,'Informacion del AEP'!$F$89:$AE$89,0))*INDEX('Hoja Auxiliar'!$D$40:$D$58,MATCH('Pagos Mayoristas'!$C505,'Hoja Auxiliar'!$C$40:$C$58,0))</f>
        <v>296333333.33333331</v>
      </c>
      <c r="F505" s="238">
        <f>IF(C505="","",('Precio Mayorista'!$D$100*INDEX('Informacion del AEP'!$D$90:$AE$108,MATCH(C505,'Informacion del AEP'!$C$90:$C$108,0),MATCH($C$504,'Informacion del AEP'!$D$89:$AE$89,0))*INDEX('Informacion del AEP'!$F$169:$F$187,MATCH(C505,'Informacion del AEP'!$C$169:$C$187,0))))</f>
        <v>0</v>
      </c>
      <c r="N505" s="209">
        <f>INDEX('Precio Mayorista'!$D$76:$D$94,MATCH('Pagos Mayoristas'!C505,'Precio Mayorista'!$G$76:$G$94,0))*INDEX('Informacion del AEP'!$F$90:$AE$108,MATCH('Pagos Mayoristas'!C505,'Informacion del AEP'!$C$90:$C$108,0),MATCH('Pagos Mayoristas'!$C$504,'Informacion del AEP'!$F$89:$AE$89,0))</f>
        <v>0</v>
      </c>
    </row>
    <row r="506" spans="3:15" x14ac:dyDescent="0.25">
      <c r="C506" s="5" t="str">
        <f>IF(Supuestos!$B$49="","",Supuestos!$B$49)</f>
        <v>Originación voz on-net local</v>
      </c>
      <c r="D506" s="78">
        <f>INDEX('Informacion del AEP'!$F$90:$AE$108,MATCH('Pagos Mayoristas'!$C506,'Informacion del AEP'!$C$90:$C$108,0),MATCH('Pagos Mayoristas'!C$504,'Informacion del AEP'!$F$89:$AE$89,0))*INDEX('Hoja Auxiliar'!$D$40:$D$58,MATCH('Pagos Mayoristas'!$C506,'Hoja Auxiliar'!$C$40:$C$58,0))</f>
        <v>70000000</v>
      </c>
      <c r="F506" s="238">
        <f>IF(C506="","",('Precio Mayorista'!$D$100*INDEX('Informacion del AEP'!$D$90:$AE$108,MATCH(C506,'Informacion del AEP'!$C$90:$C$108,0),MATCH($C$504,'Informacion del AEP'!$D$89:$AE$89,0))*INDEX('Informacion del AEP'!$F$169:$F$187,MATCH(C506,'Informacion del AEP'!$C$169:$C$187,0))))</f>
        <v>0</v>
      </c>
      <c r="N506" s="209">
        <f>INDEX('Precio Mayorista'!$D$76:$D$94,MATCH('Pagos Mayoristas'!C506,'Precio Mayorista'!$G$76:$G$94,0))*INDEX('Informacion del AEP'!$F$90:$AE$108,MATCH('Pagos Mayoristas'!C506,'Informacion del AEP'!$C$90:$C$108,0),MATCH('Pagos Mayoristas'!$C$504,'Informacion del AEP'!$F$89:$AE$89,0))</f>
        <v>0</v>
      </c>
    </row>
    <row r="507" spans="3:15" x14ac:dyDescent="0.25">
      <c r="C507" s="5" t="str">
        <f>IF(Supuestos!$B$50="","",Supuestos!$B$50)</f>
        <v>Originación voz off-net móvil local</v>
      </c>
      <c r="D507" s="78">
        <f>INDEX('Informacion del AEP'!$F$90:$AE$108,MATCH('Pagos Mayoristas'!$C507,'Informacion del AEP'!$C$90:$C$108,0),MATCH('Pagos Mayoristas'!C$504,'Informacion del AEP'!$F$89:$AE$89,0))*INDEX('Hoja Auxiliar'!$D$40:$D$58,MATCH('Pagos Mayoristas'!$C507,'Hoja Auxiliar'!$C$40:$C$58,0))</f>
        <v>14000000</v>
      </c>
      <c r="F507" s="238">
        <f>IF(C507="","",('Precio Mayorista'!$D$100*INDEX('Informacion del AEP'!$D$90:$AE$108,MATCH(C507,'Informacion del AEP'!$C$90:$C$108,0),MATCH($C$504,'Informacion del AEP'!$D$89:$AE$89,0))*INDEX('Informacion del AEP'!$F$169:$F$187,MATCH(C507,'Informacion del AEP'!$C$169:$C$187,0))))</f>
        <v>0</v>
      </c>
      <c r="N507" s="209">
        <f>INDEX('Precio Mayorista'!$D$76:$D$94,MATCH('Pagos Mayoristas'!C507,'Precio Mayorista'!$G$76:$G$94,0))*INDEX('Informacion del AEP'!$F$90:$AE$108,MATCH('Pagos Mayoristas'!C507,'Informacion del AEP'!$C$90:$C$108,0),MATCH('Pagos Mayoristas'!$C$504,'Informacion del AEP'!$F$89:$AE$89,0))</f>
        <v>19703133.333333336</v>
      </c>
    </row>
    <row r="508" spans="3:15" x14ac:dyDescent="0.25">
      <c r="C508" s="5" t="str">
        <f>IF(Supuestos!$B$51="","",Supuestos!$B$51)</f>
        <v>Originación voz off-net fijo local</v>
      </c>
      <c r="D508" s="78">
        <f>INDEX('Informacion del AEP'!$F$90:$AE$108,MATCH('Pagos Mayoristas'!$C508,'Informacion del AEP'!$C$90:$C$108,0),MATCH('Pagos Mayoristas'!C$504,'Informacion del AEP'!$F$89:$AE$89,0))*INDEX('Hoja Auxiliar'!$D$40:$D$58,MATCH('Pagos Mayoristas'!$C508,'Hoja Auxiliar'!$C$40:$C$58,0))</f>
        <v>7000000</v>
      </c>
      <c r="F508" s="238">
        <f>IF(C508="","",('Precio Mayorista'!$D$100*INDEX('Informacion del AEP'!$D$90:$AE$108,MATCH(C508,'Informacion del AEP'!$C$90:$C$108,0),MATCH($C$504,'Informacion del AEP'!$D$89:$AE$89,0))*INDEX('Informacion del AEP'!$F$169:$F$187,MATCH(C508,'Informacion del AEP'!$C$169:$C$187,0))))</f>
        <v>0</v>
      </c>
      <c r="N508" s="209">
        <f>INDEX('Precio Mayorista'!$D$76:$D$94,MATCH('Pagos Mayoristas'!C508,'Precio Mayorista'!$G$76:$G$94,0))*INDEX('Informacion del AEP'!$F$90:$AE$108,MATCH('Pagos Mayoristas'!C508,'Informacion del AEP'!$C$90:$C$108,0),MATCH('Pagos Mayoristas'!$C$504,'Informacion del AEP'!$F$89:$AE$89,0))</f>
        <v>780033.33333333337</v>
      </c>
    </row>
    <row r="509" spans="3:15" x14ac:dyDescent="0.25">
      <c r="C509" s="5" t="str">
        <f>IF(Supuestos!$B$52="","",Supuestos!$B$52)</f>
        <v>Originación voz on-net LDN</v>
      </c>
      <c r="D509" s="78">
        <f>INDEX('Informacion del AEP'!$F$90:$AE$108,MATCH('Pagos Mayoristas'!$C509,'Informacion del AEP'!$C$90:$C$108,0),MATCH('Pagos Mayoristas'!C$504,'Informacion del AEP'!$F$89:$AE$89,0))*INDEX('Hoja Auxiliar'!$D$40:$D$58,MATCH('Pagos Mayoristas'!$C509,'Hoja Auxiliar'!$C$40:$C$58,0))</f>
        <v>105000000</v>
      </c>
      <c r="F509" s="238">
        <f>IF(C509="","",('Precio Mayorista'!$D$100*INDEX('Informacion del AEP'!$D$90:$AE$108,MATCH(C509,'Informacion del AEP'!$C$90:$C$108,0),MATCH($C$504,'Informacion del AEP'!$D$89:$AE$89,0))*INDEX('Informacion del AEP'!$F$169:$F$187,MATCH(C509,'Informacion del AEP'!$C$169:$C$187,0))))</f>
        <v>0</v>
      </c>
      <c r="N509" s="209">
        <f>INDEX('Precio Mayorista'!$D$76:$D$94,MATCH('Pagos Mayoristas'!C509,'Precio Mayorista'!$G$76:$G$94,0))*INDEX('Informacion del AEP'!$F$90:$AE$108,MATCH('Pagos Mayoristas'!C509,'Informacion del AEP'!$C$90:$C$108,0),MATCH('Pagos Mayoristas'!$C$504,'Informacion del AEP'!$F$89:$AE$89,0))</f>
        <v>0</v>
      </c>
    </row>
    <row r="510" spans="3:15" x14ac:dyDescent="0.25">
      <c r="C510" s="5" t="str">
        <f>IF(Supuestos!$B$53="","",Supuestos!$B$53)</f>
        <v>Originación voz off-net móvil LDN</v>
      </c>
      <c r="D510" s="78">
        <f>INDEX('Informacion del AEP'!$F$90:$AE$108,MATCH('Pagos Mayoristas'!$C510,'Informacion del AEP'!$C$90:$C$108,0),MATCH('Pagos Mayoristas'!C$504,'Informacion del AEP'!$F$89:$AE$89,0))*INDEX('Hoja Auxiliar'!$D$40:$D$58,MATCH('Pagos Mayoristas'!$C510,'Hoja Auxiliar'!$C$40:$C$58,0))</f>
        <v>10499999.999999998</v>
      </c>
      <c r="F510" s="238">
        <f>IF(C510="","",('Precio Mayorista'!$D$100*INDEX('Informacion del AEP'!$D$90:$AE$108,MATCH(C510,'Informacion del AEP'!$C$90:$C$108,0),MATCH($C$504,'Informacion del AEP'!$D$89:$AE$89,0))*INDEX('Informacion del AEP'!$F$169:$F$187,MATCH(C510,'Informacion del AEP'!$C$169:$C$187,0))))</f>
        <v>0</v>
      </c>
      <c r="N510" s="209">
        <f>INDEX('Precio Mayorista'!$D$76:$D$94,MATCH('Pagos Mayoristas'!C510,'Precio Mayorista'!$G$76:$G$94,0))*INDEX('Informacion del AEP'!$F$90:$AE$108,MATCH('Pagos Mayoristas'!C510,'Informacion del AEP'!$C$90:$C$108,0),MATCH('Pagos Mayoristas'!$C$504,'Informacion del AEP'!$F$89:$AE$89,0))</f>
        <v>14777349.999999998</v>
      </c>
    </row>
    <row r="511" spans="3:15" x14ac:dyDescent="0.25">
      <c r="C511" s="5" t="str">
        <f>IF(Supuestos!$B$54="","",Supuestos!$B$54)</f>
        <v>Originación voz off-net fijo LDN</v>
      </c>
      <c r="D511" s="78">
        <f>INDEX('Informacion del AEP'!$F$90:$AE$108,MATCH('Pagos Mayoristas'!$C511,'Informacion del AEP'!$C$90:$C$108,0),MATCH('Pagos Mayoristas'!C$504,'Informacion del AEP'!$F$89:$AE$89,0))*INDEX('Hoja Auxiliar'!$D$40:$D$58,MATCH('Pagos Mayoristas'!$C511,'Hoja Auxiliar'!$C$40:$C$58,0))</f>
        <v>3500000</v>
      </c>
      <c r="F511" s="238">
        <f>IF(C511="","",('Precio Mayorista'!$D$100*INDEX('Informacion del AEP'!$D$90:$AE$108,MATCH(C511,'Informacion del AEP'!$C$90:$C$108,0),MATCH($C$504,'Informacion del AEP'!$D$89:$AE$89,0))*INDEX('Informacion del AEP'!$F$169:$F$187,MATCH(C511,'Informacion del AEP'!$C$169:$C$187,0))))</f>
        <v>0</v>
      </c>
      <c r="N511" s="209">
        <f>INDEX('Precio Mayorista'!$D$76:$D$94,MATCH('Pagos Mayoristas'!C511,'Precio Mayorista'!$G$76:$G$94,0))*INDEX('Informacion del AEP'!$F$90:$AE$108,MATCH('Pagos Mayoristas'!C511,'Informacion del AEP'!$C$90:$C$108,0),MATCH('Pagos Mayoristas'!$C$504,'Informacion del AEP'!$F$89:$AE$89,0))</f>
        <v>390016.66666666669</v>
      </c>
    </row>
    <row r="512" spans="3:15" x14ac:dyDescent="0.25">
      <c r="C512" s="5" t="str">
        <f>IF(Supuestos!$B$55="","",Supuestos!$B$55)</f>
        <v>Originación voz internacional USA-Canadá</v>
      </c>
      <c r="D512" s="78">
        <f>INDEX('Informacion del AEP'!$F$90:$AE$108,MATCH('Pagos Mayoristas'!$C512,'Informacion del AEP'!$C$90:$C$108,0),MATCH('Pagos Mayoristas'!C$504,'Informacion del AEP'!$F$89:$AE$89,0))*INDEX('Hoja Auxiliar'!$D$40:$D$58,MATCH('Pagos Mayoristas'!$C512,'Hoja Auxiliar'!$C$40:$C$58,0))</f>
        <v>9099999.9999999981</v>
      </c>
      <c r="F512" s="238">
        <f>IF(C512="","",('Precio Mayorista'!$D$100*INDEX('Informacion del AEP'!$D$90:$AE$108,MATCH(C512,'Informacion del AEP'!$C$90:$C$108,0),MATCH($C$504,'Informacion del AEP'!$D$89:$AE$89,0))*INDEX('Informacion del AEP'!$F$169:$F$187,MATCH(C512,'Informacion del AEP'!$C$169:$C$187,0))))</f>
        <v>0</v>
      </c>
      <c r="N512" s="209">
        <f>INDEX('Precio Mayorista'!$D$76:$D$94,MATCH('Pagos Mayoristas'!C512,'Precio Mayorista'!$G$76:$G$94,0))*INDEX('Informacion del AEP'!$F$90:$AE$108,MATCH('Pagos Mayoristas'!C512,'Informacion del AEP'!$C$90:$C$108,0),MATCH('Pagos Mayoristas'!$C$504,'Informacion del AEP'!$F$89:$AE$89,0))</f>
        <v>15166666.666666666</v>
      </c>
    </row>
    <row r="513" spans="3:14" x14ac:dyDescent="0.25">
      <c r="C513" s="5" t="str">
        <f>IF(Supuestos!$B$56="","",Supuestos!$B$56)</f>
        <v>Originación voz internacional Mundial Centroamérica</v>
      </c>
      <c r="D513" s="78">
        <f>INDEX('Informacion del AEP'!$F$90:$AE$108,MATCH('Pagos Mayoristas'!$C513,'Informacion del AEP'!$C$90:$C$108,0),MATCH('Pagos Mayoristas'!C$504,'Informacion del AEP'!$F$89:$AE$89,0))*INDEX('Hoja Auxiliar'!$D$40:$D$58,MATCH('Pagos Mayoristas'!$C513,'Hoja Auxiliar'!$C$40:$C$58,0))</f>
        <v>21000</v>
      </c>
      <c r="F513" s="238">
        <f>IF(C513="","",('Precio Mayorista'!$D$100*INDEX('Informacion del AEP'!$D$90:$AE$108,MATCH(C513,'Informacion del AEP'!$C$90:$C$108,0),MATCH($C$504,'Informacion del AEP'!$D$89:$AE$89,0))*INDEX('Informacion del AEP'!$F$169:$F$187,MATCH(C513,'Informacion del AEP'!$C$169:$C$187,0))))</f>
        <v>0</v>
      </c>
      <c r="N513" s="209">
        <f>INDEX('Precio Mayorista'!$D$76:$D$94,MATCH('Pagos Mayoristas'!C513,'Precio Mayorista'!$G$76:$G$94,0))*INDEX('Informacion del AEP'!$F$90:$AE$108,MATCH('Pagos Mayoristas'!C513,'Informacion del AEP'!$C$90:$C$108,0),MATCH('Pagos Mayoristas'!$C$504,'Informacion del AEP'!$F$89:$AE$89,0))</f>
        <v>1750000</v>
      </c>
    </row>
    <row r="514" spans="3:14" x14ac:dyDescent="0.25">
      <c r="C514" s="5" t="str">
        <f>IF(Supuestos!$B$57="","",Supuestos!$B$57)</f>
        <v>Originación voz internacional Mundial LATAM y Caribe</v>
      </c>
      <c r="D514" s="78">
        <f>INDEX('Informacion del AEP'!$F$90:$AE$108,MATCH('Pagos Mayoristas'!$C514,'Informacion del AEP'!$C$90:$C$108,0),MATCH('Pagos Mayoristas'!C$504,'Informacion del AEP'!$F$89:$AE$89,0))*INDEX('Hoja Auxiliar'!$D$40:$D$58,MATCH('Pagos Mayoristas'!$C514,'Hoja Auxiliar'!$C$40:$C$58,0))</f>
        <v>1399.9999999999998</v>
      </c>
      <c r="F514" s="238">
        <f>IF(C514="","",('Precio Mayorista'!$D$100*INDEX('Informacion del AEP'!$D$90:$AE$108,MATCH(C514,'Informacion del AEP'!$C$90:$C$108,0),MATCH($C$504,'Informacion del AEP'!$D$89:$AE$89,0))*INDEX('Informacion del AEP'!$F$169:$F$187,MATCH(C514,'Informacion del AEP'!$C$169:$C$187,0))))</f>
        <v>0</v>
      </c>
      <c r="N514" s="209">
        <f>INDEX('Precio Mayorista'!$D$76:$D$94,MATCH('Pagos Mayoristas'!C514,'Precio Mayorista'!$G$76:$G$94,0))*INDEX('Informacion del AEP'!$F$90:$AE$108,MATCH('Pagos Mayoristas'!C514,'Informacion del AEP'!$C$90:$C$108,0),MATCH('Pagos Mayoristas'!$C$504,'Informacion del AEP'!$F$89:$AE$89,0))</f>
        <v>233333.33333333331</v>
      </c>
    </row>
    <row r="515" spans="3:14" x14ac:dyDescent="0.25">
      <c r="C515" s="5" t="str">
        <f>IF(Supuestos!$B$58="","",Supuestos!$B$58)</f>
        <v>Originación voz internacional Europa</v>
      </c>
      <c r="D515" s="78">
        <f>INDEX('Informacion del AEP'!$F$90:$AE$108,MATCH('Pagos Mayoristas'!$C515,'Informacion del AEP'!$C$90:$C$108,0),MATCH('Pagos Mayoristas'!C$504,'Informacion del AEP'!$F$89:$AE$89,0))*INDEX('Hoja Auxiliar'!$D$40:$D$58,MATCH('Pagos Mayoristas'!$C515,'Hoja Auxiliar'!$C$40:$C$58,0))</f>
        <v>0</v>
      </c>
      <c r="F515" s="238">
        <f>IF(C515="","",('Precio Mayorista'!$D$100*INDEX('Informacion del AEP'!$D$90:$AE$108,MATCH(C515,'Informacion del AEP'!$C$90:$C$108,0),MATCH($C$504,'Informacion del AEP'!$D$89:$AE$89,0))*INDEX('Informacion del AEP'!$F$169:$F$187,MATCH(C515,'Informacion del AEP'!$C$169:$C$187,0))))</f>
        <v>0</v>
      </c>
      <c r="N515" s="209">
        <f>INDEX('Precio Mayorista'!$D$76:$D$94,MATCH('Pagos Mayoristas'!C515,'Precio Mayorista'!$G$76:$G$94,0))*INDEX('Informacion del AEP'!$F$90:$AE$108,MATCH('Pagos Mayoristas'!C515,'Informacion del AEP'!$C$90:$C$108,0),MATCH('Pagos Mayoristas'!$C$504,'Informacion del AEP'!$F$89:$AE$89,0))</f>
        <v>0</v>
      </c>
    </row>
    <row r="516" spans="3:14" x14ac:dyDescent="0.25">
      <c r="C516" s="5" t="str">
        <f>IF(Supuestos!$B$59="","",Supuestos!$B$59)</f>
        <v>Originación voz internacional Mundial Otros geográficos</v>
      </c>
      <c r="D516" s="78">
        <f>INDEX('Informacion del AEP'!$F$90:$AE$108,MATCH('Pagos Mayoristas'!$C516,'Informacion del AEP'!$C$90:$C$108,0),MATCH('Pagos Mayoristas'!C$504,'Informacion del AEP'!$F$89:$AE$89,0))*INDEX('Hoja Auxiliar'!$D$40:$D$58,MATCH('Pagos Mayoristas'!$C516,'Hoja Auxiliar'!$C$40:$C$58,0))</f>
        <v>70000</v>
      </c>
      <c r="F516" s="238">
        <f>IF(C516="","",('Precio Mayorista'!$D$100*INDEX('Informacion del AEP'!$D$90:$AE$108,MATCH(C516,'Informacion del AEP'!$C$90:$C$108,0),MATCH($C$504,'Informacion del AEP'!$D$89:$AE$89,0))*INDEX('Informacion del AEP'!$F$169:$F$187,MATCH(C516,'Informacion del AEP'!$C$169:$C$187,0))))</f>
        <v>0</v>
      </c>
      <c r="N516" s="209">
        <f>INDEX('Precio Mayorista'!$D$76:$D$94,MATCH('Pagos Mayoristas'!C516,'Precio Mayorista'!$G$76:$G$94,0))*INDEX('Informacion del AEP'!$F$90:$AE$108,MATCH('Pagos Mayoristas'!C516,'Informacion del AEP'!$C$90:$C$108,0),MATCH('Pagos Mayoristas'!$C$504,'Informacion del AEP'!$F$89:$AE$89,0))</f>
        <v>11666666.666666668</v>
      </c>
    </row>
    <row r="517" spans="3:14" x14ac:dyDescent="0.25">
      <c r="C517" s="5" t="str">
        <f>IF(Supuestos!$B$60="","",Supuestos!$B$60)</f>
        <v>Originación voz internacional Cuba</v>
      </c>
      <c r="D517" s="78">
        <f>INDEX('Informacion del AEP'!$F$90:$AE$108,MATCH('Pagos Mayoristas'!$C517,'Informacion del AEP'!$C$90:$C$108,0),MATCH('Pagos Mayoristas'!C$504,'Informacion del AEP'!$F$89:$AE$89,0))*INDEX('Hoja Auxiliar'!$D$40:$D$58,MATCH('Pagos Mayoristas'!$C517,'Hoja Auxiliar'!$C$40:$C$58,0))</f>
        <v>3500</v>
      </c>
      <c r="F517" s="238">
        <f>IF(C517="","",('Precio Mayorista'!$D$100*INDEX('Informacion del AEP'!$D$90:$AE$108,MATCH(C517,'Informacion del AEP'!$C$90:$C$108,0),MATCH($C$504,'Informacion del AEP'!$D$89:$AE$89,0))*INDEX('Informacion del AEP'!$F$169:$F$187,MATCH(C517,'Informacion del AEP'!$C$169:$C$187,0))))</f>
        <v>0</v>
      </c>
      <c r="N517" s="209">
        <f>INDEX('Precio Mayorista'!$D$76:$D$94,MATCH('Pagos Mayoristas'!C517,'Precio Mayorista'!$G$76:$G$94,0))*INDEX('Informacion del AEP'!$F$90:$AE$108,MATCH('Pagos Mayoristas'!C517,'Informacion del AEP'!$C$90:$C$108,0),MATCH('Pagos Mayoristas'!$C$504,'Informacion del AEP'!$F$89:$AE$89,0))</f>
        <v>1750000</v>
      </c>
    </row>
    <row r="518" spans="3:14" x14ac:dyDescent="0.25">
      <c r="C518" s="5" t="str">
        <f>IF(Supuestos!$B$61="","",Supuestos!$B$61)</f>
        <v>Originación voz Mundial destinos no geográficos</v>
      </c>
      <c r="D518" s="78">
        <f>INDEX('Informacion del AEP'!$F$90:$AE$108,MATCH('Pagos Mayoristas'!$C518,'Informacion del AEP'!$C$90:$C$108,0),MATCH('Pagos Mayoristas'!C$504,'Informacion del AEP'!$F$89:$AE$89,0))*INDEX('Hoja Auxiliar'!$D$40:$D$58,MATCH('Pagos Mayoristas'!$C518,'Hoja Auxiliar'!$C$40:$C$58,0))</f>
        <v>0</v>
      </c>
      <c r="F518" s="238">
        <f>IF(C518="","",('Precio Mayorista'!$D$100*INDEX('Informacion del AEP'!$D$90:$AE$108,MATCH(C518,'Informacion del AEP'!$C$90:$C$108,0),MATCH($C$504,'Informacion del AEP'!$D$89:$AE$89,0))*INDEX('Informacion del AEP'!$F$169:$F$187,MATCH(C518,'Informacion del AEP'!$C$169:$C$187,0))))</f>
        <v>0</v>
      </c>
      <c r="N518" s="209">
        <f>INDEX('Precio Mayorista'!$D$76:$D$94,MATCH('Pagos Mayoristas'!C518,'Precio Mayorista'!$G$76:$G$94,0))*INDEX('Informacion del AEP'!$F$90:$AE$108,MATCH('Pagos Mayoristas'!C518,'Informacion del AEP'!$C$90:$C$108,0),MATCH('Pagos Mayoristas'!$C$504,'Informacion del AEP'!$F$89:$AE$89,0))</f>
        <v>0</v>
      </c>
    </row>
    <row r="519" spans="3:14" x14ac:dyDescent="0.25">
      <c r="C519" s="5" t="str">
        <f>IF(Supuestos!$B$62="","",Supuestos!$B$62)</f>
        <v>Originación SMS on-net</v>
      </c>
      <c r="D519" s="78">
        <f>INDEX('Informacion del AEP'!$F$90:$AE$108,MATCH('Pagos Mayoristas'!$C519,'Informacion del AEP'!$C$90:$C$108,0),MATCH('Pagos Mayoristas'!C$504,'Informacion del AEP'!$F$89:$AE$89,0))*INDEX('Hoja Auxiliar'!$D$40:$D$58,MATCH('Pagos Mayoristas'!$C519,'Hoja Auxiliar'!$C$40:$C$58,0))</f>
        <v>7000000</v>
      </c>
      <c r="F519" s="238">
        <f>IF(C519="","",('Precio Mayorista'!$D$100*INDEX('Informacion del AEP'!$D$90:$AE$108,MATCH(C519,'Informacion del AEP'!$C$90:$C$108,0),MATCH($C$504,'Informacion del AEP'!$D$89:$AE$89,0))*INDEX('Informacion del AEP'!$F$169:$F$187,MATCH(C519,'Informacion del AEP'!$C$169:$C$187,0))))</f>
        <v>0</v>
      </c>
      <c r="N519" s="209">
        <f>INDEX('Precio Mayorista'!$D$76:$D$94,MATCH('Pagos Mayoristas'!C519,'Precio Mayorista'!$G$76:$G$94,0))*INDEX('Informacion del AEP'!$F$90:$AE$108,MATCH('Pagos Mayoristas'!C519,'Informacion del AEP'!$C$90:$C$108,0),MATCH('Pagos Mayoristas'!$C$504,'Informacion del AEP'!$F$89:$AE$89,0))</f>
        <v>0</v>
      </c>
    </row>
    <row r="520" spans="3:14" x14ac:dyDescent="0.25">
      <c r="C520" s="5" t="str">
        <f>IF(Supuestos!$B$63="","",Supuestos!$B$63)</f>
        <v>Originación SMS - off-net nacional</v>
      </c>
      <c r="D520" s="78">
        <f>INDEX('Informacion del AEP'!$F$90:$AE$108,MATCH('Pagos Mayoristas'!$C520,'Informacion del AEP'!$C$90:$C$108,0),MATCH('Pagos Mayoristas'!C$504,'Informacion del AEP'!$F$89:$AE$89,0))*INDEX('Hoja Auxiliar'!$D$40:$D$58,MATCH('Pagos Mayoristas'!$C520,'Hoja Auxiliar'!$C$40:$C$58,0))</f>
        <v>1750000</v>
      </c>
      <c r="F520" s="238">
        <f>IF(C520="","",('Precio Mayorista'!$D$100*INDEX('Informacion del AEP'!$D$90:$AE$108,MATCH(C520,'Informacion del AEP'!$C$90:$C$108,0),MATCH($C$504,'Informacion del AEP'!$D$89:$AE$89,0))*INDEX('Informacion del AEP'!$F$169:$F$187,MATCH(C520,'Informacion del AEP'!$C$169:$C$187,0))))</f>
        <v>0</v>
      </c>
      <c r="N520" s="209">
        <f>INDEX('Precio Mayorista'!$D$76:$D$94,MATCH('Pagos Mayoristas'!C520,'Precio Mayorista'!$G$76:$G$94,0))*INDEX('Informacion del AEP'!$F$90:$AE$108,MATCH('Pagos Mayoristas'!C520,'Informacion del AEP'!$C$90:$C$108,0),MATCH('Pagos Mayoristas'!$C$504,'Informacion del AEP'!$F$89:$AE$89,0))</f>
        <v>1081733.3333333335</v>
      </c>
    </row>
    <row r="521" spans="3:14" x14ac:dyDescent="0.25">
      <c r="C521" s="5" t="str">
        <f>IF(Supuestos!$B$64="","",Supuestos!$B$64)</f>
        <v>Originación SMS internacional (USA-Canadá)</v>
      </c>
      <c r="D521" s="78">
        <f>INDEX('Informacion del AEP'!$F$90:$AE$108,MATCH('Pagos Mayoristas'!$C521,'Informacion del AEP'!$C$90:$C$108,0),MATCH('Pagos Mayoristas'!C$504,'Informacion del AEP'!$F$89:$AE$89,0))*INDEX('Hoja Auxiliar'!$D$40:$D$58,MATCH('Pagos Mayoristas'!$C521,'Hoja Auxiliar'!$C$40:$C$58,0))</f>
        <v>349999.99999999994</v>
      </c>
      <c r="F521" s="238">
        <f>IF(C521="","",('Precio Mayorista'!$D$100*INDEX('Informacion del AEP'!$D$90:$AE$108,MATCH(C521,'Informacion del AEP'!$C$90:$C$108,0),MATCH($C$504,'Informacion del AEP'!$D$89:$AE$89,0))*INDEX('Informacion del AEP'!$F$169:$F$187,MATCH(C521,'Informacion del AEP'!$C$169:$C$187,0))))</f>
        <v>0</v>
      </c>
      <c r="N521" s="209">
        <f>INDEX('Precio Mayorista'!$D$76:$D$94,MATCH('Pagos Mayoristas'!C521,'Precio Mayorista'!$G$76:$G$94,0))*INDEX('Informacion del AEP'!$F$90:$AE$108,MATCH('Pagos Mayoristas'!C521,'Informacion del AEP'!$C$90:$C$108,0),MATCH('Pagos Mayoristas'!$C$504,'Informacion del AEP'!$F$89:$AE$89,0))</f>
        <v>11666666.666666666</v>
      </c>
    </row>
    <row r="522" spans="3:14" x14ac:dyDescent="0.25">
      <c r="C522" s="5" t="str">
        <f>IF(Supuestos!$B$65="","",Supuestos!$B$65)</f>
        <v>Originación SMS internacional (Resto del Mundo)</v>
      </c>
      <c r="D522" s="78">
        <f>INDEX('Informacion del AEP'!$F$90:$AE$108,MATCH('Pagos Mayoristas'!$C522,'Informacion del AEP'!$C$90:$C$108,0),MATCH('Pagos Mayoristas'!C$504,'Informacion del AEP'!$F$89:$AE$89,0))*INDEX('Hoja Auxiliar'!$D$40:$D$58,MATCH('Pagos Mayoristas'!$C522,'Hoja Auxiliar'!$C$40:$C$58,0))</f>
        <v>35000</v>
      </c>
      <c r="F522" s="238">
        <f>IF(C522="","",('Precio Mayorista'!$D$100*INDEX('Informacion del AEP'!$D$90:$AE$108,MATCH(C522,'Informacion del AEP'!$C$90:$C$108,0),MATCH($C$504,'Informacion del AEP'!$D$89:$AE$89,0))*INDEX('Informacion del AEP'!$F$169:$F$187,MATCH(C522,'Informacion del AEP'!$C$169:$C$187,0))))</f>
        <v>0</v>
      </c>
      <c r="N522" s="209">
        <f>INDEX('Precio Mayorista'!$D$76:$D$94,MATCH('Pagos Mayoristas'!C522,'Precio Mayorista'!$G$76:$G$94,0))*INDEX('Informacion del AEP'!$F$90:$AE$108,MATCH('Pagos Mayoristas'!C522,'Informacion del AEP'!$C$90:$C$108,0),MATCH('Pagos Mayoristas'!$C$504,'Informacion del AEP'!$F$89:$AE$89,0))</f>
        <v>1750000</v>
      </c>
    </row>
    <row r="523" spans="3:14" x14ac:dyDescent="0.25">
      <c r="C523" s="5" t="str">
        <f>IF(Supuestos!$B$66="","",Supuestos!$B$66)</f>
        <v>Otros servicios (incluyendo marcaciones especiales)</v>
      </c>
      <c r="D523" s="78">
        <f>INDEX('Informacion del AEP'!$F$90:$AE$108,MATCH('Pagos Mayoristas'!$C523,'Informacion del AEP'!$C$90:$C$108,0),MATCH('Pagos Mayoristas'!C$504,'Informacion del AEP'!$F$89:$AE$89,0))*INDEX('Hoja Auxiliar'!$D$40:$D$58,MATCH('Pagos Mayoristas'!$C523,'Hoja Auxiliar'!$C$40:$C$58,0))</f>
        <v>35000000</v>
      </c>
      <c r="F523" s="238">
        <f>IF(C523="","",('Precio Mayorista'!$D$100*INDEX('Informacion del AEP'!$D$90:$AE$108,MATCH(C523,'Informacion del AEP'!$C$90:$C$108,0),MATCH($C$504,'Informacion del AEP'!$D$89:$AE$89,0))*INDEX('Informacion del AEP'!$F$169:$F$187,MATCH(C523,'Informacion del AEP'!$C$169:$C$187,0))))</f>
        <v>0</v>
      </c>
      <c r="N523" s="209">
        <f>INDEX('Precio Mayorista'!$D$76:$D$94,MATCH('Pagos Mayoristas'!C523,'Precio Mayorista'!$G$76:$G$94,0))*INDEX('Informacion del AEP'!$F$90:$AE$108,MATCH('Pagos Mayoristas'!C523,'Informacion del AEP'!$C$90:$C$108,0),MATCH('Pagos Mayoristas'!$C$504,'Informacion del AEP'!$F$89:$AE$89,0))</f>
        <v>0</v>
      </c>
    </row>
    <row r="530" spans="3:15" ht="13" x14ac:dyDescent="0.3">
      <c r="C530" s="74" t="str">
        <f>Supuestos!$B$90</f>
        <v>Telcel Pospago 19</v>
      </c>
      <c r="D530" s="77">
        <f>SUM(D531:D549)</f>
        <v>559664233.33333325</v>
      </c>
      <c r="E530" s="75"/>
      <c r="F530" s="77">
        <f>SUM(F531:F549)</f>
        <v>0</v>
      </c>
      <c r="G530" s="75"/>
      <c r="H530" s="77"/>
      <c r="I530" s="77">
        <f>INDEX('Informacion del AEP'!$H$31:$H$84,MATCH('Pagos Mayoristas'!C530,'Informacion del AEP'!$C$31:$C$84,0))*'Hoja Auxiliar'!$D$61</f>
        <v>562500</v>
      </c>
      <c r="J530" s="4"/>
      <c r="K530" s="77"/>
      <c r="L530" s="204">
        <f>$L$10*(INDEX('Informacion del AEP'!$F$12:$AE$12,MATCH('Pagos Mayoristas'!C530,'Informacion del AEP'!$F$11:$AE$11,0))/INDEX('Informacion del AEP'!$F$12:$AE$12,MATCH('Pagos Mayoristas'!$C$10,'Informacion del AEP'!$F$11:$AE$11,0)))</f>
        <v>81827.309257028144</v>
      </c>
      <c r="M530" s="204"/>
      <c r="N530" s="77">
        <f>SUM(N531:N549)</f>
        <v>80715600</v>
      </c>
      <c r="O530" s="204">
        <f>SUM(D530:N530)</f>
        <v>641024160.64259028</v>
      </c>
    </row>
    <row r="531" spans="3:15" x14ac:dyDescent="0.25">
      <c r="C531" s="5" t="str">
        <f>IF(Supuestos!$B$48="","",Supuestos!$B$48)</f>
        <v>Datos</v>
      </c>
      <c r="D531" s="78">
        <f>INDEX('Informacion del AEP'!$F$90:$AE$108,MATCH('Pagos Mayoristas'!$C531,'Informacion del AEP'!$C$90:$C$108,0),MATCH('Pagos Mayoristas'!C$530,'Informacion del AEP'!$F$89:$AE$89,0))*INDEX('Hoja Auxiliar'!$D$40:$D$58,MATCH('Pagos Mayoristas'!$C531,'Hoja Auxiliar'!$C$40:$C$58,0))</f>
        <v>296333333.33333331</v>
      </c>
      <c r="F531" s="238">
        <f>IF(C531="","",('Precio Mayorista'!$D$100*INDEX('Informacion del AEP'!$D$90:$AE$108,MATCH(C531,'Informacion del AEP'!$C$90:$C$108,0),MATCH($C$530,'Informacion del AEP'!$D$89:$AE$89,0))*INDEX('Informacion del AEP'!$F$169:$F$187,MATCH(C531,'Informacion del AEP'!$C$169:$C$187,0))))</f>
        <v>0</v>
      </c>
      <c r="N531" s="209">
        <f>INDEX('Precio Mayorista'!$D$76:$D$94,MATCH('Pagos Mayoristas'!C531,'Precio Mayorista'!$G$76:$G$94,0))*INDEX('Informacion del AEP'!$F$90:$AE$108,MATCH('Pagos Mayoristas'!C531,'Informacion del AEP'!$C$90:$C$108,0),MATCH('Pagos Mayoristas'!$C$530,'Informacion del AEP'!$F$89:$AE$89,0))</f>
        <v>0</v>
      </c>
    </row>
    <row r="532" spans="3:15" x14ac:dyDescent="0.25">
      <c r="C532" s="5" t="str">
        <f>IF(Supuestos!$B$49="","",Supuestos!$B$49)</f>
        <v>Originación voz on-net local</v>
      </c>
      <c r="D532" s="78">
        <f>INDEX('Informacion del AEP'!$F$90:$AE$108,MATCH('Pagos Mayoristas'!$C532,'Informacion del AEP'!$C$90:$C$108,0),MATCH('Pagos Mayoristas'!C$530,'Informacion del AEP'!$F$89:$AE$89,0))*INDEX('Hoja Auxiliar'!$D$40:$D$58,MATCH('Pagos Mayoristas'!$C532,'Hoja Auxiliar'!$C$40:$C$58,0))</f>
        <v>70000000</v>
      </c>
      <c r="F532" s="238">
        <f>IF(C532="","",('Precio Mayorista'!$D$100*INDEX('Informacion del AEP'!$D$90:$AE$108,MATCH(C532,'Informacion del AEP'!$C$90:$C$108,0),MATCH($C$530,'Informacion del AEP'!$D$89:$AE$89,0))*INDEX('Informacion del AEP'!$F$169:$F$187,MATCH(C532,'Informacion del AEP'!$C$169:$C$187,0))))</f>
        <v>0</v>
      </c>
      <c r="N532" s="209">
        <f>INDEX('Precio Mayorista'!$D$76:$D$94,MATCH('Pagos Mayoristas'!C532,'Precio Mayorista'!$G$76:$G$94,0))*INDEX('Informacion del AEP'!$F$90:$AE$108,MATCH('Pagos Mayoristas'!C532,'Informacion del AEP'!$C$90:$C$108,0),MATCH('Pagos Mayoristas'!$C$530,'Informacion del AEP'!$F$89:$AE$89,0))</f>
        <v>0</v>
      </c>
    </row>
    <row r="533" spans="3:15" x14ac:dyDescent="0.25">
      <c r="C533" s="5" t="str">
        <f>IF(Supuestos!$B$50="","",Supuestos!$B$50)</f>
        <v>Originación voz off-net móvil local</v>
      </c>
      <c r="D533" s="78">
        <f>INDEX('Informacion del AEP'!$F$90:$AE$108,MATCH('Pagos Mayoristas'!$C533,'Informacion del AEP'!$C$90:$C$108,0),MATCH('Pagos Mayoristas'!C$530,'Informacion del AEP'!$F$89:$AE$89,0))*INDEX('Hoja Auxiliar'!$D$40:$D$58,MATCH('Pagos Mayoristas'!$C533,'Hoja Auxiliar'!$C$40:$C$58,0))</f>
        <v>14000000</v>
      </c>
      <c r="F533" s="238">
        <f>IF(C533="","",('Precio Mayorista'!$D$100*INDEX('Informacion del AEP'!$D$90:$AE$108,MATCH(C533,'Informacion del AEP'!$C$90:$C$108,0),MATCH($C$530,'Informacion del AEP'!$D$89:$AE$89,0))*INDEX('Informacion del AEP'!$F$169:$F$187,MATCH(C533,'Informacion del AEP'!$C$169:$C$187,0))))</f>
        <v>0</v>
      </c>
      <c r="N533" s="209">
        <f>INDEX('Precio Mayorista'!$D$76:$D$94,MATCH('Pagos Mayoristas'!C533,'Precio Mayorista'!$G$76:$G$94,0))*INDEX('Informacion del AEP'!$F$90:$AE$108,MATCH('Pagos Mayoristas'!C533,'Informacion del AEP'!$C$90:$C$108,0),MATCH('Pagos Mayoristas'!$C$530,'Informacion del AEP'!$F$89:$AE$89,0))</f>
        <v>19703133.333333336</v>
      </c>
    </row>
    <row r="534" spans="3:15" x14ac:dyDescent="0.25">
      <c r="C534" s="5" t="str">
        <f>IF(Supuestos!$B$51="","",Supuestos!$B$51)</f>
        <v>Originación voz off-net fijo local</v>
      </c>
      <c r="D534" s="78">
        <f>INDEX('Informacion del AEP'!$F$90:$AE$108,MATCH('Pagos Mayoristas'!$C534,'Informacion del AEP'!$C$90:$C$108,0),MATCH('Pagos Mayoristas'!C$530,'Informacion del AEP'!$F$89:$AE$89,0))*INDEX('Hoja Auxiliar'!$D$40:$D$58,MATCH('Pagos Mayoristas'!$C534,'Hoja Auxiliar'!$C$40:$C$58,0))</f>
        <v>7000000</v>
      </c>
      <c r="F534" s="238">
        <f>IF(C534="","",('Precio Mayorista'!$D$100*INDEX('Informacion del AEP'!$D$90:$AE$108,MATCH(C534,'Informacion del AEP'!$C$90:$C$108,0),MATCH($C$530,'Informacion del AEP'!$D$89:$AE$89,0))*INDEX('Informacion del AEP'!$F$169:$F$187,MATCH(C534,'Informacion del AEP'!$C$169:$C$187,0))))</f>
        <v>0</v>
      </c>
      <c r="N534" s="209">
        <f>INDEX('Precio Mayorista'!$D$76:$D$94,MATCH('Pagos Mayoristas'!C534,'Precio Mayorista'!$G$76:$G$94,0))*INDEX('Informacion del AEP'!$F$90:$AE$108,MATCH('Pagos Mayoristas'!C534,'Informacion del AEP'!$C$90:$C$108,0),MATCH('Pagos Mayoristas'!$C$530,'Informacion del AEP'!$F$89:$AE$89,0))</f>
        <v>780033.33333333337</v>
      </c>
    </row>
    <row r="535" spans="3:15" x14ac:dyDescent="0.25">
      <c r="C535" s="5" t="str">
        <f>IF(Supuestos!$B$52="","",Supuestos!$B$52)</f>
        <v>Originación voz on-net LDN</v>
      </c>
      <c r="D535" s="78">
        <f>INDEX('Informacion del AEP'!$F$90:$AE$108,MATCH('Pagos Mayoristas'!$C535,'Informacion del AEP'!$C$90:$C$108,0),MATCH('Pagos Mayoristas'!C$530,'Informacion del AEP'!$F$89:$AE$89,0))*INDEX('Hoja Auxiliar'!$D$40:$D$58,MATCH('Pagos Mayoristas'!$C535,'Hoja Auxiliar'!$C$40:$C$58,0))</f>
        <v>105000000</v>
      </c>
      <c r="F535" s="238">
        <f>IF(C535="","",('Precio Mayorista'!$D$100*INDEX('Informacion del AEP'!$D$90:$AE$108,MATCH(C535,'Informacion del AEP'!$C$90:$C$108,0),MATCH($C$530,'Informacion del AEP'!$D$89:$AE$89,0))*INDEX('Informacion del AEP'!$F$169:$F$187,MATCH(C535,'Informacion del AEP'!$C$169:$C$187,0))))</f>
        <v>0</v>
      </c>
      <c r="N535" s="209">
        <f>INDEX('Precio Mayorista'!$D$76:$D$94,MATCH('Pagos Mayoristas'!C535,'Precio Mayorista'!$G$76:$G$94,0))*INDEX('Informacion del AEP'!$F$90:$AE$108,MATCH('Pagos Mayoristas'!C535,'Informacion del AEP'!$C$90:$C$108,0),MATCH('Pagos Mayoristas'!$C$530,'Informacion del AEP'!$F$89:$AE$89,0))</f>
        <v>0</v>
      </c>
    </row>
    <row r="536" spans="3:15" x14ac:dyDescent="0.25">
      <c r="C536" s="5" t="str">
        <f>IF(Supuestos!$B$53="","",Supuestos!$B$53)</f>
        <v>Originación voz off-net móvil LDN</v>
      </c>
      <c r="D536" s="78">
        <f>INDEX('Informacion del AEP'!$F$90:$AE$108,MATCH('Pagos Mayoristas'!$C536,'Informacion del AEP'!$C$90:$C$108,0),MATCH('Pagos Mayoristas'!C$530,'Informacion del AEP'!$F$89:$AE$89,0))*INDEX('Hoja Auxiliar'!$D$40:$D$58,MATCH('Pagos Mayoristas'!$C536,'Hoja Auxiliar'!$C$40:$C$58,0))</f>
        <v>10499999.999999998</v>
      </c>
      <c r="F536" s="238">
        <f>IF(C536="","",('Precio Mayorista'!$D$100*INDEX('Informacion del AEP'!$D$90:$AE$108,MATCH(C536,'Informacion del AEP'!$C$90:$C$108,0),MATCH($C$530,'Informacion del AEP'!$D$89:$AE$89,0))*INDEX('Informacion del AEP'!$F$169:$F$187,MATCH(C536,'Informacion del AEP'!$C$169:$C$187,0))))</f>
        <v>0</v>
      </c>
      <c r="N536" s="209">
        <f>INDEX('Precio Mayorista'!$D$76:$D$94,MATCH('Pagos Mayoristas'!C536,'Precio Mayorista'!$G$76:$G$94,0))*INDEX('Informacion del AEP'!$F$90:$AE$108,MATCH('Pagos Mayoristas'!C536,'Informacion del AEP'!$C$90:$C$108,0),MATCH('Pagos Mayoristas'!$C$530,'Informacion del AEP'!$F$89:$AE$89,0))</f>
        <v>14777349.999999998</v>
      </c>
    </row>
    <row r="537" spans="3:15" x14ac:dyDescent="0.25">
      <c r="C537" s="5" t="str">
        <f>IF(Supuestos!$B$54="","",Supuestos!$B$54)</f>
        <v>Originación voz off-net fijo LDN</v>
      </c>
      <c r="D537" s="78">
        <f>INDEX('Informacion del AEP'!$F$90:$AE$108,MATCH('Pagos Mayoristas'!$C537,'Informacion del AEP'!$C$90:$C$108,0),MATCH('Pagos Mayoristas'!C$530,'Informacion del AEP'!$F$89:$AE$89,0))*INDEX('Hoja Auxiliar'!$D$40:$D$58,MATCH('Pagos Mayoristas'!$C537,'Hoja Auxiliar'!$C$40:$C$58,0))</f>
        <v>3500000</v>
      </c>
      <c r="F537" s="238">
        <f>IF(C537="","",('Precio Mayorista'!$D$100*INDEX('Informacion del AEP'!$D$90:$AE$108,MATCH(C537,'Informacion del AEP'!$C$90:$C$108,0),MATCH($C$530,'Informacion del AEP'!$D$89:$AE$89,0))*INDEX('Informacion del AEP'!$F$169:$F$187,MATCH(C537,'Informacion del AEP'!$C$169:$C$187,0))))</f>
        <v>0</v>
      </c>
      <c r="N537" s="209">
        <f>INDEX('Precio Mayorista'!$D$76:$D$94,MATCH('Pagos Mayoristas'!C537,'Precio Mayorista'!$G$76:$G$94,0))*INDEX('Informacion del AEP'!$F$90:$AE$108,MATCH('Pagos Mayoristas'!C537,'Informacion del AEP'!$C$90:$C$108,0),MATCH('Pagos Mayoristas'!$C$530,'Informacion del AEP'!$F$89:$AE$89,0))</f>
        <v>390016.66666666669</v>
      </c>
    </row>
    <row r="538" spans="3:15" x14ac:dyDescent="0.25">
      <c r="C538" s="5" t="str">
        <f>IF(Supuestos!$B$55="","",Supuestos!$B$55)</f>
        <v>Originación voz internacional USA-Canadá</v>
      </c>
      <c r="D538" s="78">
        <f>INDEX('Informacion del AEP'!$F$90:$AE$108,MATCH('Pagos Mayoristas'!$C538,'Informacion del AEP'!$C$90:$C$108,0),MATCH('Pagos Mayoristas'!C$530,'Informacion del AEP'!$F$89:$AE$89,0))*INDEX('Hoja Auxiliar'!$D$40:$D$58,MATCH('Pagos Mayoristas'!$C538,'Hoja Auxiliar'!$C$40:$C$58,0))</f>
        <v>9099999.9999999981</v>
      </c>
      <c r="F538" s="238">
        <f>IF(C538="","",('Precio Mayorista'!$D$100*INDEX('Informacion del AEP'!$D$90:$AE$108,MATCH(C538,'Informacion del AEP'!$C$90:$C$108,0),MATCH($C$530,'Informacion del AEP'!$D$89:$AE$89,0))*INDEX('Informacion del AEP'!$F$169:$F$187,MATCH(C538,'Informacion del AEP'!$C$169:$C$187,0))))</f>
        <v>0</v>
      </c>
      <c r="N538" s="209">
        <f>INDEX('Precio Mayorista'!$D$76:$D$94,MATCH('Pagos Mayoristas'!C538,'Precio Mayorista'!$G$76:$G$94,0))*INDEX('Informacion del AEP'!$F$90:$AE$108,MATCH('Pagos Mayoristas'!C538,'Informacion del AEP'!$C$90:$C$108,0),MATCH('Pagos Mayoristas'!$C$530,'Informacion del AEP'!$F$89:$AE$89,0))</f>
        <v>15166666.666666666</v>
      </c>
    </row>
    <row r="539" spans="3:15" x14ac:dyDescent="0.25">
      <c r="C539" s="5" t="str">
        <f>IF(Supuestos!$B$56="","",Supuestos!$B$56)</f>
        <v>Originación voz internacional Mundial Centroamérica</v>
      </c>
      <c r="D539" s="78">
        <f>INDEX('Informacion del AEP'!$F$90:$AE$108,MATCH('Pagos Mayoristas'!$C539,'Informacion del AEP'!$C$90:$C$108,0),MATCH('Pagos Mayoristas'!C$530,'Informacion del AEP'!$F$89:$AE$89,0))*INDEX('Hoja Auxiliar'!$D$40:$D$58,MATCH('Pagos Mayoristas'!$C539,'Hoja Auxiliar'!$C$40:$C$58,0))</f>
        <v>21000</v>
      </c>
      <c r="F539" s="238">
        <f>IF(C539="","",('Precio Mayorista'!$D$100*INDEX('Informacion del AEP'!$D$90:$AE$108,MATCH(C539,'Informacion del AEP'!$C$90:$C$108,0),MATCH($C$530,'Informacion del AEP'!$D$89:$AE$89,0))*INDEX('Informacion del AEP'!$F$169:$F$187,MATCH(C539,'Informacion del AEP'!$C$169:$C$187,0))))</f>
        <v>0</v>
      </c>
      <c r="N539" s="209">
        <f>INDEX('Precio Mayorista'!$D$76:$D$94,MATCH('Pagos Mayoristas'!C539,'Precio Mayorista'!$G$76:$G$94,0))*INDEX('Informacion del AEP'!$F$90:$AE$108,MATCH('Pagos Mayoristas'!C539,'Informacion del AEP'!$C$90:$C$108,0),MATCH('Pagos Mayoristas'!$C$530,'Informacion del AEP'!$F$89:$AE$89,0))</f>
        <v>1750000</v>
      </c>
    </row>
    <row r="540" spans="3:15" x14ac:dyDescent="0.25">
      <c r="C540" s="5" t="str">
        <f>IF(Supuestos!$B$57="","",Supuestos!$B$57)</f>
        <v>Originación voz internacional Mundial LATAM y Caribe</v>
      </c>
      <c r="D540" s="78">
        <f>INDEX('Informacion del AEP'!$F$90:$AE$108,MATCH('Pagos Mayoristas'!$C540,'Informacion del AEP'!$C$90:$C$108,0),MATCH('Pagos Mayoristas'!C$530,'Informacion del AEP'!$F$89:$AE$89,0))*INDEX('Hoja Auxiliar'!$D$40:$D$58,MATCH('Pagos Mayoristas'!$C540,'Hoja Auxiliar'!$C$40:$C$58,0))</f>
        <v>1399.9999999999998</v>
      </c>
      <c r="F540" s="238">
        <f>IF(C540="","",('Precio Mayorista'!$D$100*INDEX('Informacion del AEP'!$D$90:$AE$108,MATCH(C540,'Informacion del AEP'!$C$90:$C$108,0),MATCH($C$530,'Informacion del AEP'!$D$89:$AE$89,0))*INDEX('Informacion del AEP'!$F$169:$F$187,MATCH(C540,'Informacion del AEP'!$C$169:$C$187,0))))</f>
        <v>0</v>
      </c>
      <c r="N540" s="209">
        <f>INDEX('Precio Mayorista'!$D$76:$D$94,MATCH('Pagos Mayoristas'!C540,'Precio Mayorista'!$G$76:$G$94,0))*INDEX('Informacion del AEP'!$F$90:$AE$108,MATCH('Pagos Mayoristas'!C540,'Informacion del AEP'!$C$90:$C$108,0),MATCH('Pagos Mayoristas'!$C$530,'Informacion del AEP'!$F$89:$AE$89,0))</f>
        <v>233333.33333333331</v>
      </c>
    </row>
    <row r="541" spans="3:15" x14ac:dyDescent="0.25">
      <c r="C541" s="5" t="str">
        <f>IF(Supuestos!$B$58="","",Supuestos!$B$58)</f>
        <v>Originación voz internacional Europa</v>
      </c>
      <c r="D541" s="78">
        <f>INDEX('Informacion del AEP'!$F$90:$AE$108,MATCH('Pagos Mayoristas'!$C541,'Informacion del AEP'!$C$90:$C$108,0),MATCH('Pagos Mayoristas'!C$530,'Informacion del AEP'!$F$89:$AE$89,0))*INDEX('Hoja Auxiliar'!$D$40:$D$58,MATCH('Pagos Mayoristas'!$C541,'Hoja Auxiliar'!$C$40:$C$58,0))</f>
        <v>0</v>
      </c>
      <c r="F541" s="238">
        <f>IF(C541="","",('Precio Mayorista'!$D$100*INDEX('Informacion del AEP'!$D$90:$AE$108,MATCH(C541,'Informacion del AEP'!$C$90:$C$108,0),MATCH($C$530,'Informacion del AEP'!$D$89:$AE$89,0))*INDEX('Informacion del AEP'!$F$169:$F$187,MATCH(C541,'Informacion del AEP'!$C$169:$C$187,0))))</f>
        <v>0</v>
      </c>
      <c r="N541" s="209">
        <f>INDEX('Precio Mayorista'!$D$76:$D$94,MATCH('Pagos Mayoristas'!C541,'Precio Mayorista'!$G$76:$G$94,0))*INDEX('Informacion del AEP'!$F$90:$AE$108,MATCH('Pagos Mayoristas'!C541,'Informacion del AEP'!$C$90:$C$108,0),MATCH('Pagos Mayoristas'!$C$530,'Informacion del AEP'!$F$89:$AE$89,0))</f>
        <v>0</v>
      </c>
    </row>
    <row r="542" spans="3:15" x14ac:dyDescent="0.25">
      <c r="C542" s="5" t="str">
        <f>IF(Supuestos!$B$59="","",Supuestos!$B$59)</f>
        <v>Originación voz internacional Mundial Otros geográficos</v>
      </c>
      <c r="D542" s="78">
        <f>INDEX('Informacion del AEP'!$F$90:$AE$108,MATCH('Pagos Mayoristas'!$C542,'Informacion del AEP'!$C$90:$C$108,0),MATCH('Pagos Mayoristas'!C$530,'Informacion del AEP'!$F$89:$AE$89,0))*INDEX('Hoja Auxiliar'!$D$40:$D$58,MATCH('Pagos Mayoristas'!$C542,'Hoja Auxiliar'!$C$40:$C$58,0))</f>
        <v>70000</v>
      </c>
      <c r="F542" s="238">
        <f>IF(C542="","",('Precio Mayorista'!$D$100*INDEX('Informacion del AEP'!$D$90:$AE$108,MATCH(C542,'Informacion del AEP'!$C$90:$C$108,0),MATCH($C$530,'Informacion del AEP'!$D$89:$AE$89,0))*INDEX('Informacion del AEP'!$F$169:$F$187,MATCH(C542,'Informacion del AEP'!$C$169:$C$187,0))))</f>
        <v>0</v>
      </c>
      <c r="N542" s="209">
        <f>INDEX('Precio Mayorista'!$D$76:$D$94,MATCH('Pagos Mayoristas'!C542,'Precio Mayorista'!$G$76:$G$94,0))*INDEX('Informacion del AEP'!$F$90:$AE$108,MATCH('Pagos Mayoristas'!C542,'Informacion del AEP'!$C$90:$C$108,0),MATCH('Pagos Mayoristas'!$C$530,'Informacion del AEP'!$F$89:$AE$89,0))</f>
        <v>11666666.666666668</v>
      </c>
    </row>
    <row r="543" spans="3:15" x14ac:dyDescent="0.25">
      <c r="C543" s="5" t="str">
        <f>IF(Supuestos!$B$60="","",Supuestos!$B$60)</f>
        <v>Originación voz internacional Cuba</v>
      </c>
      <c r="D543" s="78">
        <f>INDEX('Informacion del AEP'!$F$90:$AE$108,MATCH('Pagos Mayoristas'!$C543,'Informacion del AEP'!$C$90:$C$108,0),MATCH('Pagos Mayoristas'!C$530,'Informacion del AEP'!$F$89:$AE$89,0))*INDEX('Hoja Auxiliar'!$D$40:$D$58,MATCH('Pagos Mayoristas'!$C543,'Hoja Auxiliar'!$C$40:$C$58,0))</f>
        <v>3500</v>
      </c>
      <c r="F543" s="238">
        <f>IF(C543="","",('Precio Mayorista'!$D$100*INDEX('Informacion del AEP'!$D$90:$AE$108,MATCH(C543,'Informacion del AEP'!$C$90:$C$108,0),MATCH($C$530,'Informacion del AEP'!$D$89:$AE$89,0))*INDEX('Informacion del AEP'!$F$169:$F$187,MATCH(C543,'Informacion del AEP'!$C$169:$C$187,0))))</f>
        <v>0</v>
      </c>
      <c r="N543" s="209">
        <f>INDEX('Precio Mayorista'!$D$76:$D$94,MATCH('Pagos Mayoristas'!C543,'Precio Mayorista'!$G$76:$G$94,0))*INDEX('Informacion del AEP'!$F$90:$AE$108,MATCH('Pagos Mayoristas'!C543,'Informacion del AEP'!$C$90:$C$108,0),MATCH('Pagos Mayoristas'!$C$530,'Informacion del AEP'!$F$89:$AE$89,0))</f>
        <v>1750000</v>
      </c>
    </row>
    <row r="544" spans="3:15" x14ac:dyDescent="0.25">
      <c r="C544" s="5" t="str">
        <f>IF(Supuestos!$B$61="","",Supuestos!$B$61)</f>
        <v>Originación voz Mundial destinos no geográficos</v>
      </c>
      <c r="D544" s="78">
        <f>INDEX('Informacion del AEP'!$F$90:$AE$108,MATCH('Pagos Mayoristas'!$C544,'Informacion del AEP'!$C$90:$C$108,0),MATCH('Pagos Mayoristas'!C$530,'Informacion del AEP'!$F$89:$AE$89,0))*INDEX('Hoja Auxiliar'!$D$40:$D$58,MATCH('Pagos Mayoristas'!$C544,'Hoja Auxiliar'!$C$40:$C$58,0))</f>
        <v>0</v>
      </c>
      <c r="F544" s="238">
        <f>IF(C544="","",('Precio Mayorista'!$D$100*INDEX('Informacion del AEP'!$D$90:$AE$108,MATCH(C544,'Informacion del AEP'!$C$90:$C$108,0),MATCH($C$530,'Informacion del AEP'!$D$89:$AE$89,0))*INDEX('Informacion del AEP'!$F$169:$F$187,MATCH(C544,'Informacion del AEP'!$C$169:$C$187,0))))</f>
        <v>0</v>
      </c>
      <c r="N544" s="209">
        <f>INDEX('Precio Mayorista'!$D$76:$D$94,MATCH('Pagos Mayoristas'!C544,'Precio Mayorista'!$G$76:$G$94,0))*INDEX('Informacion del AEP'!$F$90:$AE$108,MATCH('Pagos Mayoristas'!C544,'Informacion del AEP'!$C$90:$C$108,0),MATCH('Pagos Mayoristas'!$C$530,'Informacion del AEP'!$F$89:$AE$89,0))</f>
        <v>0</v>
      </c>
    </row>
    <row r="545" spans="3:15" x14ac:dyDescent="0.25">
      <c r="C545" s="5" t="str">
        <f>IF(Supuestos!$B$62="","",Supuestos!$B$62)</f>
        <v>Originación SMS on-net</v>
      </c>
      <c r="D545" s="78">
        <f>INDEX('Informacion del AEP'!$F$90:$AE$108,MATCH('Pagos Mayoristas'!$C545,'Informacion del AEP'!$C$90:$C$108,0),MATCH('Pagos Mayoristas'!C$530,'Informacion del AEP'!$F$89:$AE$89,0))*INDEX('Hoja Auxiliar'!$D$40:$D$58,MATCH('Pagos Mayoristas'!$C545,'Hoja Auxiliar'!$C$40:$C$58,0))</f>
        <v>7000000</v>
      </c>
      <c r="F545" s="238">
        <f>IF(C545="","",('Precio Mayorista'!$D$100*INDEX('Informacion del AEP'!$D$90:$AE$108,MATCH(C545,'Informacion del AEP'!$C$90:$C$108,0),MATCH($C$530,'Informacion del AEP'!$D$89:$AE$89,0))*INDEX('Informacion del AEP'!$F$169:$F$187,MATCH(C545,'Informacion del AEP'!$C$169:$C$187,0))))</f>
        <v>0</v>
      </c>
      <c r="N545" s="209">
        <f>INDEX('Precio Mayorista'!$D$76:$D$94,MATCH('Pagos Mayoristas'!C545,'Precio Mayorista'!$G$76:$G$94,0))*INDEX('Informacion del AEP'!$F$90:$AE$108,MATCH('Pagos Mayoristas'!C545,'Informacion del AEP'!$C$90:$C$108,0),MATCH('Pagos Mayoristas'!$C$530,'Informacion del AEP'!$F$89:$AE$89,0))</f>
        <v>0</v>
      </c>
    </row>
    <row r="546" spans="3:15" x14ac:dyDescent="0.25">
      <c r="C546" s="5" t="str">
        <f>IF(Supuestos!$B$63="","",Supuestos!$B$63)</f>
        <v>Originación SMS - off-net nacional</v>
      </c>
      <c r="D546" s="78">
        <f>INDEX('Informacion del AEP'!$F$90:$AE$108,MATCH('Pagos Mayoristas'!$C546,'Informacion del AEP'!$C$90:$C$108,0),MATCH('Pagos Mayoristas'!C$530,'Informacion del AEP'!$F$89:$AE$89,0))*INDEX('Hoja Auxiliar'!$D$40:$D$58,MATCH('Pagos Mayoristas'!$C546,'Hoja Auxiliar'!$C$40:$C$58,0))</f>
        <v>1750000</v>
      </c>
      <c r="F546" s="238">
        <f>IF(C546="","",('Precio Mayorista'!$D$100*INDEX('Informacion del AEP'!$D$90:$AE$108,MATCH(C546,'Informacion del AEP'!$C$90:$C$108,0),MATCH($C$530,'Informacion del AEP'!$D$89:$AE$89,0))*INDEX('Informacion del AEP'!$F$169:$F$187,MATCH(C546,'Informacion del AEP'!$C$169:$C$187,0))))</f>
        <v>0</v>
      </c>
      <c r="N546" s="209">
        <f>INDEX('Precio Mayorista'!$D$76:$D$94,MATCH('Pagos Mayoristas'!C546,'Precio Mayorista'!$G$76:$G$94,0))*INDEX('Informacion del AEP'!$F$90:$AE$108,MATCH('Pagos Mayoristas'!C546,'Informacion del AEP'!$C$90:$C$108,0),MATCH('Pagos Mayoristas'!$C$530,'Informacion del AEP'!$F$89:$AE$89,0))</f>
        <v>1081733.3333333335</v>
      </c>
    </row>
    <row r="547" spans="3:15" x14ac:dyDescent="0.25">
      <c r="C547" s="5" t="str">
        <f>IF(Supuestos!$B$64="","",Supuestos!$B$64)</f>
        <v>Originación SMS internacional (USA-Canadá)</v>
      </c>
      <c r="D547" s="78">
        <f>INDEX('Informacion del AEP'!$F$90:$AE$108,MATCH('Pagos Mayoristas'!$C547,'Informacion del AEP'!$C$90:$C$108,0),MATCH('Pagos Mayoristas'!C$530,'Informacion del AEP'!$F$89:$AE$89,0))*INDEX('Hoja Auxiliar'!$D$40:$D$58,MATCH('Pagos Mayoristas'!$C547,'Hoja Auxiliar'!$C$40:$C$58,0))</f>
        <v>349999.99999999994</v>
      </c>
      <c r="F547" s="238">
        <f>IF(C547="","",('Precio Mayorista'!$D$100*INDEX('Informacion del AEP'!$D$90:$AE$108,MATCH(C547,'Informacion del AEP'!$C$90:$C$108,0),MATCH($C$530,'Informacion del AEP'!$D$89:$AE$89,0))*INDEX('Informacion del AEP'!$F$169:$F$187,MATCH(C547,'Informacion del AEP'!$C$169:$C$187,0))))</f>
        <v>0</v>
      </c>
      <c r="N547" s="209">
        <f>INDEX('Precio Mayorista'!$D$76:$D$94,MATCH('Pagos Mayoristas'!C547,'Precio Mayorista'!$G$76:$G$94,0))*INDEX('Informacion del AEP'!$F$90:$AE$108,MATCH('Pagos Mayoristas'!C547,'Informacion del AEP'!$C$90:$C$108,0),MATCH('Pagos Mayoristas'!$C$530,'Informacion del AEP'!$F$89:$AE$89,0))</f>
        <v>11666666.666666666</v>
      </c>
    </row>
    <row r="548" spans="3:15" x14ac:dyDescent="0.25">
      <c r="C548" s="5" t="str">
        <f>IF(Supuestos!$B$65="","",Supuestos!$B$65)</f>
        <v>Originación SMS internacional (Resto del Mundo)</v>
      </c>
      <c r="D548" s="78">
        <f>INDEX('Informacion del AEP'!$F$90:$AE$108,MATCH('Pagos Mayoristas'!$C548,'Informacion del AEP'!$C$90:$C$108,0),MATCH('Pagos Mayoristas'!C$530,'Informacion del AEP'!$F$89:$AE$89,0))*INDEX('Hoja Auxiliar'!$D$40:$D$58,MATCH('Pagos Mayoristas'!$C548,'Hoja Auxiliar'!$C$40:$C$58,0))</f>
        <v>35000</v>
      </c>
      <c r="F548" s="238">
        <f>IF(C548="","",('Precio Mayorista'!$D$100*INDEX('Informacion del AEP'!$D$90:$AE$108,MATCH(C548,'Informacion del AEP'!$C$90:$C$108,0),MATCH($C$530,'Informacion del AEP'!$D$89:$AE$89,0))*INDEX('Informacion del AEP'!$F$169:$F$187,MATCH(C548,'Informacion del AEP'!$C$169:$C$187,0))))</f>
        <v>0</v>
      </c>
      <c r="N548" s="209">
        <f>INDEX('Precio Mayorista'!$D$76:$D$94,MATCH('Pagos Mayoristas'!C548,'Precio Mayorista'!$G$76:$G$94,0))*INDEX('Informacion del AEP'!$F$90:$AE$108,MATCH('Pagos Mayoristas'!C548,'Informacion del AEP'!$C$90:$C$108,0),MATCH('Pagos Mayoristas'!$C$530,'Informacion del AEP'!$F$89:$AE$89,0))</f>
        <v>1750000</v>
      </c>
    </row>
    <row r="549" spans="3:15" x14ac:dyDescent="0.25">
      <c r="C549" s="5" t="str">
        <f>IF(Supuestos!$B$66="","",Supuestos!$B$66)</f>
        <v>Otros servicios (incluyendo marcaciones especiales)</v>
      </c>
      <c r="D549" s="78">
        <f>INDEX('Informacion del AEP'!$F$90:$AE$108,MATCH('Pagos Mayoristas'!$C549,'Informacion del AEP'!$C$90:$C$108,0),MATCH('Pagos Mayoristas'!C$530,'Informacion del AEP'!$F$89:$AE$89,0))*INDEX('Hoja Auxiliar'!$D$40:$D$58,MATCH('Pagos Mayoristas'!$C549,'Hoja Auxiliar'!$C$40:$C$58,0))</f>
        <v>35000000</v>
      </c>
      <c r="F549" s="238">
        <f>IF(C549="","",('Precio Mayorista'!$D$100*INDEX('Informacion del AEP'!$D$90:$AE$108,MATCH(C549,'Informacion del AEP'!$C$90:$C$108,0),MATCH($C$530,'Informacion del AEP'!$D$89:$AE$89,0))*INDEX('Informacion del AEP'!$F$169:$F$187,MATCH(C549,'Informacion del AEP'!$C$169:$C$187,0))))</f>
        <v>0</v>
      </c>
      <c r="N549" s="209">
        <f>INDEX('Precio Mayorista'!$D$76:$D$94,MATCH('Pagos Mayoristas'!C549,'Precio Mayorista'!$G$76:$G$94,0))*INDEX('Informacion del AEP'!$F$90:$AE$108,MATCH('Pagos Mayoristas'!C549,'Informacion del AEP'!$C$90:$C$108,0),MATCH('Pagos Mayoristas'!$C$530,'Informacion del AEP'!$F$89:$AE$89,0))</f>
        <v>0</v>
      </c>
    </row>
    <row r="556" spans="3:15" ht="13" x14ac:dyDescent="0.3">
      <c r="C556" s="74" t="str">
        <f>Supuestos!$B$96</f>
        <v>Telcel Pospago 22</v>
      </c>
      <c r="D556" s="77">
        <f>SUM(D557:D575)</f>
        <v>559664233.33333325</v>
      </c>
      <c r="E556" s="75"/>
      <c r="F556" s="77">
        <f>SUM(F557:F575)</f>
        <v>0</v>
      </c>
      <c r="G556" s="75"/>
      <c r="H556" s="77"/>
      <c r="I556" s="77">
        <f>INDEX('Informacion del AEP'!$H$31:$H$84,MATCH('Pagos Mayoristas'!C556,'Informacion del AEP'!$C$31:$C$84,0))*'Hoja Auxiliar'!$D$61</f>
        <v>562500</v>
      </c>
      <c r="J556" s="4"/>
      <c r="K556" s="77"/>
      <c r="L556" s="204">
        <f>$L$10*(INDEX('Informacion del AEP'!$F$12:$AE$12,MATCH('Pagos Mayoristas'!C556,'Informacion del AEP'!$F$11:$AE$11,0))/INDEX('Informacion del AEP'!$F$12:$AE$12,MATCH('Pagos Mayoristas'!$C$10,'Informacion del AEP'!$F$11:$AE$11,0)))</f>
        <v>81827.309257028144</v>
      </c>
      <c r="M556" s="204"/>
      <c r="N556" s="77">
        <f>SUM(N557:N575)</f>
        <v>80715600</v>
      </c>
      <c r="O556" s="204">
        <f>SUM(D556:N556)</f>
        <v>641024160.64259028</v>
      </c>
    </row>
    <row r="557" spans="3:15" x14ac:dyDescent="0.25">
      <c r="C557" s="5" t="str">
        <f>IF(Supuestos!$B$48="","",Supuestos!$B$48)</f>
        <v>Datos</v>
      </c>
      <c r="D557" s="78">
        <f>INDEX('Informacion del AEP'!$F$90:$AE$108,MATCH('Pagos Mayoristas'!$C557,'Informacion del AEP'!$C$90:$C$108,0),MATCH('Pagos Mayoristas'!C$556,'Informacion del AEP'!$F$89:$AE$89,0))*INDEX('Hoja Auxiliar'!$D$40:$D$58,MATCH('Pagos Mayoristas'!$C557,'Hoja Auxiliar'!$C$40:$C$58,0))</f>
        <v>296333333.33333331</v>
      </c>
      <c r="F557" s="238">
        <f>IF(C557="","",('Precio Mayorista'!$D$100*INDEX('Informacion del AEP'!$D$90:$AE$108,MATCH(C557,'Informacion del AEP'!$C$90:$C$108,0),MATCH($C$556,'Informacion del AEP'!$D$89:$AE$89,0))*INDEX('Informacion del AEP'!$F$169:$F$187,MATCH(C557,'Informacion del AEP'!$C$169:$C$187,0))))</f>
        <v>0</v>
      </c>
      <c r="N557" s="209">
        <f>INDEX('Precio Mayorista'!$D$76:$D$94,MATCH('Pagos Mayoristas'!C557,'Precio Mayorista'!$G$76:$G$94,0))*INDEX('Informacion del AEP'!$F$90:$AE$108,MATCH('Pagos Mayoristas'!C557,'Informacion del AEP'!$C$90:$C$108,0),MATCH('Pagos Mayoristas'!$C$556,'Informacion del AEP'!$F$89:$AE$89,0))</f>
        <v>0</v>
      </c>
    </row>
    <row r="558" spans="3:15" x14ac:dyDescent="0.25">
      <c r="C558" s="5" t="str">
        <f>IF(Supuestos!$B$49="","",Supuestos!$B$49)</f>
        <v>Originación voz on-net local</v>
      </c>
      <c r="D558" s="78">
        <f>INDEX('Informacion del AEP'!$F$90:$AE$108,MATCH('Pagos Mayoristas'!$C558,'Informacion del AEP'!$C$90:$C$108,0),MATCH('Pagos Mayoristas'!C$556,'Informacion del AEP'!$F$89:$AE$89,0))*INDEX('Hoja Auxiliar'!$D$40:$D$58,MATCH('Pagos Mayoristas'!$C558,'Hoja Auxiliar'!$C$40:$C$58,0))</f>
        <v>70000000</v>
      </c>
      <c r="F558" s="238">
        <f>IF(C558="","",('Precio Mayorista'!$D$100*INDEX('Informacion del AEP'!$D$90:$AE$108,MATCH(C558,'Informacion del AEP'!$C$90:$C$108,0),MATCH($C$556,'Informacion del AEP'!$D$89:$AE$89,0))*INDEX('Informacion del AEP'!$F$169:$F$187,MATCH(C558,'Informacion del AEP'!$C$169:$C$187,0))))</f>
        <v>0</v>
      </c>
      <c r="N558" s="209">
        <f>INDEX('Precio Mayorista'!$D$76:$D$94,MATCH('Pagos Mayoristas'!C558,'Precio Mayorista'!$G$76:$G$94,0))*INDEX('Informacion del AEP'!$F$90:$AE$108,MATCH('Pagos Mayoristas'!C558,'Informacion del AEP'!$C$90:$C$108,0),MATCH('Pagos Mayoristas'!$C$556,'Informacion del AEP'!$F$89:$AE$89,0))</f>
        <v>0</v>
      </c>
    </row>
    <row r="559" spans="3:15" x14ac:dyDescent="0.25">
      <c r="C559" s="5" t="str">
        <f>IF(Supuestos!$B$50="","",Supuestos!$B$50)</f>
        <v>Originación voz off-net móvil local</v>
      </c>
      <c r="D559" s="78">
        <f>INDEX('Informacion del AEP'!$F$90:$AE$108,MATCH('Pagos Mayoristas'!$C559,'Informacion del AEP'!$C$90:$C$108,0),MATCH('Pagos Mayoristas'!C$556,'Informacion del AEP'!$F$89:$AE$89,0))*INDEX('Hoja Auxiliar'!$D$40:$D$58,MATCH('Pagos Mayoristas'!$C559,'Hoja Auxiliar'!$C$40:$C$58,0))</f>
        <v>14000000</v>
      </c>
      <c r="F559" s="238">
        <f>IF(C559="","",('Precio Mayorista'!$D$100*INDEX('Informacion del AEP'!$D$90:$AE$108,MATCH(C559,'Informacion del AEP'!$C$90:$C$108,0),MATCH($C$556,'Informacion del AEP'!$D$89:$AE$89,0))*INDEX('Informacion del AEP'!$F$169:$F$187,MATCH(C559,'Informacion del AEP'!$C$169:$C$187,0))))</f>
        <v>0</v>
      </c>
      <c r="N559" s="209">
        <f>INDEX('Precio Mayorista'!$D$76:$D$94,MATCH('Pagos Mayoristas'!C559,'Precio Mayorista'!$G$76:$G$94,0))*INDEX('Informacion del AEP'!$F$90:$AE$108,MATCH('Pagos Mayoristas'!C559,'Informacion del AEP'!$C$90:$C$108,0),MATCH('Pagos Mayoristas'!$C$556,'Informacion del AEP'!$F$89:$AE$89,0))</f>
        <v>19703133.333333336</v>
      </c>
    </row>
    <row r="560" spans="3:15" x14ac:dyDescent="0.25">
      <c r="C560" s="5" t="str">
        <f>IF(Supuestos!$B$51="","",Supuestos!$B$51)</f>
        <v>Originación voz off-net fijo local</v>
      </c>
      <c r="D560" s="78">
        <f>INDEX('Informacion del AEP'!$F$90:$AE$108,MATCH('Pagos Mayoristas'!$C560,'Informacion del AEP'!$C$90:$C$108,0),MATCH('Pagos Mayoristas'!C$556,'Informacion del AEP'!$F$89:$AE$89,0))*INDEX('Hoja Auxiliar'!$D$40:$D$58,MATCH('Pagos Mayoristas'!$C560,'Hoja Auxiliar'!$C$40:$C$58,0))</f>
        <v>7000000</v>
      </c>
      <c r="F560" s="238">
        <f>IF(C560="","",('Precio Mayorista'!$D$100*INDEX('Informacion del AEP'!$D$90:$AE$108,MATCH(C560,'Informacion del AEP'!$C$90:$C$108,0),MATCH($C$556,'Informacion del AEP'!$D$89:$AE$89,0))*INDEX('Informacion del AEP'!$F$169:$F$187,MATCH(C560,'Informacion del AEP'!$C$169:$C$187,0))))</f>
        <v>0</v>
      </c>
      <c r="N560" s="209">
        <f>INDEX('Precio Mayorista'!$D$76:$D$94,MATCH('Pagos Mayoristas'!C560,'Precio Mayorista'!$G$76:$G$94,0))*INDEX('Informacion del AEP'!$F$90:$AE$108,MATCH('Pagos Mayoristas'!C560,'Informacion del AEP'!$C$90:$C$108,0),MATCH('Pagos Mayoristas'!$C$556,'Informacion del AEP'!$F$89:$AE$89,0))</f>
        <v>780033.33333333337</v>
      </c>
    </row>
    <row r="561" spans="3:14" x14ac:dyDescent="0.25">
      <c r="C561" s="5" t="str">
        <f>IF(Supuestos!$B$52="","",Supuestos!$B$52)</f>
        <v>Originación voz on-net LDN</v>
      </c>
      <c r="D561" s="78">
        <f>INDEX('Informacion del AEP'!$F$90:$AE$108,MATCH('Pagos Mayoristas'!$C561,'Informacion del AEP'!$C$90:$C$108,0),MATCH('Pagos Mayoristas'!C$556,'Informacion del AEP'!$F$89:$AE$89,0))*INDEX('Hoja Auxiliar'!$D$40:$D$58,MATCH('Pagos Mayoristas'!$C561,'Hoja Auxiliar'!$C$40:$C$58,0))</f>
        <v>105000000</v>
      </c>
      <c r="F561" s="238">
        <f>IF(C561="","",('Precio Mayorista'!$D$100*INDEX('Informacion del AEP'!$D$90:$AE$108,MATCH(C561,'Informacion del AEP'!$C$90:$C$108,0),MATCH($C$556,'Informacion del AEP'!$D$89:$AE$89,0))*INDEX('Informacion del AEP'!$F$169:$F$187,MATCH(C561,'Informacion del AEP'!$C$169:$C$187,0))))</f>
        <v>0</v>
      </c>
      <c r="N561" s="209">
        <f>INDEX('Precio Mayorista'!$D$76:$D$94,MATCH('Pagos Mayoristas'!C561,'Precio Mayorista'!$G$76:$G$94,0))*INDEX('Informacion del AEP'!$F$90:$AE$108,MATCH('Pagos Mayoristas'!C561,'Informacion del AEP'!$C$90:$C$108,0),MATCH('Pagos Mayoristas'!$C$556,'Informacion del AEP'!$F$89:$AE$89,0))</f>
        <v>0</v>
      </c>
    </row>
    <row r="562" spans="3:14" x14ac:dyDescent="0.25">
      <c r="C562" s="5" t="str">
        <f>IF(Supuestos!$B$53="","",Supuestos!$B$53)</f>
        <v>Originación voz off-net móvil LDN</v>
      </c>
      <c r="D562" s="78">
        <f>INDEX('Informacion del AEP'!$F$90:$AE$108,MATCH('Pagos Mayoristas'!$C562,'Informacion del AEP'!$C$90:$C$108,0),MATCH('Pagos Mayoristas'!C$556,'Informacion del AEP'!$F$89:$AE$89,0))*INDEX('Hoja Auxiliar'!$D$40:$D$58,MATCH('Pagos Mayoristas'!$C562,'Hoja Auxiliar'!$C$40:$C$58,0))</f>
        <v>10499999.999999998</v>
      </c>
      <c r="F562" s="238">
        <f>IF(C562="","",('Precio Mayorista'!$D$100*INDEX('Informacion del AEP'!$D$90:$AE$108,MATCH(C562,'Informacion del AEP'!$C$90:$C$108,0),MATCH($C$556,'Informacion del AEP'!$D$89:$AE$89,0))*INDEX('Informacion del AEP'!$F$169:$F$187,MATCH(C562,'Informacion del AEP'!$C$169:$C$187,0))))</f>
        <v>0</v>
      </c>
      <c r="N562" s="209">
        <f>INDEX('Precio Mayorista'!$D$76:$D$94,MATCH('Pagos Mayoristas'!C562,'Precio Mayorista'!$G$76:$G$94,0))*INDEX('Informacion del AEP'!$F$90:$AE$108,MATCH('Pagos Mayoristas'!C562,'Informacion del AEP'!$C$90:$C$108,0),MATCH('Pagos Mayoristas'!$C$556,'Informacion del AEP'!$F$89:$AE$89,0))</f>
        <v>14777349.999999998</v>
      </c>
    </row>
    <row r="563" spans="3:14" x14ac:dyDescent="0.25">
      <c r="C563" s="5" t="str">
        <f>IF(Supuestos!$B$54="","",Supuestos!$B$54)</f>
        <v>Originación voz off-net fijo LDN</v>
      </c>
      <c r="D563" s="78">
        <f>INDEX('Informacion del AEP'!$F$90:$AE$108,MATCH('Pagos Mayoristas'!$C563,'Informacion del AEP'!$C$90:$C$108,0),MATCH('Pagos Mayoristas'!C$556,'Informacion del AEP'!$F$89:$AE$89,0))*INDEX('Hoja Auxiliar'!$D$40:$D$58,MATCH('Pagos Mayoristas'!$C563,'Hoja Auxiliar'!$C$40:$C$58,0))</f>
        <v>3500000</v>
      </c>
      <c r="F563" s="238">
        <f>IF(C563="","",('Precio Mayorista'!$D$100*INDEX('Informacion del AEP'!$D$90:$AE$108,MATCH(C563,'Informacion del AEP'!$C$90:$C$108,0),MATCH($C$556,'Informacion del AEP'!$D$89:$AE$89,0))*INDEX('Informacion del AEP'!$F$169:$F$187,MATCH(C563,'Informacion del AEP'!$C$169:$C$187,0))))</f>
        <v>0</v>
      </c>
      <c r="N563" s="209">
        <f>INDEX('Precio Mayorista'!$D$76:$D$94,MATCH('Pagos Mayoristas'!C563,'Precio Mayorista'!$G$76:$G$94,0))*INDEX('Informacion del AEP'!$F$90:$AE$108,MATCH('Pagos Mayoristas'!C563,'Informacion del AEP'!$C$90:$C$108,0),MATCH('Pagos Mayoristas'!$C$556,'Informacion del AEP'!$F$89:$AE$89,0))</f>
        <v>390016.66666666669</v>
      </c>
    </row>
    <row r="564" spans="3:14" x14ac:dyDescent="0.25">
      <c r="C564" s="5" t="str">
        <f>IF(Supuestos!$B$55="","",Supuestos!$B$55)</f>
        <v>Originación voz internacional USA-Canadá</v>
      </c>
      <c r="D564" s="78">
        <f>INDEX('Informacion del AEP'!$F$90:$AE$108,MATCH('Pagos Mayoristas'!$C564,'Informacion del AEP'!$C$90:$C$108,0),MATCH('Pagos Mayoristas'!C$556,'Informacion del AEP'!$F$89:$AE$89,0))*INDEX('Hoja Auxiliar'!$D$40:$D$58,MATCH('Pagos Mayoristas'!$C564,'Hoja Auxiliar'!$C$40:$C$58,0))</f>
        <v>9099999.9999999981</v>
      </c>
      <c r="F564" s="238">
        <f>IF(C564="","",('Precio Mayorista'!$D$100*INDEX('Informacion del AEP'!$D$90:$AE$108,MATCH(C564,'Informacion del AEP'!$C$90:$C$108,0),MATCH($C$556,'Informacion del AEP'!$D$89:$AE$89,0))*INDEX('Informacion del AEP'!$F$169:$F$187,MATCH(C564,'Informacion del AEP'!$C$169:$C$187,0))))</f>
        <v>0</v>
      </c>
      <c r="N564" s="209">
        <f>INDEX('Precio Mayorista'!$D$76:$D$94,MATCH('Pagos Mayoristas'!C564,'Precio Mayorista'!$G$76:$G$94,0))*INDEX('Informacion del AEP'!$F$90:$AE$108,MATCH('Pagos Mayoristas'!C564,'Informacion del AEP'!$C$90:$C$108,0),MATCH('Pagos Mayoristas'!$C$556,'Informacion del AEP'!$F$89:$AE$89,0))</f>
        <v>15166666.666666666</v>
      </c>
    </row>
    <row r="565" spans="3:14" x14ac:dyDescent="0.25">
      <c r="C565" s="5" t="str">
        <f>IF(Supuestos!$B$56="","",Supuestos!$B$56)</f>
        <v>Originación voz internacional Mundial Centroamérica</v>
      </c>
      <c r="D565" s="78">
        <f>INDEX('Informacion del AEP'!$F$90:$AE$108,MATCH('Pagos Mayoristas'!$C565,'Informacion del AEP'!$C$90:$C$108,0),MATCH('Pagos Mayoristas'!C$556,'Informacion del AEP'!$F$89:$AE$89,0))*INDEX('Hoja Auxiliar'!$D$40:$D$58,MATCH('Pagos Mayoristas'!$C565,'Hoja Auxiliar'!$C$40:$C$58,0))</f>
        <v>21000</v>
      </c>
      <c r="F565" s="238">
        <f>IF(C565="","",('Precio Mayorista'!$D$100*INDEX('Informacion del AEP'!$D$90:$AE$108,MATCH(C565,'Informacion del AEP'!$C$90:$C$108,0),MATCH($C$556,'Informacion del AEP'!$D$89:$AE$89,0))*INDEX('Informacion del AEP'!$F$169:$F$187,MATCH(C565,'Informacion del AEP'!$C$169:$C$187,0))))</f>
        <v>0</v>
      </c>
      <c r="N565" s="209">
        <f>INDEX('Precio Mayorista'!$D$76:$D$94,MATCH('Pagos Mayoristas'!C565,'Precio Mayorista'!$G$76:$G$94,0))*INDEX('Informacion del AEP'!$F$90:$AE$108,MATCH('Pagos Mayoristas'!C565,'Informacion del AEP'!$C$90:$C$108,0),MATCH('Pagos Mayoristas'!$C$556,'Informacion del AEP'!$F$89:$AE$89,0))</f>
        <v>1750000</v>
      </c>
    </row>
    <row r="566" spans="3:14" x14ac:dyDescent="0.25">
      <c r="C566" s="5" t="str">
        <f>IF(Supuestos!$B$57="","",Supuestos!$B$57)</f>
        <v>Originación voz internacional Mundial LATAM y Caribe</v>
      </c>
      <c r="D566" s="78">
        <f>INDEX('Informacion del AEP'!$F$90:$AE$108,MATCH('Pagos Mayoristas'!$C566,'Informacion del AEP'!$C$90:$C$108,0),MATCH('Pagos Mayoristas'!C$556,'Informacion del AEP'!$F$89:$AE$89,0))*INDEX('Hoja Auxiliar'!$D$40:$D$58,MATCH('Pagos Mayoristas'!$C566,'Hoja Auxiliar'!$C$40:$C$58,0))</f>
        <v>1399.9999999999998</v>
      </c>
      <c r="F566" s="238">
        <f>IF(C566="","",('Precio Mayorista'!$D$100*INDEX('Informacion del AEP'!$D$90:$AE$108,MATCH(C566,'Informacion del AEP'!$C$90:$C$108,0),MATCH($C$556,'Informacion del AEP'!$D$89:$AE$89,0))*INDEX('Informacion del AEP'!$F$169:$F$187,MATCH(C566,'Informacion del AEP'!$C$169:$C$187,0))))</f>
        <v>0</v>
      </c>
      <c r="N566" s="209">
        <f>INDEX('Precio Mayorista'!$D$76:$D$94,MATCH('Pagos Mayoristas'!C566,'Precio Mayorista'!$G$76:$G$94,0))*INDEX('Informacion del AEP'!$F$90:$AE$108,MATCH('Pagos Mayoristas'!C566,'Informacion del AEP'!$C$90:$C$108,0),MATCH('Pagos Mayoristas'!$C$556,'Informacion del AEP'!$F$89:$AE$89,0))</f>
        <v>233333.33333333331</v>
      </c>
    </row>
    <row r="567" spans="3:14" x14ac:dyDescent="0.25">
      <c r="C567" s="5" t="str">
        <f>IF(Supuestos!$B$58="","",Supuestos!$B$58)</f>
        <v>Originación voz internacional Europa</v>
      </c>
      <c r="D567" s="78">
        <f>INDEX('Informacion del AEP'!$F$90:$AE$108,MATCH('Pagos Mayoristas'!$C567,'Informacion del AEP'!$C$90:$C$108,0),MATCH('Pagos Mayoristas'!C$556,'Informacion del AEP'!$F$89:$AE$89,0))*INDEX('Hoja Auxiliar'!$D$40:$D$58,MATCH('Pagos Mayoristas'!$C567,'Hoja Auxiliar'!$C$40:$C$58,0))</f>
        <v>0</v>
      </c>
      <c r="F567" s="238">
        <f>IF(C567="","",('Precio Mayorista'!$D$100*INDEX('Informacion del AEP'!$D$90:$AE$108,MATCH(C567,'Informacion del AEP'!$C$90:$C$108,0),MATCH($C$556,'Informacion del AEP'!$D$89:$AE$89,0))*INDEX('Informacion del AEP'!$F$169:$F$187,MATCH(C567,'Informacion del AEP'!$C$169:$C$187,0))))</f>
        <v>0</v>
      </c>
      <c r="N567" s="209">
        <f>INDEX('Precio Mayorista'!$D$76:$D$94,MATCH('Pagos Mayoristas'!C567,'Precio Mayorista'!$G$76:$G$94,0))*INDEX('Informacion del AEP'!$F$90:$AE$108,MATCH('Pagos Mayoristas'!C567,'Informacion del AEP'!$C$90:$C$108,0),MATCH('Pagos Mayoristas'!$C$556,'Informacion del AEP'!$F$89:$AE$89,0))</f>
        <v>0</v>
      </c>
    </row>
    <row r="568" spans="3:14" x14ac:dyDescent="0.25">
      <c r="C568" s="5" t="str">
        <f>IF(Supuestos!$B$59="","",Supuestos!$B$59)</f>
        <v>Originación voz internacional Mundial Otros geográficos</v>
      </c>
      <c r="D568" s="78">
        <f>INDEX('Informacion del AEP'!$F$90:$AE$108,MATCH('Pagos Mayoristas'!$C568,'Informacion del AEP'!$C$90:$C$108,0),MATCH('Pagos Mayoristas'!C$556,'Informacion del AEP'!$F$89:$AE$89,0))*INDEX('Hoja Auxiliar'!$D$40:$D$58,MATCH('Pagos Mayoristas'!$C568,'Hoja Auxiliar'!$C$40:$C$58,0))</f>
        <v>70000</v>
      </c>
      <c r="F568" s="238">
        <f>IF(C568="","",('Precio Mayorista'!$D$100*INDEX('Informacion del AEP'!$D$90:$AE$108,MATCH(C568,'Informacion del AEP'!$C$90:$C$108,0),MATCH($C$556,'Informacion del AEP'!$D$89:$AE$89,0))*INDEX('Informacion del AEP'!$F$169:$F$187,MATCH(C568,'Informacion del AEP'!$C$169:$C$187,0))))</f>
        <v>0</v>
      </c>
      <c r="N568" s="209">
        <f>INDEX('Precio Mayorista'!$D$76:$D$94,MATCH('Pagos Mayoristas'!C568,'Precio Mayorista'!$G$76:$G$94,0))*INDEX('Informacion del AEP'!$F$90:$AE$108,MATCH('Pagos Mayoristas'!C568,'Informacion del AEP'!$C$90:$C$108,0),MATCH('Pagos Mayoristas'!$C$556,'Informacion del AEP'!$F$89:$AE$89,0))</f>
        <v>11666666.666666668</v>
      </c>
    </row>
    <row r="569" spans="3:14" x14ac:dyDescent="0.25">
      <c r="C569" s="5" t="str">
        <f>IF(Supuestos!$B$60="","",Supuestos!$B$60)</f>
        <v>Originación voz internacional Cuba</v>
      </c>
      <c r="D569" s="78">
        <f>INDEX('Informacion del AEP'!$F$90:$AE$108,MATCH('Pagos Mayoristas'!$C569,'Informacion del AEP'!$C$90:$C$108,0),MATCH('Pagos Mayoristas'!C$556,'Informacion del AEP'!$F$89:$AE$89,0))*INDEX('Hoja Auxiliar'!$D$40:$D$58,MATCH('Pagos Mayoristas'!$C569,'Hoja Auxiliar'!$C$40:$C$58,0))</f>
        <v>3500</v>
      </c>
      <c r="F569" s="238">
        <f>IF(C569="","",('Precio Mayorista'!$D$100*INDEX('Informacion del AEP'!$D$90:$AE$108,MATCH(C569,'Informacion del AEP'!$C$90:$C$108,0),MATCH($C$556,'Informacion del AEP'!$D$89:$AE$89,0))*INDEX('Informacion del AEP'!$F$169:$F$187,MATCH(C569,'Informacion del AEP'!$C$169:$C$187,0))))</f>
        <v>0</v>
      </c>
      <c r="N569" s="209">
        <f>INDEX('Precio Mayorista'!$D$76:$D$94,MATCH('Pagos Mayoristas'!C569,'Precio Mayorista'!$G$76:$G$94,0))*INDEX('Informacion del AEP'!$F$90:$AE$108,MATCH('Pagos Mayoristas'!C569,'Informacion del AEP'!$C$90:$C$108,0),MATCH('Pagos Mayoristas'!$C$556,'Informacion del AEP'!$F$89:$AE$89,0))</f>
        <v>1750000</v>
      </c>
    </row>
    <row r="570" spans="3:14" x14ac:dyDescent="0.25">
      <c r="C570" s="5" t="str">
        <f>IF(Supuestos!$B$61="","",Supuestos!$B$61)</f>
        <v>Originación voz Mundial destinos no geográficos</v>
      </c>
      <c r="D570" s="78">
        <f>INDEX('Informacion del AEP'!$F$90:$AE$108,MATCH('Pagos Mayoristas'!$C570,'Informacion del AEP'!$C$90:$C$108,0),MATCH('Pagos Mayoristas'!C$556,'Informacion del AEP'!$F$89:$AE$89,0))*INDEX('Hoja Auxiliar'!$D$40:$D$58,MATCH('Pagos Mayoristas'!$C570,'Hoja Auxiliar'!$C$40:$C$58,0))</f>
        <v>0</v>
      </c>
      <c r="F570" s="238">
        <f>IF(C570="","",('Precio Mayorista'!$D$100*INDEX('Informacion del AEP'!$D$90:$AE$108,MATCH(C570,'Informacion del AEP'!$C$90:$C$108,0),MATCH($C$556,'Informacion del AEP'!$D$89:$AE$89,0))*INDEX('Informacion del AEP'!$F$169:$F$187,MATCH(C570,'Informacion del AEP'!$C$169:$C$187,0))))</f>
        <v>0</v>
      </c>
      <c r="N570" s="209">
        <f>INDEX('Precio Mayorista'!$D$76:$D$94,MATCH('Pagos Mayoristas'!C570,'Precio Mayorista'!$G$76:$G$94,0))*INDEX('Informacion del AEP'!$F$90:$AE$108,MATCH('Pagos Mayoristas'!C570,'Informacion del AEP'!$C$90:$C$108,0),MATCH('Pagos Mayoristas'!$C$556,'Informacion del AEP'!$F$89:$AE$89,0))</f>
        <v>0</v>
      </c>
    </row>
    <row r="571" spans="3:14" x14ac:dyDescent="0.25">
      <c r="C571" s="5" t="str">
        <f>IF(Supuestos!$B$62="","",Supuestos!$B$62)</f>
        <v>Originación SMS on-net</v>
      </c>
      <c r="D571" s="78">
        <f>INDEX('Informacion del AEP'!$F$90:$AE$108,MATCH('Pagos Mayoristas'!$C571,'Informacion del AEP'!$C$90:$C$108,0),MATCH('Pagos Mayoristas'!C$556,'Informacion del AEP'!$F$89:$AE$89,0))*INDEX('Hoja Auxiliar'!$D$40:$D$58,MATCH('Pagos Mayoristas'!$C571,'Hoja Auxiliar'!$C$40:$C$58,0))</f>
        <v>7000000</v>
      </c>
      <c r="F571" s="238">
        <f>IF(C571="","",('Precio Mayorista'!$D$100*INDEX('Informacion del AEP'!$D$90:$AE$108,MATCH(C571,'Informacion del AEP'!$C$90:$C$108,0),MATCH($C$556,'Informacion del AEP'!$D$89:$AE$89,0))*INDEX('Informacion del AEP'!$F$169:$F$187,MATCH(C571,'Informacion del AEP'!$C$169:$C$187,0))))</f>
        <v>0</v>
      </c>
      <c r="N571" s="209">
        <f>INDEX('Precio Mayorista'!$D$76:$D$94,MATCH('Pagos Mayoristas'!C571,'Precio Mayorista'!$G$76:$G$94,0))*INDEX('Informacion del AEP'!$F$90:$AE$108,MATCH('Pagos Mayoristas'!C571,'Informacion del AEP'!$C$90:$C$108,0),MATCH('Pagos Mayoristas'!$C$556,'Informacion del AEP'!$F$89:$AE$89,0))</f>
        <v>0</v>
      </c>
    </row>
    <row r="572" spans="3:14" x14ac:dyDescent="0.25">
      <c r="C572" s="5" t="str">
        <f>IF(Supuestos!$B$63="","",Supuestos!$B$63)</f>
        <v>Originación SMS - off-net nacional</v>
      </c>
      <c r="D572" s="78">
        <f>INDEX('Informacion del AEP'!$F$90:$AE$108,MATCH('Pagos Mayoristas'!$C572,'Informacion del AEP'!$C$90:$C$108,0),MATCH('Pagos Mayoristas'!C$556,'Informacion del AEP'!$F$89:$AE$89,0))*INDEX('Hoja Auxiliar'!$D$40:$D$58,MATCH('Pagos Mayoristas'!$C572,'Hoja Auxiliar'!$C$40:$C$58,0))</f>
        <v>1750000</v>
      </c>
      <c r="F572" s="238">
        <f>IF(C572="","",('Precio Mayorista'!$D$100*INDEX('Informacion del AEP'!$D$90:$AE$108,MATCH(C572,'Informacion del AEP'!$C$90:$C$108,0),MATCH($C$556,'Informacion del AEP'!$D$89:$AE$89,0))*INDEX('Informacion del AEP'!$F$169:$F$187,MATCH(C572,'Informacion del AEP'!$C$169:$C$187,0))))</f>
        <v>0</v>
      </c>
      <c r="N572" s="209">
        <f>INDEX('Precio Mayorista'!$D$76:$D$94,MATCH('Pagos Mayoristas'!C572,'Precio Mayorista'!$G$76:$G$94,0))*INDEX('Informacion del AEP'!$F$90:$AE$108,MATCH('Pagos Mayoristas'!C572,'Informacion del AEP'!$C$90:$C$108,0),MATCH('Pagos Mayoristas'!$C$556,'Informacion del AEP'!$F$89:$AE$89,0))</f>
        <v>1081733.3333333335</v>
      </c>
    </row>
    <row r="573" spans="3:14" x14ac:dyDescent="0.25">
      <c r="C573" s="5" t="str">
        <f>IF(Supuestos!$B$64="","",Supuestos!$B$64)</f>
        <v>Originación SMS internacional (USA-Canadá)</v>
      </c>
      <c r="D573" s="78">
        <f>INDEX('Informacion del AEP'!$F$90:$AE$108,MATCH('Pagos Mayoristas'!$C573,'Informacion del AEP'!$C$90:$C$108,0),MATCH('Pagos Mayoristas'!C$556,'Informacion del AEP'!$F$89:$AE$89,0))*INDEX('Hoja Auxiliar'!$D$40:$D$58,MATCH('Pagos Mayoristas'!$C573,'Hoja Auxiliar'!$C$40:$C$58,0))</f>
        <v>349999.99999999994</v>
      </c>
      <c r="F573" s="238">
        <f>IF(C573="","",('Precio Mayorista'!$D$100*INDEX('Informacion del AEP'!$D$90:$AE$108,MATCH(C573,'Informacion del AEP'!$C$90:$C$108,0),MATCH($C$556,'Informacion del AEP'!$D$89:$AE$89,0))*INDEX('Informacion del AEP'!$F$169:$F$187,MATCH(C573,'Informacion del AEP'!$C$169:$C$187,0))))</f>
        <v>0</v>
      </c>
      <c r="N573" s="209">
        <f>INDEX('Precio Mayorista'!$D$76:$D$94,MATCH('Pagos Mayoristas'!C573,'Precio Mayorista'!$G$76:$G$94,0))*INDEX('Informacion del AEP'!$F$90:$AE$108,MATCH('Pagos Mayoristas'!C573,'Informacion del AEP'!$C$90:$C$108,0),MATCH('Pagos Mayoristas'!$C$556,'Informacion del AEP'!$F$89:$AE$89,0))</f>
        <v>11666666.666666666</v>
      </c>
    </row>
    <row r="574" spans="3:14" x14ac:dyDescent="0.25">
      <c r="C574" s="5" t="str">
        <f>IF(Supuestos!$B$65="","",Supuestos!$B$65)</f>
        <v>Originación SMS internacional (Resto del Mundo)</v>
      </c>
      <c r="D574" s="78">
        <f>INDEX('Informacion del AEP'!$F$90:$AE$108,MATCH('Pagos Mayoristas'!$C574,'Informacion del AEP'!$C$90:$C$108,0),MATCH('Pagos Mayoristas'!C$556,'Informacion del AEP'!$F$89:$AE$89,0))*INDEX('Hoja Auxiliar'!$D$40:$D$58,MATCH('Pagos Mayoristas'!$C574,'Hoja Auxiliar'!$C$40:$C$58,0))</f>
        <v>35000</v>
      </c>
      <c r="F574" s="238">
        <f>IF(C574="","",('Precio Mayorista'!$D$100*INDEX('Informacion del AEP'!$D$90:$AE$108,MATCH(C574,'Informacion del AEP'!$C$90:$C$108,0),MATCH($C$556,'Informacion del AEP'!$D$89:$AE$89,0))*INDEX('Informacion del AEP'!$F$169:$F$187,MATCH(C574,'Informacion del AEP'!$C$169:$C$187,0))))</f>
        <v>0</v>
      </c>
      <c r="N574" s="209">
        <f>INDEX('Precio Mayorista'!$D$76:$D$94,MATCH('Pagos Mayoristas'!C574,'Precio Mayorista'!$G$76:$G$94,0))*INDEX('Informacion del AEP'!$F$90:$AE$108,MATCH('Pagos Mayoristas'!C574,'Informacion del AEP'!$C$90:$C$108,0),MATCH('Pagos Mayoristas'!$C$556,'Informacion del AEP'!$F$89:$AE$89,0))</f>
        <v>1750000</v>
      </c>
    </row>
    <row r="575" spans="3:14" x14ac:dyDescent="0.25">
      <c r="C575" s="5" t="str">
        <f>IF(Supuestos!$B$66="","",Supuestos!$B$66)</f>
        <v>Otros servicios (incluyendo marcaciones especiales)</v>
      </c>
      <c r="D575" s="78">
        <f>INDEX('Informacion del AEP'!$F$90:$AE$108,MATCH('Pagos Mayoristas'!$C575,'Informacion del AEP'!$C$90:$C$108,0),MATCH('Pagos Mayoristas'!C$556,'Informacion del AEP'!$F$89:$AE$89,0))*INDEX('Hoja Auxiliar'!$D$40:$D$58,MATCH('Pagos Mayoristas'!$C575,'Hoja Auxiliar'!$C$40:$C$58,0))</f>
        <v>35000000</v>
      </c>
      <c r="F575" s="238">
        <f>IF(C575="","",('Precio Mayorista'!$D$100*INDEX('Informacion del AEP'!$D$90:$AE$108,MATCH(C575,'Informacion del AEP'!$C$90:$C$108,0),MATCH($C$556,'Informacion del AEP'!$D$89:$AE$89,0))*INDEX('Informacion del AEP'!$F$169:$F$187,MATCH(C575,'Informacion del AEP'!$C$169:$C$187,0))))</f>
        <v>0</v>
      </c>
      <c r="N575" s="209">
        <f>INDEX('Precio Mayorista'!$D$76:$D$94,MATCH('Pagos Mayoristas'!C575,'Precio Mayorista'!$G$76:$G$94,0))*INDEX('Informacion del AEP'!$F$90:$AE$108,MATCH('Pagos Mayoristas'!C575,'Informacion del AEP'!$C$90:$C$108,0),MATCH('Pagos Mayoristas'!$C$556,'Informacion del AEP'!$F$89:$AE$89,0))</f>
        <v>0</v>
      </c>
    </row>
    <row r="582" spans="3:15" ht="13" x14ac:dyDescent="0.3">
      <c r="C582" s="74" t="str">
        <f>Supuestos!$B$97</f>
        <v>Telcel Pospago 23</v>
      </c>
      <c r="D582" s="77">
        <f>SUM(D583:D601)</f>
        <v>559664233.33333325</v>
      </c>
      <c r="E582" s="75"/>
      <c r="F582" s="77">
        <f>SUM(F583:F601)</f>
        <v>0</v>
      </c>
      <c r="G582" s="75"/>
      <c r="H582" s="77"/>
      <c r="I582" s="77">
        <f>INDEX('Informacion del AEP'!$H$31:$H$84,MATCH('Pagos Mayoristas'!C582,'Informacion del AEP'!$C$31:$C$84,0))*'Hoja Auxiliar'!$D$61</f>
        <v>215265</v>
      </c>
      <c r="J582" s="4"/>
      <c r="K582" s="77"/>
      <c r="L582" s="204">
        <f>$L$10*(INDEX('Informacion del AEP'!$F$12:$AE$12,MATCH('Pagos Mayoristas'!C582,'Informacion del AEP'!$F$11:$AE$11,0))/INDEX('Informacion del AEP'!$F$12:$AE$12,MATCH('Pagos Mayoristas'!$C$10,'Informacion del AEP'!$F$11:$AE$11,0)))</f>
        <v>81827.309257028144</v>
      </c>
      <c r="M582" s="204"/>
      <c r="N582" s="77">
        <f>SUM(N583:N601)</f>
        <v>80715600</v>
      </c>
      <c r="O582" s="204">
        <f>SUM(D582:N582)</f>
        <v>640676925.64259028</v>
      </c>
    </row>
    <row r="583" spans="3:15" x14ac:dyDescent="0.25">
      <c r="C583" s="5" t="str">
        <f>IF(Supuestos!$B$48="","",Supuestos!$B$48)</f>
        <v>Datos</v>
      </c>
      <c r="D583" s="78">
        <f>INDEX('Informacion del AEP'!$F$90:$AE$108,MATCH('Pagos Mayoristas'!$C583,'Informacion del AEP'!$C$90:$C$108,0),MATCH('Pagos Mayoristas'!C$582,'Informacion del AEP'!$F$89:$AE$89,0))*INDEX('Hoja Auxiliar'!$D$40:$D$58,MATCH('Pagos Mayoristas'!$C583,'Hoja Auxiliar'!$C$40:$C$58,0))</f>
        <v>296333333.33333331</v>
      </c>
      <c r="F583" s="238">
        <f>IF(C583="","",('Precio Mayorista'!$D$100*INDEX('Informacion del AEP'!$D$90:$AE$108,MATCH(C583,'Informacion del AEP'!$C$90:$C$108,0),MATCH($C$582,'Informacion del AEP'!$D$89:$AE$89,0))*INDEX('Informacion del AEP'!$F$169:$F$187,MATCH(C583,'Informacion del AEP'!$C$169:$C$187,0))))</f>
        <v>0</v>
      </c>
      <c r="N583" s="209">
        <f>INDEX('Precio Mayorista'!$D$76:$D$94,MATCH('Pagos Mayoristas'!C583,'Precio Mayorista'!$G$76:$G$94,0))*INDEX('Informacion del AEP'!$F$90:$AE$108,MATCH('Pagos Mayoristas'!C583,'Informacion del AEP'!$C$90:$C$108,0),MATCH('Pagos Mayoristas'!$C$582,'Informacion del AEP'!$F$89:$AE$89,0))</f>
        <v>0</v>
      </c>
    </row>
    <row r="584" spans="3:15" x14ac:dyDescent="0.25">
      <c r="C584" s="5" t="str">
        <f>IF(Supuestos!$B$49="","",Supuestos!$B$49)</f>
        <v>Originación voz on-net local</v>
      </c>
      <c r="D584" s="78">
        <f>INDEX('Informacion del AEP'!$F$90:$AE$108,MATCH('Pagos Mayoristas'!$C584,'Informacion del AEP'!$C$90:$C$108,0),MATCH('Pagos Mayoristas'!C$582,'Informacion del AEP'!$F$89:$AE$89,0))*INDEX('Hoja Auxiliar'!$D$40:$D$58,MATCH('Pagos Mayoristas'!$C584,'Hoja Auxiliar'!$C$40:$C$58,0))</f>
        <v>70000000</v>
      </c>
      <c r="F584" s="238">
        <f>IF(C584="","",('Precio Mayorista'!$D$100*INDEX('Informacion del AEP'!$D$90:$AE$108,MATCH(C584,'Informacion del AEP'!$C$90:$C$108,0),MATCH($C$582,'Informacion del AEP'!$D$89:$AE$89,0))*INDEX('Informacion del AEP'!$F$169:$F$187,MATCH(C584,'Informacion del AEP'!$C$169:$C$187,0))))</f>
        <v>0</v>
      </c>
      <c r="N584" s="209">
        <f>INDEX('Precio Mayorista'!$D$76:$D$94,MATCH('Pagos Mayoristas'!C584,'Precio Mayorista'!$G$76:$G$94,0))*INDEX('Informacion del AEP'!$F$90:$AE$108,MATCH('Pagos Mayoristas'!C584,'Informacion del AEP'!$C$90:$C$108,0),MATCH('Pagos Mayoristas'!$C$582,'Informacion del AEP'!$F$89:$AE$89,0))</f>
        <v>0</v>
      </c>
    </row>
    <row r="585" spans="3:15" x14ac:dyDescent="0.25">
      <c r="C585" s="5" t="str">
        <f>IF(Supuestos!$B$50="","",Supuestos!$B$50)</f>
        <v>Originación voz off-net móvil local</v>
      </c>
      <c r="D585" s="78">
        <f>INDEX('Informacion del AEP'!$F$90:$AE$108,MATCH('Pagos Mayoristas'!$C585,'Informacion del AEP'!$C$90:$C$108,0),MATCH('Pagos Mayoristas'!C$582,'Informacion del AEP'!$F$89:$AE$89,0))*INDEX('Hoja Auxiliar'!$D$40:$D$58,MATCH('Pagos Mayoristas'!$C585,'Hoja Auxiliar'!$C$40:$C$58,0))</f>
        <v>14000000</v>
      </c>
      <c r="F585" s="238">
        <f>IF(C585="","",('Precio Mayorista'!$D$100*INDEX('Informacion del AEP'!$D$90:$AE$108,MATCH(C585,'Informacion del AEP'!$C$90:$C$108,0),MATCH($C$582,'Informacion del AEP'!$D$89:$AE$89,0))*INDEX('Informacion del AEP'!$F$169:$F$187,MATCH(C585,'Informacion del AEP'!$C$169:$C$187,0))))</f>
        <v>0</v>
      </c>
      <c r="N585" s="209">
        <f>INDEX('Precio Mayorista'!$D$76:$D$94,MATCH('Pagos Mayoristas'!C585,'Precio Mayorista'!$G$76:$G$94,0))*INDEX('Informacion del AEP'!$F$90:$AE$108,MATCH('Pagos Mayoristas'!C585,'Informacion del AEP'!$C$90:$C$108,0),MATCH('Pagos Mayoristas'!$C$582,'Informacion del AEP'!$F$89:$AE$89,0))</f>
        <v>19703133.333333336</v>
      </c>
    </row>
    <row r="586" spans="3:15" x14ac:dyDescent="0.25">
      <c r="C586" s="5" t="str">
        <f>IF(Supuestos!$B$51="","",Supuestos!$B$51)</f>
        <v>Originación voz off-net fijo local</v>
      </c>
      <c r="D586" s="78">
        <f>INDEX('Informacion del AEP'!$F$90:$AE$108,MATCH('Pagos Mayoristas'!$C586,'Informacion del AEP'!$C$90:$C$108,0),MATCH('Pagos Mayoristas'!C$582,'Informacion del AEP'!$F$89:$AE$89,0))*INDEX('Hoja Auxiliar'!$D$40:$D$58,MATCH('Pagos Mayoristas'!$C586,'Hoja Auxiliar'!$C$40:$C$58,0))</f>
        <v>7000000</v>
      </c>
      <c r="F586" s="238">
        <f>IF(C586="","",('Precio Mayorista'!$D$100*INDEX('Informacion del AEP'!$D$90:$AE$108,MATCH(C586,'Informacion del AEP'!$C$90:$C$108,0),MATCH($C$582,'Informacion del AEP'!$D$89:$AE$89,0))*INDEX('Informacion del AEP'!$F$169:$F$187,MATCH(C586,'Informacion del AEP'!$C$169:$C$187,0))))</f>
        <v>0</v>
      </c>
      <c r="N586" s="209">
        <f>INDEX('Precio Mayorista'!$D$76:$D$94,MATCH('Pagos Mayoristas'!C586,'Precio Mayorista'!$G$76:$G$94,0))*INDEX('Informacion del AEP'!$F$90:$AE$108,MATCH('Pagos Mayoristas'!C586,'Informacion del AEP'!$C$90:$C$108,0),MATCH('Pagos Mayoristas'!$C$582,'Informacion del AEP'!$F$89:$AE$89,0))</f>
        <v>780033.33333333337</v>
      </c>
    </row>
    <row r="587" spans="3:15" x14ac:dyDescent="0.25">
      <c r="C587" s="5" t="str">
        <f>IF(Supuestos!$B$52="","",Supuestos!$B$52)</f>
        <v>Originación voz on-net LDN</v>
      </c>
      <c r="D587" s="78">
        <f>INDEX('Informacion del AEP'!$F$90:$AE$108,MATCH('Pagos Mayoristas'!$C587,'Informacion del AEP'!$C$90:$C$108,0),MATCH('Pagos Mayoristas'!C$582,'Informacion del AEP'!$F$89:$AE$89,0))*INDEX('Hoja Auxiliar'!$D$40:$D$58,MATCH('Pagos Mayoristas'!$C587,'Hoja Auxiliar'!$C$40:$C$58,0))</f>
        <v>105000000</v>
      </c>
      <c r="F587" s="238">
        <f>IF(C587="","",('Precio Mayorista'!$D$100*INDEX('Informacion del AEP'!$D$90:$AE$108,MATCH(C587,'Informacion del AEP'!$C$90:$C$108,0),MATCH($C$582,'Informacion del AEP'!$D$89:$AE$89,0))*INDEX('Informacion del AEP'!$F$169:$F$187,MATCH(C587,'Informacion del AEP'!$C$169:$C$187,0))))</f>
        <v>0</v>
      </c>
      <c r="N587" s="209">
        <f>INDEX('Precio Mayorista'!$D$76:$D$94,MATCH('Pagos Mayoristas'!C587,'Precio Mayorista'!$G$76:$G$94,0))*INDEX('Informacion del AEP'!$F$90:$AE$108,MATCH('Pagos Mayoristas'!C587,'Informacion del AEP'!$C$90:$C$108,0),MATCH('Pagos Mayoristas'!$C$582,'Informacion del AEP'!$F$89:$AE$89,0))</f>
        <v>0</v>
      </c>
    </row>
    <row r="588" spans="3:15" x14ac:dyDescent="0.25">
      <c r="C588" s="5" t="str">
        <f>IF(Supuestos!$B$53="","",Supuestos!$B$53)</f>
        <v>Originación voz off-net móvil LDN</v>
      </c>
      <c r="D588" s="78">
        <f>INDEX('Informacion del AEP'!$F$90:$AE$108,MATCH('Pagos Mayoristas'!$C588,'Informacion del AEP'!$C$90:$C$108,0),MATCH('Pagos Mayoristas'!C$582,'Informacion del AEP'!$F$89:$AE$89,0))*INDEX('Hoja Auxiliar'!$D$40:$D$58,MATCH('Pagos Mayoristas'!$C588,'Hoja Auxiliar'!$C$40:$C$58,0))</f>
        <v>10499999.999999998</v>
      </c>
      <c r="F588" s="238">
        <f>IF(C588="","",('Precio Mayorista'!$D$100*INDEX('Informacion del AEP'!$D$90:$AE$108,MATCH(C588,'Informacion del AEP'!$C$90:$C$108,0),MATCH($C$582,'Informacion del AEP'!$D$89:$AE$89,0))*INDEX('Informacion del AEP'!$F$169:$F$187,MATCH(C588,'Informacion del AEP'!$C$169:$C$187,0))))</f>
        <v>0</v>
      </c>
      <c r="N588" s="209">
        <f>INDEX('Precio Mayorista'!$D$76:$D$94,MATCH('Pagos Mayoristas'!C588,'Precio Mayorista'!$G$76:$G$94,0))*INDEX('Informacion del AEP'!$F$90:$AE$108,MATCH('Pagos Mayoristas'!C588,'Informacion del AEP'!$C$90:$C$108,0),MATCH('Pagos Mayoristas'!$C$582,'Informacion del AEP'!$F$89:$AE$89,0))</f>
        <v>14777349.999999998</v>
      </c>
    </row>
    <row r="589" spans="3:15" x14ac:dyDescent="0.25">
      <c r="C589" s="5" t="str">
        <f>IF(Supuestos!$B$54="","",Supuestos!$B$54)</f>
        <v>Originación voz off-net fijo LDN</v>
      </c>
      <c r="D589" s="78">
        <f>INDEX('Informacion del AEP'!$F$90:$AE$108,MATCH('Pagos Mayoristas'!$C589,'Informacion del AEP'!$C$90:$C$108,0),MATCH('Pagos Mayoristas'!C$582,'Informacion del AEP'!$F$89:$AE$89,0))*INDEX('Hoja Auxiliar'!$D$40:$D$58,MATCH('Pagos Mayoristas'!$C589,'Hoja Auxiliar'!$C$40:$C$58,0))</f>
        <v>3500000</v>
      </c>
      <c r="F589" s="238">
        <f>IF(C589="","",('Precio Mayorista'!$D$100*INDEX('Informacion del AEP'!$D$90:$AE$108,MATCH(C589,'Informacion del AEP'!$C$90:$C$108,0),MATCH($C$582,'Informacion del AEP'!$D$89:$AE$89,0))*INDEX('Informacion del AEP'!$F$169:$F$187,MATCH(C589,'Informacion del AEP'!$C$169:$C$187,0))))</f>
        <v>0</v>
      </c>
      <c r="N589" s="209">
        <f>INDEX('Precio Mayorista'!$D$76:$D$94,MATCH('Pagos Mayoristas'!C589,'Precio Mayorista'!$G$76:$G$94,0))*INDEX('Informacion del AEP'!$F$90:$AE$108,MATCH('Pagos Mayoristas'!C589,'Informacion del AEP'!$C$90:$C$108,0),MATCH('Pagos Mayoristas'!$C$582,'Informacion del AEP'!$F$89:$AE$89,0))</f>
        <v>390016.66666666669</v>
      </c>
    </row>
    <row r="590" spans="3:15" x14ac:dyDescent="0.25">
      <c r="C590" s="5" t="str">
        <f>IF(Supuestos!$B$55="","",Supuestos!$B$55)</f>
        <v>Originación voz internacional USA-Canadá</v>
      </c>
      <c r="D590" s="78">
        <f>INDEX('Informacion del AEP'!$F$90:$AE$108,MATCH('Pagos Mayoristas'!$C590,'Informacion del AEP'!$C$90:$C$108,0),MATCH('Pagos Mayoristas'!C$582,'Informacion del AEP'!$F$89:$AE$89,0))*INDEX('Hoja Auxiliar'!$D$40:$D$58,MATCH('Pagos Mayoristas'!$C590,'Hoja Auxiliar'!$C$40:$C$58,0))</f>
        <v>9099999.9999999981</v>
      </c>
      <c r="F590" s="238">
        <f>IF(C590="","",('Precio Mayorista'!$D$100*INDEX('Informacion del AEP'!$D$90:$AE$108,MATCH(C590,'Informacion del AEP'!$C$90:$C$108,0),MATCH($C$582,'Informacion del AEP'!$D$89:$AE$89,0))*INDEX('Informacion del AEP'!$F$169:$F$187,MATCH(C590,'Informacion del AEP'!$C$169:$C$187,0))))</f>
        <v>0</v>
      </c>
      <c r="N590" s="209">
        <f>INDEX('Precio Mayorista'!$D$76:$D$94,MATCH('Pagos Mayoristas'!C590,'Precio Mayorista'!$G$76:$G$94,0))*INDEX('Informacion del AEP'!$F$90:$AE$108,MATCH('Pagos Mayoristas'!C590,'Informacion del AEP'!$C$90:$C$108,0),MATCH('Pagos Mayoristas'!$C$582,'Informacion del AEP'!$F$89:$AE$89,0))</f>
        <v>15166666.666666666</v>
      </c>
    </row>
    <row r="591" spans="3:15" x14ac:dyDescent="0.25">
      <c r="C591" s="5" t="str">
        <f>IF(Supuestos!$B$56="","",Supuestos!$B$56)</f>
        <v>Originación voz internacional Mundial Centroamérica</v>
      </c>
      <c r="D591" s="78">
        <f>INDEX('Informacion del AEP'!$F$90:$AE$108,MATCH('Pagos Mayoristas'!$C591,'Informacion del AEP'!$C$90:$C$108,0),MATCH('Pagos Mayoristas'!C$582,'Informacion del AEP'!$F$89:$AE$89,0))*INDEX('Hoja Auxiliar'!$D$40:$D$58,MATCH('Pagos Mayoristas'!$C591,'Hoja Auxiliar'!$C$40:$C$58,0))</f>
        <v>21000</v>
      </c>
      <c r="F591" s="238">
        <f>IF(C591="","",('Precio Mayorista'!$D$100*INDEX('Informacion del AEP'!$D$90:$AE$108,MATCH(C591,'Informacion del AEP'!$C$90:$C$108,0),MATCH($C$582,'Informacion del AEP'!$D$89:$AE$89,0))*INDEX('Informacion del AEP'!$F$169:$F$187,MATCH(C591,'Informacion del AEP'!$C$169:$C$187,0))))</f>
        <v>0</v>
      </c>
      <c r="N591" s="209">
        <f>INDEX('Precio Mayorista'!$D$76:$D$94,MATCH('Pagos Mayoristas'!C591,'Precio Mayorista'!$G$76:$G$94,0))*INDEX('Informacion del AEP'!$F$90:$AE$108,MATCH('Pagos Mayoristas'!C591,'Informacion del AEP'!$C$90:$C$108,0),MATCH('Pagos Mayoristas'!$C$582,'Informacion del AEP'!$F$89:$AE$89,0))</f>
        <v>1750000</v>
      </c>
    </row>
    <row r="592" spans="3:15" x14ac:dyDescent="0.25">
      <c r="C592" s="5" t="str">
        <f>IF(Supuestos!$B$57="","",Supuestos!$B$57)</f>
        <v>Originación voz internacional Mundial LATAM y Caribe</v>
      </c>
      <c r="D592" s="78">
        <f>INDEX('Informacion del AEP'!$F$90:$AE$108,MATCH('Pagos Mayoristas'!$C592,'Informacion del AEP'!$C$90:$C$108,0),MATCH('Pagos Mayoristas'!C$582,'Informacion del AEP'!$F$89:$AE$89,0))*INDEX('Hoja Auxiliar'!$D$40:$D$58,MATCH('Pagos Mayoristas'!$C592,'Hoja Auxiliar'!$C$40:$C$58,0))</f>
        <v>1399.9999999999998</v>
      </c>
      <c r="F592" s="238">
        <f>IF(C592="","",('Precio Mayorista'!$D$100*INDEX('Informacion del AEP'!$D$90:$AE$108,MATCH(C592,'Informacion del AEP'!$C$90:$C$108,0),MATCH($C$582,'Informacion del AEP'!$D$89:$AE$89,0))*INDEX('Informacion del AEP'!$F$169:$F$187,MATCH(C592,'Informacion del AEP'!$C$169:$C$187,0))))</f>
        <v>0</v>
      </c>
      <c r="N592" s="209">
        <f>INDEX('Precio Mayorista'!$D$76:$D$94,MATCH('Pagos Mayoristas'!C592,'Precio Mayorista'!$G$76:$G$94,0))*INDEX('Informacion del AEP'!$F$90:$AE$108,MATCH('Pagos Mayoristas'!C592,'Informacion del AEP'!$C$90:$C$108,0),MATCH('Pagos Mayoristas'!$C$582,'Informacion del AEP'!$F$89:$AE$89,0))</f>
        <v>233333.33333333331</v>
      </c>
    </row>
    <row r="593" spans="3:15" x14ac:dyDescent="0.25">
      <c r="C593" s="5" t="str">
        <f>IF(Supuestos!$B$58="","",Supuestos!$B$58)</f>
        <v>Originación voz internacional Europa</v>
      </c>
      <c r="D593" s="78">
        <f>INDEX('Informacion del AEP'!$F$90:$AE$108,MATCH('Pagos Mayoristas'!$C593,'Informacion del AEP'!$C$90:$C$108,0),MATCH('Pagos Mayoristas'!C$582,'Informacion del AEP'!$F$89:$AE$89,0))*INDEX('Hoja Auxiliar'!$D$40:$D$58,MATCH('Pagos Mayoristas'!$C593,'Hoja Auxiliar'!$C$40:$C$58,0))</f>
        <v>0</v>
      </c>
      <c r="F593" s="238">
        <f>IF(C593="","",('Precio Mayorista'!$D$100*INDEX('Informacion del AEP'!$D$90:$AE$108,MATCH(C593,'Informacion del AEP'!$C$90:$C$108,0),MATCH($C$582,'Informacion del AEP'!$D$89:$AE$89,0))*INDEX('Informacion del AEP'!$F$169:$F$187,MATCH(C593,'Informacion del AEP'!$C$169:$C$187,0))))</f>
        <v>0</v>
      </c>
      <c r="N593" s="209">
        <f>INDEX('Precio Mayorista'!$D$76:$D$94,MATCH('Pagos Mayoristas'!C593,'Precio Mayorista'!$G$76:$G$94,0))*INDEX('Informacion del AEP'!$F$90:$AE$108,MATCH('Pagos Mayoristas'!C593,'Informacion del AEP'!$C$90:$C$108,0),MATCH('Pagos Mayoristas'!$C$582,'Informacion del AEP'!$F$89:$AE$89,0))</f>
        <v>0</v>
      </c>
    </row>
    <row r="594" spans="3:15" x14ac:dyDescent="0.25">
      <c r="C594" s="5" t="str">
        <f>IF(Supuestos!$B$59="","",Supuestos!$B$59)</f>
        <v>Originación voz internacional Mundial Otros geográficos</v>
      </c>
      <c r="D594" s="78">
        <f>INDEX('Informacion del AEP'!$F$90:$AE$108,MATCH('Pagos Mayoristas'!$C594,'Informacion del AEP'!$C$90:$C$108,0),MATCH('Pagos Mayoristas'!C$582,'Informacion del AEP'!$F$89:$AE$89,0))*INDEX('Hoja Auxiliar'!$D$40:$D$58,MATCH('Pagos Mayoristas'!$C594,'Hoja Auxiliar'!$C$40:$C$58,0))</f>
        <v>70000</v>
      </c>
      <c r="F594" s="238">
        <f>IF(C594="","",('Precio Mayorista'!$D$100*INDEX('Informacion del AEP'!$D$90:$AE$108,MATCH(C594,'Informacion del AEP'!$C$90:$C$108,0),MATCH($C$582,'Informacion del AEP'!$D$89:$AE$89,0))*INDEX('Informacion del AEP'!$F$169:$F$187,MATCH(C594,'Informacion del AEP'!$C$169:$C$187,0))))</f>
        <v>0</v>
      </c>
      <c r="N594" s="209">
        <f>INDEX('Precio Mayorista'!$D$76:$D$94,MATCH('Pagos Mayoristas'!C594,'Precio Mayorista'!$G$76:$G$94,0))*INDEX('Informacion del AEP'!$F$90:$AE$108,MATCH('Pagos Mayoristas'!C594,'Informacion del AEP'!$C$90:$C$108,0),MATCH('Pagos Mayoristas'!$C$582,'Informacion del AEP'!$F$89:$AE$89,0))</f>
        <v>11666666.666666668</v>
      </c>
    </row>
    <row r="595" spans="3:15" x14ac:dyDescent="0.25">
      <c r="C595" s="5" t="str">
        <f>IF(Supuestos!$B$60="","",Supuestos!$B$60)</f>
        <v>Originación voz internacional Cuba</v>
      </c>
      <c r="D595" s="78">
        <f>INDEX('Informacion del AEP'!$F$90:$AE$108,MATCH('Pagos Mayoristas'!$C595,'Informacion del AEP'!$C$90:$C$108,0),MATCH('Pagos Mayoristas'!C$582,'Informacion del AEP'!$F$89:$AE$89,0))*INDEX('Hoja Auxiliar'!$D$40:$D$58,MATCH('Pagos Mayoristas'!$C595,'Hoja Auxiliar'!$C$40:$C$58,0))</f>
        <v>3500</v>
      </c>
      <c r="F595" s="238">
        <f>IF(C595="","",('Precio Mayorista'!$D$100*INDEX('Informacion del AEP'!$D$90:$AE$108,MATCH(C595,'Informacion del AEP'!$C$90:$C$108,0),MATCH($C$582,'Informacion del AEP'!$D$89:$AE$89,0))*INDEX('Informacion del AEP'!$F$169:$F$187,MATCH(C595,'Informacion del AEP'!$C$169:$C$187,0))))</f>
        <v>0</v>
      </c>
      <c r="N595" s="209">
        <f>INDEX('Precio Mayorista'!$D$76:$D$94,MATCH('Pagos Mayoristas'!C595,'Precio Mayorista'!$G$76:$G$94,0))*INDEX('Informacion del AEP'!$F$90:$AE$108,MATCH('Pagos Mayoristas'!C595,'Informacion del AEP'!$C$90:$C$108,0),MATCH('Pagos Mayoristas'!$C$582,'Informacion del AEP'!$F$89:$AE$89,0))</f>
        <v>1750000</v>
      </c>
    </row>
    <row r="596" spans="3:15" x14ac:dyDescent="0.25">
      <c r="C596" s="5" t="str">
        <f>IF(Supuestos!$B$61="","",Supuestos!$B$61)</f>
        <v>Originación voz Mundial destinos no geográficos</v>
      </c>
      <c r="D596" s="78">
        <f>INDEX('Informacion del AEP'!$F$90:$AE$108,MATCH('Pagos Mayoristas'!$C596,'Informacion del AEP'!$C$90:$C$108,0),MATCH('Pagos Mayoristas'!C$582,'Informacion del AEP'!$F$89:$AE$89,0))*INDEX('Hoja Auxiliar'!$D$40:$D$58,MATCH('Pagos Mayoristas'!$C596,'Hoja Auxiliar'!$C$40:$C$58,0))</f>
        <v>0</v>
      </c>
      <c r="F596" s="238">
        <f>IF(C596="","",('Precio Mayorista'!$D$100*INDEX('Informacion del AEP'!$D$90:$AE$108,MATCH(C596,'Informacion del AEP'!$C$90:$C$108,0),MATCH($C$582,'Informacion del AEP'!$D$89:$AE$89,0))*INDEX('Informacion del AEP'!$F$169:$F$187,MATCH(C596,'Informacion del AEP'!$C$169:$C$187,0))))</f>
        <v>0</v>
      </c>
      <c r="N596" s="209">
        <f>INDEX('Precio Mayorista'!$D$76:$D$94,MATCH('Pagos Mayoristas'!C596,'Precio Mayorista'!$G$76:$G$94,0))*INDEX('Informacion del AEP'!$F$90:$AE$108,MATCH('Pagos Mayoristas'!C596,'Informacion del AEP'!$C$90:$C$108,0),MATCH('Pagos Mayoristas'!$C$582,'Informacion del AEP'!$F$89:$AE$89,0))</f>
        <v>0</v>
      </c>
    </row>
    <row r="597" spans="3:15" x14ac:dyDescent="0.25">
      <c r="C597" s="5" t="str">
        <f>IF(Supuestos!$B$62="","",Supuestos!$B$62)</f>
        <v>Originación SMS on-net</v>
      </c>
      <c r="D597" s="78">
        <f>INDEX('Informacion del AEP'!$F$90:$AE$108,MATCH('Pagos Mayoristas'!$C597,'Informacion del AEP'!$C$90:$C$108,0),MATCH('Pagos Mayoristas'!C$582,'Informacion del AEP'!$F$89:$AE$89,0))*INDEX('Hoja Auxiliar'!$D$40:$D$58,MATCH('Pagos Mayoristas'!$C597,'Hoja Auxiliar'!$C$40:$C$58,0))</f>
        <v>7000000</v>
      </c>
      <c r="F597" s="238">
        <f>IF(C597="","",('Precio Mayorista'!$D$100*INDEX('Informacion del AEP'!$D$90:$AE$108,MATCH(C597,'Informacion del AEP'!$C$90:$C$108,0),MATCH($C$582,'Informacion del AEP'!$D$89:$AE$89,0))*INDEX('Informacion del AEP'!$F$169:$F$187,MATCH(C597,'Informacion del AEP'!$C$169:$C$187,0))))</f>
        <v>0</v>
      </c>
      <c r="N597" s="209">
        <f>INDEX('Precio Mayorista'!$D$76:$D$94,MATCH('Pagos Mayoristas'!C597,'Precio Mayorista'!$G$76:$G$94,0))*INDEX('Informacion del AEP'!$F$90:$AE$108,MATCH('Pagos Mayoristas'!C597,'Informacion del AEP'!$C$90:$C$108,0),MATCH('Pagos Mayoristas'!$C$582,'Informacion del AEP'!$F$89:$AE$89,0))</f>
        <v>0</v>
      </c>
    </row>
    <row r="598" spans="3:15" x14ac:dyDescent="0.25">
      <c r="C598" s="5" t="str">
        <f>IF(Supuestos!$B$63="","",Supuestos!$B$63)</f>
        <v>Originación SMS - off-net nacional</v>
      </c>
      <c r="D598" s="78">
        <f>INDEX('Informacion del AEP'!$F$90:$AE$108,MATCH('Pagos Mayoristas'!$C598,'Informacion del AEP'!$C$90:$C$108,0),MATCH('Pagos Mayoristas'!C$582,'Informacion del AEP'!$F$89:$AE$89,0))*INDEX('Hoja Auxiliar'!$D$40:$D$58,MATCH('Pagos Mayoristas'!$C598,'Hoja Auxiliar'!$C$40:$C$58,0))</f>
        <v>1750000</v>
      </c>
      <c r="F598" s="238">
        <f>IF(C598="","",('Precio Mayorista'!$D$100*INDEX('Informacion del AEP'!$D$90:$AE$108,MATCH(C598,'Informacion del AEP'!$C$90:$C$108,0),MATCH($C$582,'Informacion del AEP'!$D$89:$AE$89,0))*INDEX('Informacion del AEP'!$F$169:$F$187,MATCH(C598,'Informacion del AEP'!$C$169:$C$187,0))))</f>
        <v>0</v>
      </c>
      <c r="N598" s="209">
        <f>INDEX('Precio Mayorista'!$D$76:$D$94,MATCH('Pagos Mayoristas'!C598,'Precio Mayorista'!$G$76:$G$94,0))*INDEX('Informacion del AEP'!$F$90:$AE$108,MATCH('Pagos Mayoristas'!C598,'Informacion del AEP'!$C$90:$C$108,0),MATCH('Pagos Mayoristas'!$C$582,'Informacion del AEP'!$F$89:$AE$89,0))</f>
        <v>1081733.3333333335</v>
      </c>
    </row>
    <row r="599" spans="3:15" x14ac:dyDescent="0.25">
      <c r="C599" s="5" t="str">
        <f>IF(Supuestos!$B$64="","",Supuestos!$B$64)</f>
        <v>Originación SMS internacional (USA-Canadá)</v>
      </c>
      <c r="D599" s="78">
        <f>INDEX('Informacion del AEP'!$F$90:$AE$108,MATCH('Pagos Mayoristas'!$C599,'Informacion del AEP'!$C$90:$C$108,0),MATCH('Pagos Mayoristas'!C$582,'Informacion del AEP'!$F$89:$AE$89,0))*INDEX('Hoja Auxiliar'!$D$40:$D$58,MATCH('Pagos Mayoristas'!$C599,'Hoja Auxiliar'!$C$40:$C$58,0))</f>
        <v>349999.99999999994</v>
      </c>
      <c r="F599" s="238">
        <f>IF(C599="","",('Precio Mayorista'!$D$100*INDEX('Informacion del AEP'!$D$90:$AE$108,MATCH(C599,'Informacion del AEP'!$C$90:$C$108,0),MATCH($C$582,'Informacion del AEP'!$D$89:$AE$89,0))*INDEX('Informacion del AEP'!$F$169:$F$187,MATCH(C599,'Informacion del AEP'!$C$169:$C$187,0))))</f>
        <v>0</v>
      </c>
      <c r="N599" s="209">
        <f>INDEX('Precio Mayorista'!$D$76:$D$94,MATCH('Pagos Mayoristas'!C599,'Precio Mayorista'!$G$76:$G$94,0))*INDEX('Informacion del AEP'!$F$90:$AE$108,MATCH('Pagos Mayoristas'!C599,'Informacion del AEP'!$C$90:$C$108,0),MATCH('Pagos Mayoristas'!$C$582,'Informacion del AEP'!$F$89:$AE$89,0))</f>
        <v>11666666.666666666</v>
      </c>
    </row>
    <row r="600" spans="3:15" x14ac:dyDescent="0.25">
      <c r="C600" s="5" t="str">
        <f>IF(Supuestos!$B$65="","",Supuestos!$B$65)</f>
        <v>Originación SMS internacional (Resto del Mundo)</v>
      </c>
      <c r="D600" s="78">
        <f>INDEX('Informacion del AEP'!$F$90:$AE$108,MATCH('Pagos Mayoristas'!$C600,'Informacion del AEP'!$C$90:$C$108,0),MATCH('Pagos Mayoristas'!C$582,'Informacion del AEP'!$F$89:$AE$89,0))*INDEX('Hoja Auxiliar'!$D$40:$D$58,MATCH('Pagos Mayoristas'!$C600,'Hoja Auxiliar'!$C$40:$C$58,0))</f>
        <v>35000</v>
      </c>
      <c r="F600" s="238">
        <f>IF(C600="","",('Precio Mayorista'!$D$100*INDEX('Informacion del AEP'!$D$90:$AE$108,MATCH(C600,'Informacion del AEP'!$C$90:$C$108,0),MATCH($C$582,'Informacion del AEP'!$D$89:$AE$89,0))*INDEX('Informacion del AEP'!$F$169:$F$187,MATCH(C600,'Informacion del AEP'!$C$169:$C$187,0))))</f>
        <v>0</v>
      </c>
      <c r="N600" s="209">
        <f>INDEX('Precio Mayorista'!$D$76:$D$94,MATCH('Pagos Mayoristas'!C600,'Precio Mayorista'!$G$76:$G$94,0))*INDEX('Informacion del AEP'!$F$90:$AE$108,MATCH('Pagos Mayoristas'!C600,'Informacion del AEP'!$C$90:$C$108,0),MATCH('Pagos Mayoristas'!$C$582,'Informacion del AEP'!$F$89:$AE$89,0))</f>
        <v>1750000</v>
      </c>
    </row>
    <row r="601" spans="3:15" x14ac:dyDescent="0.25">
      <c r="C601" s="5" t="str">
        <f>IF(Supuestos!$B$66="","",Supuestos!$B$66)</f>
        <v>Otros servicios (incluyendo marcaciones especiales)</v>
      </c>
      <c r="D601" s="78">
        <f>INDEX('Informacion del AEP'!$F$90:$AE$108,MATCH('Pagos Mayoristas'!$C601,'Informacion del AEP'!$C$90:$C$108,0),MATCH('Pagos Mayoristas'!C$582,'Informacion del AEP'!$F$89:$AE$89,0))*INDEX('Hoja Auxiliar'!$D$40:$D$58,MATCH('Pagos Mayoristas'!$C601,'Hoja Auxiliar'!$C$40:$C$58,0))</f>
        <v>35000000</v>
      </c>
      <c r="F601" s="238">
        <f>IF(C601="","",('Precio Mayorista'!$D$100*INDEX('Informacion del AEP'!$D$90:$AE$108,MATCH(C601,'Informacion del AEP'!$C$90:$C$108,0),MATCH($C$582,'Informacion del AEP'!$D$89:$AE$89,0))*INDEX('Informacion del AEP'!$F$169:$F$187,MATCH(C601,'Informacion del AEP'!$C$169:$C$187,0))))</f>
        <v>0</v>
      </c>
      <c r="N601" s="209">
        <f>INDEX('Precio Mayorista'!$D$76:$D$94,MATCH('Pagos Mayoristas'!C601,'Precio Mayorista'!$G$76:$G$94,0))*INDEX('Informacion del AEP'!$F$90:$AE$108,MATCH('Pagos Mayoristas'!C601,'Informacion del AEP'!$C$90:$C$108,0),MATCH('Pagos Mayoristas'!$C$582,'Informacion del AEP'!$F$89:$AE$89,0))</f>
        <v>0</v>
      </c>
    </row>
    <row r="608" spans="3:15" ht="13" x14ac:dyDescent="0.3">
      <c r="C608" s="74" t="str">
        <f>Supuestos!$B$98</f>
        <v>Telcel Pospago 24</v>
      </c>
      <c r="D608" s="77">
        <f>SUM(D609:D627)</f>
        <v>559664233.33333325</v>
      </c>
      <c r="E608" s="75"/>
      <c r="F608" s="77">
        <f>SUM(F609:F627)</f>
        <v>0</v>
      </c>
      <c r="G608" s="75"/>
      <c r="H608" s="77"/>
      <c r="I608" s="77">
        <f>INDEX('Informacion del AEP'!$H$31:$H$84,MATCH('Pagos Mayoristas'!C608,'Informacion del AEP'!$C$31:$C$84,0))*'Hoja Auxiliar'!$D$61</f>
        <v>364364.625</v>
      </c>
      <c r="J608" s="4"/>
      <c r="K608" s="77"/>
      <c r="L608" s="204">
        <f>$L$10*(INDEX('Informacion del AEP'!$F$12:$AE$12,MATCH('Pagos Mayoristas'!C608,'Informacion del AEP'!$F$11:$AE$11,0))/INDEX('Informacion del AEP'!$F$12:$AE$12,MATCH('Pagos Mayoristas'!$C$10,'Informacion del AEP'!$F$11:$AE$11,0)))</f>
        <v>81827.309257028144</v>
      </c>
      <c r="M608" s="204"/>
      <c r="N608" s="77">
        <f>SUM(N609:N627)</f>
        <v>80715600</v>
      </c>
      <c r="O608" s="204">
        <f>SUM(D608:N608)</f>
        <v>640826025.26759028</v>
      </c>
    </row>
    <row r="609" spans="3:14" x14ac:dyDescent="0.25">
      <c r="C609" s="5" t="str">
        <f>IF(Supuestos!$B$48="","",Supuestos!$B$48)</f>
        <v>Datos</v>
      </c>
      <c r="D609" s="78">
        <f>INDEX('Informacion del AEP'!$F$90:$AE$108,MATCH('Pagos Mayoristas'!$C609,'Informacion del AEP'!$C$90:$C$108,0),MATCH('Pagos Mayoristas'!C$608,'Informacion del AEP'!$F$89:$AE$89,0))*INDEX('Hoja Auxiliar'!$D$40:$D$58,MATCH('Pagos Mayoristas'!$C609,'Hoja Auxiliar'!$C$40:$C$58,0))</f>
        <v>296333333.33333331</v>
      </c>
      <c r="F609" s="238">
        <f>IF(C609="","",('Precio Mayorista'!$D$100*INDEX('Informacion del AEP'!$D$90:$AE$108,MATCH(C609,'Informacion del AEP'!$C$90:$C$108,0),MATCH($C$608,'Informacion del AEP'!$D$89:$AE$89,0))*INDEX('Informacion del AEP'!$F$169:$F$187,MATCH(C609,'Informacion del AEP'!$C$169:$C$187,0))))</f>
        <v>0</v>
      </c>
      <c r="N609" s="209">
        <f>INDEX('Precio Mayorista'!$D$76:$D$94,MATCH('Pagos Mayoristas'!C609,'Precio Mayorista'!$G$76:$G$94,0))*INDEX('Informacion del AEP'!$F$90:$AE$108,MATCH('Pagos Mayoristas'!C609,'Informacion del AEP'!$C$90:$C$108,0),MATCH('Pagos Mayoristas'!$C$608,'Informacion del AEP'!$F$89:$AE$89,0))</f>
        <v>0</v>
      </c>
    </row>
    <row r="610" spans="3:14" x14ac:dyDescent="0.25">
      <c r="C610" s="5" t="str">
        <f>IF(Supuestos!$B$49="","",Supuestos!$B$49)</f>
        <v>Originación voz on-net local</v>
      </c>
      <c r="D610" s="78">
        <f>INDEX('Informacion del AEP'!$F$90:$AE$108,MATCH('Pagos Mayoristas'!$C610,'Informacion del AEP'!$C$90:$C$108,0),MATCH('Pagos Mayoristas'!C$608,'Informacion del AEP'!$F$89:$AE$89,0))*INDEX('Hoja Auxiliar'!$D$40:$D$58,MATCH('Pagos Mayoristas'!$C610,'Hoja Auxiliar'!$C$40:$C$58,0))</f>
        <v>70000000</v>
      </c>
      <c r="F610" s="238">
        <f>IF(C610="","",('Precio Mayorista'!$D$100*INDEX('Informacion del AEP'!$D$90:$AE$108,MATCH(C610,'Informacion del AEP'!$C$90:$C$108,0),MATCH($C$608,'Informacion del AEP'!$D$89:$AE$89,0))*INDEX('Informacion del AEP'!$F$169:$F$187,MATCH(C610,'Informacion del AEP'!$C$169:$C$187,0))))</f>
        <v>0</v>
      </c>
      <c r="N610" s="209">
        <f>INDEX('Precio Mayorista'!$D$76:$D$94,MATCH('Pagos Mayoristas'!C610,'Precio Mayorista'!$G$76:$G$94,0))*INDEX('Informacion del AEP'!$F$90:$AE$108,MATCH('Pagos Mayoristas'!C610,'Informacion del AEP'!$C$90:$C$108,0),MATCH('Pagos Mayoristas'!$C$608,'Informacion del AEP'!$F$89:$AE$89,0))</f>
        <v>0</v>
      </c>
    </row>
    <row r="611" spans="3:14" x14ac:dyDescent="0.25">
      <c r="C611" s="5" t="str">
        <f>IF(Supuestos!$B$50="","",Supuestos!$B$50)</f>
        <v>Originación voz off-net móvil local</v>
      </c>
      <c r="D611" s="78">
        <f>INDEX('Informacion del AEP'!$F$90:$AE$108,MATCH('Pagos Mayoristas'!$C611,'Informacion del AEP'!$C$90:$C$108,0),MATCH('Pagos Mayoristas'!C$608,'Informacion del AEP'!$F$89:$AE$89,0))*INDEX('Hoja Auxiliar'!$D$40:$D$58,MATCH('Pagos Mayoristas'!$C611,'Hoja Auxiliar'!$C$40:$C$58,0))</f>
        <v>14000000</v>
      </c>
      <c r="F611" s="238">
        <f>IF(C611="","",('Precio Mayorista'!$D$100*INDEX('Informacion del AEP'!$D$90:$AE$108,MATCH(C611,'Informacion del AEP'!$C$90:$C$108,0),MATCH($C$608,'Informacion del AEP'!$D$89:$AE$89,0))*INDEX('Informacion del AEP'!$F$169:$F$187,MATCH(C611,'Informacion del AEP'!$C$169:$C$187,0))))</f>
        <v>0</v>
      </c>
      <c r="N611" s="209">
        <f>INDEX('Precio Mayorista'!$D$76:$D$94,MATCH('Pagos Mayoristas'!C611,'Precio Mayorista'!$G$76:$G$94,0))*INDEX('Informacion del AEP'!$F$90:$AE$108,MATCH('Pagos Mayoristas'!C611,'Informacion del AEP'!$C$90:$C$108,0),MATCH('Pagos Mayoristas'!$C$608,'Informacion del AEP'!$F$89:$AE$89,0))</f>
        <v>19703133.333333336</v>
      </c>
    </row>
    <row r="612" spans="3:14" x14ac:dyDescent="0.25">
      <c r="C612" s="5" t="str">
        <f>IF(Supuestos!$B$51="","",Supuestos!$B$51)</f>
        <v>Originación voz off-net fijo local</v>
      </c>
      <c r="D612" s="78">
        <f>INDEX('Informacion del AEP'!$F$90:$AE$108,MATCH('Pagos Mayoristas'!$C612,'Informacion del AEP'!$C$90:$C$108,0),MATCH('Pagos Mayoristas'!C$608,'Informacion del AEP'!$F$89:$AE$89,0))*INDEX('Hoja Auxiliar'!$D$40:$D$58,MATCH('Pagos Mayoristas'!$C612,'Hoja Auxiliar'!$C$40:$C$58,0))</f>
        <v>7000000</v>
      </c>
      <c r="F612" s="238">
        <f>IF(C612="","",('Precio Mayorista'!$D$100*INDEX('Informacion del AEP'!$D$90:$AE$108,MATCH(C612,'Informacion del AEP'!$C$90:$C$108,0),MATCH($C$608,'Informacion del AEP'!$D$89:$AE$89,0))*INDEX('Informacion del AEP'!$F$169:$F$187,MATCH(C612,'Informacion del AEP'!$C$169:$C$187,0))))</f>
        <v>0</v>
      </c>
      <c r="N612" s="209">
        <f>INDEX('Precio Mayorista'!$D$76:$D$94,MATCH('Pagos Mayoristas'!C612,'Precio Mayorista'!$G$76:$G$94,0))*INDEX('Informacion del AEP'!$F$90:$AE$108,MATCH('Pagos Mayoristas'!C612,'Informacion del AEP'!$C$90:$C$108,0),MATCH('Pagos Mayoristas'!$C$608,'Informacion del AEP'!$F$89:$AE$89,0))</f>
        <v>780033.33333333337</v>
      </c>
    </row>
    <row r="613" spans="3:14" x14ac:dyDescent="0.25">
      <c r="C613" s="5" t="str">
        <f>IF(Supuestos!$B$52="","",Supuestos!$B$52)</f>
        <v>Originación voz on-net LDN</v>
      </c>
      <c r="D613" s="78">
        <f>INDEX('Informacion del AEP'!$F$90:$AE$108,MATCH('Pagos Mayoristas'!$C613,'Informacion del AEP'!$C$90:$C$108,0),MATCH('Pagos Mayoristas'!C$608,'Informacion del AEP'!$F$89:$AE$89,0))*INDEX('Hoja Auxiliar'!$D$40:$D$58,MATCH('Pagos Mayoristas'!$C613,'Hoja Auxiliar'!$C$40:$C$58,0))</f>
        <v>105000000</v>
      </c>
      <c r="F613" s="238">
        <f>IF(C613="","",('Precio Mayorista'!$D$100*INDEX('Informacion del AEP'!$D$90:$AE$108,MATCH(C613,'Informacion del AEP'!$C$90:$C$108,0),MATCH($C$608,'Informacion del AEP'!$D$89:$AE$89,0))*INDEX('Informacion del AEP'!$F$169:$F$187,MATCH(C613,'Informacion del AEP'!$C$169:$C$187,0))))</f>
        <v>0</v>
      </c>
      <c r="N613" s="209">
        <f>INDEX('Precio Mayorista'!$D$76:$D$94,MATCH('Pagos Mayoristas'!C613,'Precio Mayorista'!$G$76:$G$94,0))*INDEX('Informacion del AEP'!$F$90:$AE$108,MATCH('Pagos Mayoristas'!C613,'Informacion del AEP'!$C$90:$C$108,0),MATCH('Pagos Mayoristas'!$C$608,'Informacion del AEP'!$F$89:$AE$89,0))</f>
        <v>0</v>
      </c>
    </row>
    <row r="614" spans="3:14" x14ac:dyDescent="0.25">
      <c r="C614" s="5" t="str">
        <f>IF(Supuestos!$B$53="","",Supuestos!$B$53)</f>
        <v>Originación voz off-net móvil LDN</v>
      </c>
      <c r="D614" s="78">
        <f>INDEX('Informacion del AEP'!$F$90:$AE$108,MATCH('Pagos Mayoristas'!$C614,'Informacion del AEP'!$C$90:$C$108,0),MATCH('Pagos Mayoristas'!C$608,'Informacion del AEP'!$F$89:$AE$89,0))*INDEX('Hoja Auxiliar'!$D$40:$D$58,MATCH('Pagos Mayoristas'!$C614,'Hoja Auxiliar'!$C$40:$C$58,0))</f>
        <v>10499999.999999998</v>
      </c>
      <c r="F614" s="238">
        <f>IF(C614="","",('Precio Mayorista'!$D$100*INDEX('Informacion del AEP'!$D$90:$AE$108,MATCH(C614,'Informacion del AEP'!$C$90:$C$108,0),MATCH($C$608,'Informacion del AEP'!$D$89:$AE$89,0))*INDEX('Informacion del AEP'!$F$169:$F$187,MATCH(C614,'Informacion del AEP'!$C$169:$C$187,0))))</f>
        <v>0</v>
      </c>
      <c r="N614" s="209">
        <f>INDEX('Precio Mayorista'!$D$76:$D$94,MATCH('Pagos Mayoristas'!C614,'Precio Mayorista'!$G$76:$G$94,0))*INDEX('Informacion del AEP'!$F$90:$AE$108,MATCH('Pagos Mayoristas'!C614,'Informacion del AEP'!$C$90:$C$108,0),MATCH('Pagos Mayoristas'!$C$608,'Informacion del AEP'!$F$89:$AE$89,0))</f>
        <v>14777349.999999998</v>
      </c>
    </row>
    <row r="615" spans="3:14" x14ac:dyDescent="0.25">
      <c r="C615" s="5" t="str">
        <f>IF(Supuestos!$B$54="","",Supuestos!$B$54)</f>
        <v>Originación voz off-net fijo LDN</v>
      </c>
      <c r="D615" s="78">
        <f>INDEX('Informacion del AEP'!$F$90:$AE$108,MATCH('Pagos Mayoristas'!$C615,'Informacion del AEP'!$C$90:$C$108,0),MATCH('Pagos Mayoristas'!C$608,'Informacion del AEP'!$F$89:$AE$89,0))*INDEX('Hoja Auxiliar'!$D$40:$D$58,MATCH('Pagos Mayoristas'!$C615,'Hoja Auxiliar'!$C$40:$C$58,0))</f>
        <v>3500000</v>
      </c>
      <c r="F615" s="238">
        <f>IF(C615="","",('Precio Mayorista'!$D$100*INDEX('Informacion del AEP'!$D$90:$AE$108,MATCH(C615,'Informacion del AEP'!$C$90:$C$108,0),MATCH($C$608,'Informacion del AEP'!$D$89:$AE$89,0))*INDEX('Informacion del AEP'!$F$169:$F$187,MATCH(C615,'Informacion del AEP'!$C$169:$C$187,0))))</f>
        <v>0</v>
      </c>
      <c r="N615" s="209">
        <f>INDEX('Precio Mayorista'!$D$76:$D$94,MATCH('Pagos Mayoristas'!C615,'Precio Mayorista'!$G$76:$G$94,0))*INDEX('Informacion del AEP'!$F$90:$AE$108,MATCH('Pagos Mayoristas'!C615,'Informacion del AEP'!$C$90:$C$108,0),MATCH('Pagos Mayoristas'!$C$608,'Informacion del AEP'!$F$89:$AE$89,0))</f>
        <v>390016.66666666669</v>
      </c>
    </row>
    <row r="616" spans="3:14" x14ac:dyDescent="0.25">
      <c r="C616" s="5" t="str">
        <f>IF(Supuestos!$B$55="","",Supuestos!$B$55)</f>
        <v>Originación voz internacional USA-Canadá</v>
      </c>
      <c r="D616" s="78">
        <f>INDEX('Informacion del AEP'!$F$90:$AE$108,MATCH('Pagos Mayoristas'!$C616,'Informacion del AEP'!$C$90:$C$108,0),MATCH('Pagos Mayoristas'!C$608,'Informacion del AEP'!$F$89:$AE$89,0))*INDEX('Hoja Auxiliar'!$D$40:$D$58,MATCH('Pagos Mayoristas'!$C616,'Hoja Auxiliar'!$C$40:$C$58,0))</f>
        <v>9099999.9999999981</v>
      </c>
      <c r="F616" s="238">
        <f>IF(C616="","",('Precio Mayorista'!$D$100*INDEX('Informacion del AEP'!$D$90:$AE$108,MATCH(C616,'Informacion del AEP'!$C$90:$C$108,0),MATCH($C$608,'Informacion del AEP'!$D$89:$AE$89,0))*INDEX('Informacion del AEP'!$F$169:$F$187,MATCH(C616,'Informacion del AEP'!$C$169:$C$187,0))))</f>
        <v>0</v>
      </c>
      <c r="N616" s="209">
        <f>INDEX('Precio Mayorista'!$D$76:$D$94,MATCH('Pagos Mayoristas'!C616,'Precio Mayorista'!$G$76:$G$94,0))*INDEX('Informacion del AEP'!$F$90:$AE$108,MATCH('Pagos Mayoristas'!C616,'Informacion del AEP'!$C$90:$C$108,0),MATCH('Pagos Mayoristas'!$C$608,'Informacion del AEP'!$F$89:$AE$89,0))</f>
        <v>15166666.666666666</v>
      </c>
    </row>
    <row r="617" spans="3:14" x14ac:dyDescent="0.25">
      <c r="C617" s="5" t="str">
        <f>IF(Supuestos!$B$56="","",Supuestos!$B$56)</f>
        <v>Originación voz internacional Mundial Centroamérica</v>
      </c>
      <c r="D617" s="78">
        <f>INDEX('Informacion del AEP'!$F$90:$AE$108,MATCH('Pagos Mayoristas'!$C617,'Informacion del AEP'!$C$90:$C$108,0),MATCH('Pagos Mayoristas'!C$608,'Informacion del AEP'!$F$89:$AE$89,0))*INDEX('Hoja Auxiliar'!$D$40:$D$58,MATCH('Pagos Mayoristas'!$C617,'Hoja Auxiliar'!$C$40:$C$58,0))</f>
        <v>21000</v>
      </c>
      <c r="F617" s="238">
        <f>IF(C617="","",('Precio Mayorista'!$D$100*INDEX('Informacion del AEP'!$D$90:$AE$108,MATCH(C617,'Informacion del AEP'!$C$90:$C$108,0),MATCH($C$608,'Informacion del AEP'!$D$89:$AE$89,0))*INDEX('Informacion del AEP'!$F$169:$F$187,MATCH(C617,'Informacion del AEP'!$C$169:$C$187,0))))</f>
        <v>0</v>
      </c>
      <c r="N617" s="209">
        <f>INDEX('Precio Mayorista'!$D$76:$D$94,MATCH('Pagos Mayoristas'!C617,'Precio Mayorista'!$G$76:$G$94,0))*INDEX('Informacion del AEP'!$F$90:$AE$108,MATCH('Pagos Mayoristas'!C617,'Informacion del AEP'!$C$90:$C$108,0),MATCH('Pagos Mayoristas'!$C$608,'Informacion del AEP'!$F$89:$AE$89,0))</f>
        <v>1750000</v>
      </c>
    </row>
    <row r="618" spans="3:14" x14ac:dyDescent="0.25">
      <c r="C618" s="5" t="str">
        <f>IF(Supuestos!$B$57="","",Supuestos!$B$57)</f>
        <v>Originación voz internacional Mundial LATAM y Caribe</v>
      </c>
      <c r="D618" s="78">
        <f>INDEX('Informacion del AEP'!$F$90:$AE$108,MATCH('Pagos Mayoristas'!$C618,'Informacion del AEP'!$C$90:$C$108,0),MATCH('Pagos Mayoristas'!C$608,'Informacion del AEP'!$F$89:$AE$89,0))*INDEX('Hoja Auxiliar'!$D$40:$D$58,MATCH('Pagos Mayoristas'!$C618,'Hoja Auxiliar'!$C$40:$C$58,0))</f>
        <v>1399.9999999999998</v>
      </c>
      <c r="F618" s="238">
        <f>IF(C618="","",('Precio Mayorista'!$D$100*INDEX('Informacion del AEP'!$D$90:$AE$108,MATCH(C618,'Informacion del AEP'!$C$90:$C$108,0),MATCH($C$608,'Informacion del AEP'!$D$89:$AE$89,0))*INDEX('Informacion del AEP'!$F$169:$F$187,MATCH(C618,'Informacion del AEP'!$C$169:$C$187,0))))</f>
        <v>0</v>
      </c>
      <c r="N618" s="209">
        <f>INDEX('Precio Mayorista'!$D$76:$D$94,MATCH('Pagos Mayoristas'!C618,'Precio Mayorista'!$G$76:$G$94,0))*INDEX('Informacion del AEP'!$F$90:$AE$108,MATCH('Pagos Mayoristas'!C618,'Informacion del AEP'!$C$90:$C$108,0),MATCH('Pagos Mayoristas'!$C$608,'Informacion del AEP'!$F$89:$AE$89,0))</f>
        <v>233333.33333333331</v>
      </c>
    </row>
    <row r="619" spans="3:14" x14ac:dyDescent="0.25">
      <c r="C619" s="5" t="str">
        <f>IF(Supuestos!$B$58="","",Supuestos!$B$58)</f>
        <v>Originación voz internacional Europa</v>
      </c>
      <c r="D619" s="78">
        <f>INDEX('Informacion del AEP'!$F$90:$AE$108,MATCH('Pagos Mayoristas'!$C619,'Informacion del AEP'!$C$90:$C$108,0),MATCH('Pagos Mayoristas'!C$608,'Informacion del AEP'!$F$89:$AE$89,0))*INDEX('Hoja Auxiliar'!$D$40:$D$58,MATCH('Pagos Mayoristas'!$C619,'Hoja Auxiliar'!$C$40:$C$58,0))</f>
        <v>0</v>
      </c>
      <c r="F619" s="238">
        <f>IF(C619="","",('Precio Mayorista'!$D$100*INDEX('Informacion del AEP'!$D$90:$AE$108,MATCH(C619,'Informacion del AEP'!$C$90:$C$108,0),MATCH($C$608,'Informacion del AEP'!$D$89:$AE$89,0))*INDEX('Informacion del AEP'!$F$169:$F$187,MATCH(C619,'Informacion del AEP'!$C$169:$C$187,0))))</f>
        <v>0</v>
      </c>
      <c r="N619" s="209">
        <f>INDEX('Precio Mayorista'!$D$76:$D$94,MATCH('Pagos Mayoristas'!C619,'Precio Mayorista'!$G$76:$G$94,0))*INDEX('Informacion del AEP'!$F$90:$AE$108,MATCH('Pagos Mayoristas'!C619,'Informacion del AEP'!$C$90:$C$108,0),MATCH('Pagos Mayoristas'!$C$608,'Informacion del AEP'!$F$89:$AE$89,0))</f>
        <v>0</v>
      </c>
    </row>
    <row r="620" spans="3:14" x14ac:dyDescent="0.25">
      <c r="C620" s="5" t="str">
        <f>IF(Supuestos!$B$59="","",Supuestos!$B$59)</f>
        <v>Originación voz internacional Mundial Otros geográficos</v>
      </c>
      <c r="D620" s="78">
        <f>INDEX('Informacion del AEP'!$F$90:$AE$108,MATCH('Pagos Mayoristas'!$C620,'Informacion del AEP'!$C$90:$C$108,0),MATCH('Pagos Mayoristas'!C$608,'Informacion del AEP'!$F$89:$AE$89,0))*INDEX('Hoja Auxiliar'!$D$40:$D$58,MATCH('Pagos Mayoristas'!$C620,'Hoja Auxiliar'!$C$40:$C$58,0))</f>
        <v>70000</v>
      </c>
      <c r="F620" s="238">
        <f>IF(C620="","",('Precio Mayorista'!$D$100*INDEX('Informacion del AEP'!$D$90:$AE$108,MATCH(C620,'Informacion del AEP'!$C$90:$C$108,0),MATCH($C$608,'Informacion del AEP'!$D$89:$AE$89,0))*INDEX('Informacion del AEP'!$F$169:$F$187,MATCH(C620,'Informacion del AEP'!$C$169:$C$187,0))))</f>
        <v>0</v>
      </c>
      <c r="N620" s="209">
        <f>INDEX('Precio Mayorista'!$D$76:$D$94,MATCH('Pagos Mayoristas'!C620,'Precio Mayorista'!$G$76:$G$94,0))*INDEX('Informacion del AEP'!$F$90:$AE$108,MATCH('Pagos Mayoristas'!C620,'Informacion del AEP'!$C$90:$C$108,0),MATCH('Pagos Mayoristas'!$C$608,'Informacion del AEP'!$F$89:$AE$89,0))</f>
        <v>11666666.666666668</v>
      </c>
    </row>
    <row r="621" spans="3:14" x14ac:dyDescent="0.25">
      <c r="C621" s="5" t="str">
        <f>IF(Supuestos!$B$60="","",Supuestos!$B$60)</f>
        <v>Originación voz internacional Cuba</v>
      </c>
      <c r="D621" s="78">
        <f>INDEX('Informacion del AEP'!$F$90:$AE$108,MATCH('Pagos Mayoristas'!$C621,'Informacion del AEP'!$C$90:$C$108,0),MATCH('Pagos Mayoristas'!C$608,'Informacion del AEP'!$F$89:$AE$89,0))*INDEX('Hoja Auxiliar'!$D$40:$D$58,MATCH('Pagos Mayoristas'!$C621,'Hoja Auxiliar'!$C$40:$C$58,0))</f>
        <v>3500</v>
      </c>
      <c r="F621" s="238">
        <f>IF(C621="","",('Precio Mayorista'!$D$100*INDEX('Informacion del AEP'!$D$90:$AE$108,MATCH(C621,'Informacion del AEP'!$C$90:$C$108,0),MATCH($C$608,'Informacion del AEP'!$D$89:$AE$89,0))*INDEX('Informacion del AEP'!$F$169:$F$187,MATCH(C621,'Informacion del AEP'!$C$169:$C$187,0))))</f>
        <v>0</v>
      </c>
      <c r="N621" s="209">
        <f>INDEX('Precio Mayorista'!$D$76:$D$94,MATCH('Pagos Mayoristas'!C621,'Precio Mayorista'!$G$76:$G$94,0))*INDEX('Informacion del AEP'!$F$90:$AE$108,MATCH('Pagos Mayoristas'!C621,'Informacion del AEP'!$C$90:$C$108,0),MATCH('Pagos Mayoristas'!$C$608,'Informacion del AEP'!$F$89:$AE$89,0))</f>
        <v>1750000</v>
      </c>
    </row>
    <row r="622" spans="3:14" x14ac:dyDescent="0.25">
      <c r="C622" s="5" t="str">
        <f>IF(Supuestos!$B$61="","",Supuestos!$B$61)</f>
        <v>Originación voz Mundial destinos no geográficos</v>
      </c>
      <c r="D622" s="78">
        <f>INDEX('Informacion del AEP'!$F$90:$AE$108,MATCH('Pagos Mayoristas'!$C622,'Informacion del AEP'!$C$90:$C$108,0),MATCH('Pagos Mayoristas'!C$608,'Informacion del AEP'!$F$89:$AE$89,0))*INDEX('Hoja Auxiliar'!$D$40:$D$58,MATCH('Pagos Mayoristas'!$C622,'Hoja Auxiliar'!$C$40:$C$58,0))</f>
        <v>0</v>
      </c>
      <c r="F622" s="238">
        <f>IF(C622="","",('Precio Mayorista'!$D$100*INDEX('Informacion del AEP'!$D$90:$AE$108,MATCH(C622,'Informacion del AEP'!$C$90:$C$108,0),MATCH($C$608,'Informacion del AEP'!$D$89:$AE$89,0))*INDEX('Informacion del AEP'!$F$169:$F$187,MATCH(C622,'Informacion del AEP'!$C$169:$C$187,0))))</f>
        <v>0</v>
      </c>
      <c r="N622" s="209">
        <f>INDEX('Precio Mayorista'!$D$76:$D$94,MATCH('Pagos Mayoristas'!C622,'Precio Mayorista'!$G$76:$G$94,0))*INDEX('Informacion del AEP'!$F$90:$AE$108,MATCH('Pagos Mayoristas'!C622,'Informacion del AEP'!$C$90:$C$108,0),MATCH('Pagos Mayoristas'!$C$608,'Informacion del AEP'!$F$89:$AE$89,0))</f>
        <v>0</v>
      </c>
    </row>
    <row r="623" spans="3:14" x14ac:dyDescent="0.25">
      <c r="C623" s="5" t="str">
        <f>IF(Supuestos!$B$62="","",Supuestos!$B$62)</f>
        <v>Originación SMS on-net</v>
      </c>
      <c r="D623" s="78">
        <f>INDEX('Informacion del AEP'!$F$90:$AE$108,MATCH('Pagos Mayoristas'!$C623,'Informacion del AEP'!$C$90:$C$108,0),MATCH('Pagos Mayoristas'!C$608,'Informacion del AEP'!$F$89:$AE$89,0))*INDEX('Hoja Auxiliar'!$D$40:$D$58,MATCH('Pagos Mayoristas'!$C623,'Hoja Auxiliar'!$C$40:$C$58,0))</f>
        <v>7000000</v>
      </c>
      <c r="F623" s="238">
        <f>IF(C623="","",('Precio Mayorista'!$D$100*INDEX('Informacion del AEP'!$D$90:$AE$108,MATCH(C623,'Informacion del AEP'!$C$90:$C$108,0),MATCH($C$608,'Informacion del AEP'!$D$89:$AE$89,0))*INDEX('Informacion del AEP'!$F$169:$F$187,MATCH(C623,'Informacion del AEP'!$C$169:$C$187,0))))</f>
        <v>0</v>
      </c>
      <c r="N623" s="209">
        <f>INDEX('Precio Mayorista'!$D$76:$D$94,MATCH('Pagos Mayoristas'!C623,'Precio Mayorista'!$G$76:$G$94,0))*INDEX('Informacion del AEP'!$F$90:$AE$108,MATCH('Pagos Mayoristas'!C623,'Informacion del AEP'!$C$90:$C$108,0),MATCH('Pagos Mayoristas'!$C$608,'Informacion del AEP'!$F$89:$AE$89,0))</f>
        <v>0</v>
      </c>
    </row>
    <row r="624" spans="3:14" x14ac:dyDescent="0.25">
      <c r="C624" s="5" t="str">
        <f>IF(Supuestos!$B$63="","",Supuestos!$B$63)</f>
        <v>Originación SMS - off-net nacional</v>
      </c>
      <c r="D624" s="78">
        <f>INDEX('Informacion del AEP'!$F$90:$AE$108,MATCH('Pagos Mayoristas'!$C624,'Informacion del AEP'!$C$90:$C$108,0),MATCH('Pagos Mayoristas'!C$608,'Informacion del AEP'!$F$89:$AE$89,0))*INDEX('Hoja Auxiliar'!$D$40:$D$58,MATCH('Pagos Mayoristas'!$C624,'Hoja Auxiliar'!$C$40:$C$58,0))</f>
        <v>1750000</v>
      </c>
      <c r="F624" s="238">
        <f>IF(C624="","",('Precio Mayorista'!$D$100*INDEX('Informacion del AEP'!$D$90:$AE$108,MATCH(C624,'Informacion del AEP'!$C$90:$C$108,0),MATCH($C$608,'Informacion del AEP'!$D$89:$AE$89,0))*INDEX('Informacion del AEP'!$F$169:$F$187,MATCH(C624,'Informacion del AEP'!$C$169:$C$187,0))))</f>
        <v>0</v>
      </c>
      <c r="N624" s="209">
        <f>INDEX('Precio Mayorista'!$D$76:$D$94,MATCH('Pagos Mayoristas'!C624,'Precio Mayorista'!$G$76:$G$94,0))*INDEX('Informacion del AEP'!$F$90:$AE$108,MATCH('Pagos Mayoristas'!C624,'Informacion del AEP'!$C$90:$C$108,0),MATCH('Pagos Mayoristas'!$C$608,'Informacion del AEP'!$F$89:$AE$89,0))</f>
        <v>1081733.3333333335</v>
      </c>
    </row>
    <row r="625" spans="3:15" x14ac:dyDescent="0.25">
      <c r="C625" s="5" t="str">
        <f>IF(Supuestos!$B$64="","",Supuestos!$B$64)</f>
        <v>Originación SMS internacional (USA-Canadá)</v>
      </c>
      <c r="D625" s="78">
        <f>INDEX('Informacion del AEP'!$F$90:$AE$108,MATCH('Pagos Mayoristas'!$C625,'Informacion del AEP'!$C$90:$C$108,0),MATCH('Pagos Mayoristas'!C$608,'Informacion del AEP'!$F$89:$AE$89,0))*INDEX('Hoja Auxiliar'!$D$40:$D$58,MATCH('Pagos Mayoristas'!$C625,'Hoja Auxiliar'!$C$40:$C$58,0))</f>
        <v>349999.99999999994</v>
      </c>
      <c r="F625" s="238">
        <f>IF(C625="","",('Precio Mayorista'!$D$100*INDEX('Informacion del AEP'!$D$90:$AE$108,MATCH(C625,'Informacion del AEP'!$C$90:$C$108,0),MATCH($C$608,'Informacion del AEP'!$D$89:$AE$89,0))*INDEX('Informacion del AEP'!$F$169:$F$187,MATCH(C625,'Informacion del AEP'!$C$169:$C$187,0))))</f>
        <v>0</v>
      </c>
      <c r="N625" s="209">
        <f>INDEX('Precio Mayorista'!$D$76:$D$94,MATCH('Pagos Mayoristas'!C625,'Precio Mayorista'!$G$76:$G$94,0))*INDEX('Informacion del AEP'!$F$90:$AE$108,MATCH('Pagos Mayoristas'!C625,'Informacion del AEP'!$C$90:$C$108,0),MATCH('Pagos Mayoristas'!$C$608,'Informacion del AEP'!$F$89:$AE$89,0))</f>
        <v>11666666.666666666</v>
      </c>
    </row>
    <row r="626" spans="3:15" x14ac:dyDescent="0.25">
      <c r="C626" s="5" t="str">
        <f>IF(Supuestos!$B$65="","",Supuestos!$B$65)</f>
        <v>Originación SMS internacional (Resto del Mundo)</v>
      </c>
      <c r="D626" s="78">
        <f>INDEX('Informacion del AEP'!$F$90:$AE$108,MATCH('Pagos Mayoristas'!$C626,'Informacion del AEP'!$C$90:$C$108,0),MATCH('Pagos Mayoristas'!C$608,'Informacion del AEP'!$F$89:$AE$89,0))*INDEX('Hoja Auxiliar'!$D$40:$D$58,MATCH('Pagos Mayoristas'!$C626,'Hoja Auxiliar'!$C$40:$C$58,0))</f>
        <v>35000</v>
      </c>
      <c r="F626" s="238">
        <f>IF(C626="","",('Precio Mayorista'!$D$100*INDEX('Informacion del AEP'!$D$90:$AE$108,MATCH(C626,'Informacion del AEP'!$C$90:$C$108,0),MATCH($C$608,'Informacion del AEP'!$D$89:$AE$89,0))*INDEX('Informacion del AEP'!$F$169:$F$187,MATCH(C626,'Informacion del AEP'!$C$169:$C$187,0))))</f>
        <v>0</v>
      </c>
      <c r="N626" s="209">
        <f>INDEX('Precio Mayorista'!$D$76:$D$94,MATCH('Pagos Mayoristas'!C626,'Precio Mayorista'!$G$76:$G$94,0))*INDEX('Informacion del AEP'!$F$90:$AE$108,MATCH('Pagos Mayoristas'!C626,'Informacion del AEP'!$C$90:$C$108,0),MATCH('Pagos Mayoristas'!$C$608,'Informacion del AEP'!$F$89:$AE$89,0))</f>
        <v>1750000</v>
      </c>
    </row>
    <row r="627" spans="3:15" x14ac:dyDescent="0.25">
      <c r="C627" s="5" t="str">
        <f>IF(Supuestos!$B$66="","",Supuestos!$B$66)</f>
        <v>Otros servicios (incluyendo marcaciones especiales)</v>
      </c>
      <c r="D627" s="78">
        <f>INDEX('Informacion del AEP'!$F$90:$AE$108,MATCH('Pagos Mayoristas'!$C627,'Informacion del AEP'!$C$90:$C$108,0),MATCH('Pagos Mayoristas'!C$608,'Informacion del AEP'!$F$89:$AE$89,0))*INDEX('Hoja Auxiliar'!$D$40:$D$58,MATCH('Pagos Mayoristas'!$C627,'Hoja Auxiliar'!$C$40:$C$58,0))</f>
        <v>35000000</v>
      </c>
      <c r="F627" s="238">
        <f>IF(C627="","",('Precio Mayorista'!$D$100*INDEX('Informacion del AEP'!$D$90:$AE$108,MATCH(C627,'Informacion del AEP'!$C$90:$C$108,0),MATCH($C$608,'Informacion del AEP'!$D$89:$AE$89,0))*INDEX('Informacion del AEP'!$F$169:$F$187,MATCH(C627,'Informacion del AEP'!$C$169:$C$187,0))))</f>
        <v>0</v>
      </c>
      <c r="N627" s="209">
        <f>INDEX('Precio Mayorista'!$D$76:$D$94,MATCH('Pagos Mayoristas'!C627,'Precio Mayorista'!$G$76:$G$94,0))*INDEX('Informacion del AEP'!$F$90:$AE$108,MATCH('Pagos Mayoristas'!C627,'Informacion del AEP'!$C$90:$C$108,0),MATCH('Pagos Mayoristas'!$C$608,'Informacion del AEP'!$F$89:$AE$89,0))</f>
        <v>0</v>
      </c>
    </row>
    <row r="634" spans="3:15" ht="13" x14ac:dyDescent="0.3">
      <c r="C634" s="74" t="str">
        <f>Supuestos!$B$99</f>
        <v>Telcel Pospago 25</v>
      </c>
      <c r="D634" s="77">
        <f>SUM(D635:D653)</f>
        <v>559664233.33333325</v>
      </c>
      <c r="E634" s="75"/>
      <c r="F634" s="77">
        <f>SUM(F635:F653)</f>
        <v>0</v>
      </c>
      <c r="G634" s="75"/>
      <c r="H634" s="77"/>
      <c r="I634" s="77">
        <f>INDEX('Informacion del AEP'!$H$31:$H$84,MATCH('Pagos Mayoristas'!C634,'Informacion del AEP'!$C$31:$C$84,0))*'Hoja Auxiliar'!$D$61</f>
        <v>562500</v>
      </c>
      <c r="J634" s="4"/>
      <c r="K634" s="77"/>
      <c r="L634" s="204">
        <f>$L$10*(INDEX('Informacion del AEP'!$F$12:$AE$12,MATCH('Pagos Mayoristas'!C634,'Informacion del AEP'!$F$11:$AE$11,0))/INDEX('Informacion del AEP'!$F$12:$AE$12,MATCH('Pagos Mayoristas'!$C$10,'Informacion del AEP'!$F$11:$AE$11,0)))</f>
        <v>81827.309257028144</v>
      </c>
      <c r="M634" s="204"/>
      <c r="N634" s="77">
        <f>SUM(N635:N653)</f>
        <v>80715600</v>
      </c>
      <c r="O634" s="204">
        <f>SUM(D634:N634)</f>
        <v>641024160.64259028</v>
      </c>
    </row>
    <row r="635" spans="3:15" x14ac:dyDescent="0.25">
      <c r="C635" s="5" t="str">
        <f>IF(Supuestos!$B$48="","",Supuestos!$B$48)</f>
        <v>Datos</v>
      </c>
      <c r="D635" s="78">
        <f>INDEX('Informacion del AEP'!$F$90:$AE$108,MATCH('Pagos Mayoristas'!$C635,'Informacion del AEP'!$C$90:$C$108,0),MATCH('Pagos Mayoristas'!C$634,'Informacion del AEP'!$F$89:$AE$89,0))*INDEX('Hoja Auxiliar'!$D$40:$D$58,MATCH('Pagos Mayoristas'!$C635,'Hoja Auxiliar'!$C$40:$C$58,0))</f>
        <v>296333333.33333331</v>
      </c>
      <c r="F635" s="238">
        <f>IF(C635="","",('Precio Mayorista'!$D$100*INDEX('Informacion del AEP'!$D$90:$AE$108,MATCH(C635,'Informacion del AEP'!$C$90:$C$108,0),MATCH($C$634,'Informacion del AEP'!$D$89:$AE$89,0))*INDEX('Informacion del AEP'!$F$169:$F$187,MATCH(C635,'Informacion del AEP'!$C$169:$C$187,0))))</f>
        <v>0</v>
      </c>
      <c r="N635" s="209">
        <f>INDEX('Precio Mayorista'!$D$76:$D$94,MATCH('Pagos Mayoristas'!C635,'Precio Mayorista'!$G$76:$G$94,0))*INDEX('Informacion del AEP'!$F$90:$AE$108,MATCH('Pagos Mayoristas'!C635,'Informacion del AEP'!$C$90:$C$108,0),MATCH('Pagos Mayoristas'!$C$634,'Informacion del AEP'!$F$89:$AE$89,0))</f>
        <v>0</v>
      </c>
    </row>
    <row r="636" spans="3:15" x14ac:dyDescent="0.25">
      <c r="C636" s="5" t="str">
        <f>IF(Supuestos!$B$49="","",Supuestos!$B$49)</f>
        <v>Originación voz on-net local</v>
      </c>
      <c r="D636" s="78">
        <f>INDEX('Informacion del AEP'!$F$90:$AE$108,MATCH('Pagos Mayoristas'!$C636,'Informacion del AEP'!$C$90:$C$108,0),MATCH('Pagos Mayoristas'!C$634,'Informacion del AEP'!$F$89:$AE$89,0))*INDEX('Hoja Auxiliar'!$D$40:$D$58,MATCH('Pagos Mayoristas'!$C636,'Hoja Auxiliar'!$C$40:$C$58,0))</f>
        <v>70000000</v>
      </c>
      <c r="F636" s="238">
        <f>IF(C636="","",('Precio Mayorista'!$D$100*INDEX('Informacion del AEP'!$D$90:$AE$108,MATCH(C636,'Informacion del AEP'!$C$90:$C$108,0),MATCH($C$634,'Informacion del AEP'!$D$89:$AE$89,0))*INDEX('Informacion del AEP'!$F$169:$F$187,MATCH(C636,'Informacion del AEP'!$C$169:$C$187,0))))</f>
        <v>0</v>
      </c>
      <c r="N636" s="209">
        <f>INDEX('Precio Mayorista'!$D$76:$D$94,MATCH('Pagos Mayoristas'!C636,'Precio Mayorista'!$G$76:$G$94,0))*INDEX('Informacion del AEP'!$F$90:$AE$108,MATCH('Pagos Mayoristas'!C636,'Informacion del AEP'!$C$90:$C$108,0),MATCH('Pagos Mayoristas'!$C$634,'Informacion del AEP'!$F$89:$AE$89,0))</f>
        <v>0</v>
      </c>
    </row>
    <row r="637" spans="3:15" x14ac:dyDescent="0.25">
      <c r="C637" s="5" t="str">
        <f>IF(Supuestos!$B$50="","",Supuestos!$B$50)</f>
        <v>Originación voz off-net móvil local</v>
      </c>
      <c r="D637" s="78">
        <f>INDEX('Informacion del AEP'!$F$90:$AE$108,MATCH('Pagos Mayoristas'!$C637,'Informacion del AEP'!$C$90:$C$108,0),MATCH('Pagos Mayoristas'!C$634,'Informacion del AEP'!$F$89:$AE$89,0))*INDEX('Hoja Auxiliar'!$D$40:$D$58,MATCH('Pagos Mayoristas'!$C637,'Hoja Auxiliar'!$C$40:$C$58,0))</f>
        <v>14000000</v>
      </c>
      <c r="F637" s="238">
        <f>IF(C637="","",('Precio Mayorista'!$D$100*INDEX('Informacion del AEP'!$D$90:$AE$108,MATCH(C637,'Informacion del AEP'!$C$90:$C$108,0),MATCH($C$634,'Informacion del AEP'!$D$89:$AE$89,0))*INDEX('Informacion del AEP'!$F$169:$F$187,MATCH(C637,'Informacion del AEP'!$C$169:$C$187,0))))</f>
        <v>0</v>
      </c>
      <c r="N637" s="209">
        <f>INDEX('Precio Mayorista'!$D$76:$D$94,MATCH('Pagos Mayoristas'!C637,'Precio Mayorista'!$G$76:$G$94,0))*INDEX('Informacion del AEP'!$F$90:$AE$108,MATCH('Pagos Mayoristas'!C637,'Informacion del AEP'!$C$90:$C$108,0),MATCH('Pagos Mayoristas'!$C$634,'Informacion del AEP'!$F$89:$AE$89,0))</f>
        <v>19703133.333333336</v>
      </c>
    </row>
    <row r="638" spans="3:15" x14ac:dyDescent="0.25">
      <c r="C638" s="5" t="str">
        <f>IF(Supuestos!$B$51="","",Supuestos!$B$51)</f>
        <v>Originación voz off-net fijo local</v>
      </c>
      <c r="D638" s="78">
        <f>INDEX('Informacion del AEP'!$F$90:$AE$108,MATCH('Pagos Mayoristas'!$C638,'Informacion del AEP'!$C$90:$C$108,0),MATCH('Pagos Mayoristas'!C$634,'Informacion del AEP'!$F$89:$AE$89,0))*INDEX('Hoja Auxiliar'!$D$40:$D$58,MATCH('Pagos Mayoristas'!$C638,'Hoja Auxiliar'!$C$40:$C$58,0))</f>
        <v>7000000</v>
      </c>
      <c r="F638" s="238">
        <f>IF(C638="","",('Precio Mayorista'!$D$100*INDEX('Informacion del AEP'!$D$90:$AE$108,MATCH(C638,'Informacion del AEP'!$C$90:$C$108,0),MATCH($C$634,'Informacion del AEP'!$D$89:$AE$89,0))*INDEX('Informacion del AEP'!$F$169:$F$187,MATCH(C638,'Informacion del AEP'!$C$169:$C$187,0))))</f>
        <v>0</v>
      </c>
      <c r="N638" s="209">
        <f>INDEX('Precio Mayorista'!$D$76:$D$94,MATCH('Pagos Mayoristas'!C638,'Precio Mayorista'!$G$76:$G$94,0))*INDEX('Informacion del AEP'!$F$90:$AE$108,MATCH('Pagos Mayoristas'!C638,'Informacion del AEP'!$C$90:$C$108,0),MATCH('Pagos Mayoristas'!$C$634,'Informacion del AEP'!$F$89:$AE$89,0))</f>
        <v>780033.33333333337</v>
      </c>
    </row>
    <row r="639" spans="3:15" x14ac:dyDescent="0.25">
      <c r="C639" s="5" t="str">
        <f>IF(Supuestos!$B$52="","",Supuestos!$B$52)</f>
        <v>Originación voz on-net LDN</v>
      </c>
      <c r="D639" s="78">
        <f>INDEX('Informacion del AEP'!$F$90:$AE$108,MATCH('Pagos Mayoristas'!$C639,'Informacion del AEP'!$C$90:$C$108,0),MATCH('Pagos Mayoristas'!C$634,'Informacion del AEP'!$F$89:$AE$89,0))*INDEX('Hoja Auxiliar'!$D$40:$D$58,MATCH('Pagos Mayoristas'!$C639,'Hoja Auxiliar'!$C$40:$C$58,0))</f>
        <v>105000000</v>
      </c>
      <c r="F639" s="238">
        <f>IF(C639="","",('Precio Mayorista'!$D$100*INDEX('Informacion del AEP'!$D$90:$AE$108,MATCH(C639,'Informacion del AEP'!$C$90:$C$108,0),MATCH($C$634,'Informacion del AEP'!$D$89:$AE$89,0))*INDEX('Informacion del AEP'!$F$169:$F$187,MATCH(C639,'Informacion del AEP'!$C$169:$C$187,0))))</f>
        <v>0</v>
      </c>
      <c r="N639" s="209">
        <f>INDEX('Precio Mayorista'!$D$76:$D$94,MATCH('Pagos Mayoristas'!C639,'Precio Mayorista'!$G$76:$G$94,0))*INDEX('Informacion del AEP'!$F$90:$AE$108,MATCH('Pagos Mayoristas'!C639,'Informacion del AEP'!$C$90:$C$108,0),MATCH('Pagos Mayoristas'!$C$634,'Informacion del AEP'!$F$89:$AE$89,0))</f>
        <v>0</v>
      </c>
    </row>
    <row r="640" spans="3:15" x14ac:dyDescent="0.25">
      <c r="C640" s="5" t="str">
        <f>IF(Supuestos!$B$53="","",Supuestos!$B$53)</f>
        <v>Originación voz off-net móvil LDN</v>
      </c>
      <c r="D640" s="78">
        <f>INDEX('Informacion del AEP'!$F$90:$AE$108,MATCH('Pagos Mayoristas'!$C640,'Informacion del AEP'!$C$90:$C$108,0),MATCH('Pagos Mayoristas'!C$634,'Informacion del AEP'!$F$89:$AE$89,0))*INDEX('Hoja Auxiliar'!$D$40:$D$58,MATCH('Pagos Mayoristas'!$C640,'Hoja Auxiliar'!$C$40:$C$58,0))</f>
        <v>10499999.999999998</v>
      </c>
      <c r="F640" s="238">
        <f>IF(C640="","",('Precio Mayorista'!$D$100*INDEX('Informacion del AEP'!$D$90:$AE$108,MATCH(C640,'Informacion del AEP'!$C$90:$C$108,0),MATCH($C$634,'Informacion del AEP'!$D$89:$AE$89,0))*INDEX('Informacion del AEP'!$F$169:$F$187,MATCH(C640,'Informacion del AEP'!$C$169:$C$187,0))))</f>
        <v>0</v>
      </c>
      <c r="N640" s="209">
        <f>INDEX('Precio Mayorista'!$D$76:$D$94,MATCH('Pagos Mayoristas'!C640,'Precio Mayorista'!$G$76:$G$94,0))*INDEX('Informacion del AEP'!$F$90:$AE$108,MATCH('Pagos Mayoristas'!C640,'Informacion del AEP'!$C$90:$C$108,0),MATCH('Pagos Mayoristas'!$C$634,'Informacion del AEP'!$F$89:$AE$89,0))</f>
        <v>14777349.999999998</v>
      </c>
    </row>
    <row r="641" spans="3:14" x14ac:dyDescent="0.25">
      <c r="C641" s="5" t="str">
        <f>IF(Supuestos!$B$54="","",Supuestos!$B$54)</f>
        <v>Originación voz off-net fijo LDN</v>
      </c>
      <c r="D641" s="78">
        <f>INDEX('Informacion del AEP'!$F$90:$AE$108,MATCH('Pagos Mayoristas'!$C641,'Informacion del AEP'!$C$90:$C$108,0),MATCH('Pagos Mayoristas'!C$634,'Informacion del AEP'!$F$89:$AE$89,0))*INDEX('Hoja Auxiliar'!$D$40:$D$58,MATCH('Pagos Mayoristas'!$C641,'Hoja Auxiliar'!$C$40:$C$58,0))</f>
        <v>3500000</v>
      </c>
      <c r="F641" s="238">
        <f>IF(C641="","",('Precio Mayorista'!$D$100*INDEX('Informacion del AEP'!$D$90:$AE$108,MATCH(C641,'Informacion del AEP'!$C$90:$C$108,0),MATCH($C$634,'Informacion del AEP'!$D$89:$AE$89,0))*INDEX('Informacion del AEP'!$F$169:$F$187,MATCH(C641,'Informacion del AEP'!$C$169:$C$187,0))))</f>
        <v>0</v>
      </c>
      <c r="N641" s="209">
        <f>INDEX('Precio Mayorista'!$D$76:$D$94,MATCH('Pagos Mayoristas'!C641,'Precio Mayorista'!$G$76:$G$94,0))*INDEX('Informacion del AEP'!$F$90:$AE$108,MATCH('Pagos Mayoristas'!C641,'Informacion del AEP'!$C$90:$C$108,0),MATCH('Pagos Mayoristas'!$C$634,'Informacion del AEP'!$F$89:$AE$89,0))</f>
        <v>390016.66666666669</v>
      </c>
    </row>
    <row r="642" spans="3:14" x14ac:dyDescent="0.25">
      <c r="C642" s="5" t="str">
        <f>IF(Supuestos!$B$55="","",Supuestos!$B$55)</f>
        <v>Originación voz internacional USA-Canadá</v>
      </c>
      <c r="D642" s="78">
        <f>INDEX('Informacion del AEP'!$F$90:$AE$108,MATCH('Pagos Mayoristas'!$C642,'Informacion del AEP'!$C$90:$C$108,0),MATCH('Pagos Mayoristas'!C$634,'Informacion del AEP'!$F$89:$AE$89,0))*INDEX('Hoja Auxiliar'!$D$40:$D$58,MATCH('Pagos Mayoristas'!$C642,'Hoja Auxiliar'!$C$40:$C$58,0))</f>
        <v>9099999.9999999981</v>
      </c>
      <c r="F642" s="238">
        <f>IF(C642="","",('Precio Mayorista'!$D$100*INDEX('Informacion del AEP'!$D$90:$AE$108,MATCH(C642,'Informacion del AEP'!$C$90:$C$108,0),MATCH($C$634,'Informacion del AEP'!$D$89:$AE$89,0))*INDEX('Informacion del AEP'!$F$169:$F$187,MATCH(C642,'Informacion del AEP'!$C$169:$C$187,0))))</f>
        <v>0</v>
      </c>
      <c r="N642" s="209">
        <f>INDEX('Precio Mayorista'!$D$76:$D$94,MATCH('Pagos Mayoristas'!C642,'Precio Mayorista'!$G$76:$G$94,0))*INDEX('Informacion del AEP'!$F$90:$AE$108,MATCH('Pagos Mayoristas'!C642,'Informacion del AEP'!$C$90:$C$108,0),MATCH('Pagos Mayoristas'!$C$634,'Informacion del AEP'!$F$89:$AE$89,0))</f>
        <v>15166666.666666666</v>
      </c>
    </row>
    <row r="643" spans="3:14" x14ac:dyDescent="0.25">
      <c r="C643" s="5" t="str">
        <f>IF(Supuestos!$B$56="","",Supuestos!$B$56)</f>
        <v>Originación voz internacional Mundial Centroamérica</v>
      </c>
      <c r="D643" s="78">
        <f>INDEX('Informacion del AEP'!$F$90:$AE$108,MATCH('Pagos Mayoristas'!$C643,'Informacion del AEP'!$C$90:$C$108,0),MATCH('Pagos Mayoristas'!C$634,'Informacion del AEP'!$F$89:$AE$89,0))*INDEX('Hoja Auxiliar'!$D$40:$D$58,MATCH('Pagos Mayoristas'!$C643,'Hoja Auxiliar'!$C$40:$C$58,0))</f>
        <v>21000</v>
      </c>
      <c r="F643" s="238">
        <f>IF(C643="","",('Precio Mayorista'!$D$100*INDEX('Informacion del AEP'!$D$90:$AE$108,MATCH(C643,'Informacion del AEP'!$C$90:$C$108,0),MATCH($C$634,'Informacion del AEP'!$D$89:$AE$89,0))*INDEX('Informacion del AEP'!$F$169:$F$187,MATCH(C643,'Informacion del AEP'!$C$169:$C$187,0))))</f>
        <v>0</v>
      </c>
      <c r="N643" s="209">
        <f>INDEX('Precio Mayorista'!$D$76:$D$94,MATCH('Pagos Mayoristas'!C643,'Precio Mayorista'!$G$76:$G$94,0))*INDEX('Informacion del AEP'!$F$90:$AE$108,MATCH('Pagos Mayoristas'!C643,'Informacion del AEP'!$C$90:$C$108,0),MATCH('Pagos Mayoristas'!$C$634,'Informacion del AEP'!$F$89:$AE$89,0))</f>
        <v>1750000</v>
      </c>
    </row>
    <row r="644" spans="3:14" x14ac:dyDescent="0.25">
      <c r="C644" s="5" t="str">
        <f>IF(Supuestos!$B$57="","",Supuestos!$B$57)</f>
        <v>Originación voz internacional Mundial LATAM y Caribe</v>
      </c>
      <c r="D644" s="78">
        <f>INDEX('Informacion del AEP'!$F$90:$AE$108,MATCH('Pagos Mayoristas'!$C644,'Informacion del AEP'!$C$90:$C$108,0),MATCH('Pagos Mayoristas'!C$634,'Informacion del AEP'!$F$89:$AE$89,0))*INDEX('Hoja Auxiliar'!$D$40:$D$58,MATCH('Pagos Mayoristas'!$C644,'Hoja Auxiliar'!$C$40:$C$58,0))</f>
        <v>1399.9999999999998</v>
      </c>
      <c r="F644" s="238">
        <f>IF(C644="","",('Precio Mayorista'!$D$100*INDEX('Informacion del AEP'!$D$90:$AE$108,MATCH(C644,'Informacion del AEP'!$C$90:$C$108,0),MATCH($C$634,'Informacion del AEP'!$D$89:$AE$89,0))*INDEX('Informacion del AEP'!$F$169:$F$187,MATCH(C644,'Informacion del AEP'!$C$169:$C$187,0))))</f>
        <v>0</v>
      </c>
      <c r="N644" s="209">
        <f>INDEX('Precio Mayorista'!$D$76:$D$94,MATCH('Pagos Mayoristas'!C644,'Precio Mayorista'!$G$76:$G$94,0))*INDEX('Informacion del AEP'!$F$90:$AE$108,MATCH('Pagos Mayoristas'!C644,'Informacion del AEP'!$C$90:$C$108,0),MATCH('Pagos Mayoristas'!$C$634,'Informacion del AEP'!$F$89:$AE$89,0))</f>
        <v>233333.33333333331</v>
      </c>
    </row>
    <row r="645" spans="3:14" x14ac:dyDescent="0.25">
      <c r="C645" s="5" t="str">
        <f>IF(Supuestos!$B$58="","",Supuestos!$B$58)</f>
        <v>Originación voz internacional Europa</v>
      </c>
      <c r="D645" s="78">
        <f>INDEX('Informacion del AEP'!$F$90:$AE$108,MATCH('Pagos Mayoristas'!$C645,'Informacion del AEP'!$C$90:$C$108,0),MATCH('Pagos Mayoristas'!C$634,'Informacion del AEP'!$F$89:$AE$89,0))*INDEX('Hoja Auxiliar'!$D$40:$D$58,MATCH('Pagos Mayoristas'!$C645,'Hoja Auxiliar'!$C$40:$C$58,0))</f>
        <v>0</v>
      </c>
      <c r="F645" s="238">
        <f>IF(C645="","",('Precio Mayorista'!$D$100*INDEX('Informacion del AEP'!$D$90:$AE$108,MATCH(C645,'Informacion del AEP'!$C$90:$C$108,0),MATCH($C$634,'Informacion del AEP'!$D$89:$AE$89,0))*INDEX('Informacion del AEP'!$F$169:$F$187,MATCH(C645,'Informacion del AEP'!$C$169:$C$187,0))))</f>
        <v>0</v>
      </c>
      <c r="N645" s="209">
        <f>INDEX('Precio Mayorista'!$D$76:$D$94,MATCH('Pagos Mayoristas'!C645,'Precio Mayorista'!$G$76:$G$94,0))*INDEX('Informacion del AEP'!$F$90:$AE$108,MATCH('Pagos Mayoristas'!C645,'Informacion del AEP'!$C$90:$C$108,0),MATCH('Pagos Mayoristas'!$C$634,'Informacion del AEP'!$F$89:$AE$89,0))</f>
        <v>0</v>
      </c>
    </row>
    <row r="646" spans="3:14" x14ac:dyDescent="0.25">
      <c r="C646" s="5" t="str">
        <f>IF(Supuestos!$B$59="","",Supuestos!$B$59)</f>
        <v>Originación voz internacional Mundial Otros geográficos</v>
      </c>
      <c r="D646" s="78">
        <f>INDEX('Informacion del AEP'!$F$90:$AE$108,MATCH('Pagos Mayoristas'!$C646,'Informacion del AEP'!$C$90:$C$108,0),MATCH('Pagos Mayoristas'!C$634,'Informacion del AEP'!$F$89:$AE$89,0))*INDEX('Hoja Auxiliar'!$D$40:$D$58,MATCH('Pagos Mayoristas'!$C646,'Hoja Auxiliar'!$C$40:$C$58,0))</f>
        <v>70000</v>
      </c>
      <c r="F646" s="238">
        <f>IF(C646="","",('Precio Mayorista'!$D$100*INDEX('Informacion del AEP'!$D$90:$AE$108,MATCH(C646,'Informacion del AEP'!$C$90:$C$108,0),MATCH($C$634,'Informacion del AEP'!$D$89:$AE$89,0))*INDEX('Informacion del AEP'!$F$169:$F$187,MATCH(C646,'Informacion del AEP'!$C$169:$C$187,0))))</f>
        <v>0</v>
      </c>
      <c r="N646" s="209">
        <f>INDEX('Precio Mayorista'!$D$76:$D$94,MATCH('Pagos Mayoristas'!C646,'Precio Mayorista'!$G$76:$G$94,0))*INDEX('Informacion del AEP'!$F$90:$AE$108,MATCH('Pagos Mayoristas'!C646,'Informacion del AEP'!$C$90:$C$108,0),MATCH('Pagos Mayoristas'!$C$634,'Informacion del AEP'!$F$89:$AE$89,0))</f>
        <v>11666666.666666668</v>
      </c>
    </row>
    <row r="647" spans="3:14" x14ac:dyDescent="0.25">
      <c r="C647" s="5" t="str">
        <f>IF(Supuestos!$B$60="","",Supuestos!$B$60)</f>
        <v>Originación voz internacional Cuba</v>
      </c>
      <c r="D647" s="78">
        <f>INDEX('Informacion del AEP'!$F$90:$AE$108,MATCH('Pagos Mayoristas'!$C647,'Informacion del AEP'!$C$90:$C$108,0),MATCH('Pagos Mayoristas'!C$634,'Informacion del AEP'!$F$89:$AE$89,0))*INDEX('Hoja Auxiliar'!$D$40:$D$58,MATCH('Pagos Mayoristas'!$C647,'Hoja Auxiliar'!$C$40:$C$58,0))</f>
        <v>3500</v>
      </c>
      <c r="F647" s="238">
        <f>IF(C647="","",('Precio Mayorista'!$D$100*INDEX('Informacion del AEP'!$D$90:$AE$108,MATCH(C647,'Informacion del AEP'!$C$90:$C$108,0),MATCH($C$634,'Informacion del AEP'!$D$89:$AE$89,0))*INDEX('Informacion del AEP'!$F$169:$F$187,MATCH(C647,'Informacion del AEP'!$C$169:$C$187,0))))</f>
        <v>0</v>
      </c>
      <c r="N647" s="209">
        <f>INDEX('Precio Mayorista'!$D$76:$D$94,MATCH('Pagos Mayoristas'!C647,'Precio Mayorista'!$G$76:$G$94,0))*INDEX('Informacion del AEP'!$F$90:$AE$108,MATCH('Pagos Mayoristas'!C647,'Informacion del AEP'!$C$90:$C$108,0),MATCH('Pagos Mayoristas'!$C$634,'Informacion del AEP'!$F$89:$AE$89,0))</f>
        <v>1750000</v>
      </c>
    </row>
    <row r="648" spans="3:14" x14ac:dyDescent="0.25">
      <c r="C648" s="5" t="str">
        <f>IF(Supuestos!$B$61="","",Supuestos!$B$61)</f>
        <v>Originación voz Mundial destinos no geográficos</v>
      </c>
      <c r="D648" s="78">
        <f>INDEX('Informacion del AEP'!$F$90:$AE$108,MATCH('Pagos Mayoristas'!$C648,'Informacion del AEP'!$C$90:$C$108,0),MATCH('Pagos Mayoristas'!C$634,'Informacion del AEP'!$F$89:$AE$89,0))*INDEX('Hoja Auxiliar'!$D$40:$D$58,MATCH('Pagos Mayoristas'!$C648,'Hoja Auxiliar'!$C$40:$C$58,0))</f>
        <v>0</v>
      </c>
      <c r="F648" s="238">
        <f>IF(C648="","",('Precio Mayorista'!$D$100*INDEX('Informacion del AEP'!$D$90:$AE$108,MATCH(C648,'Informacion del AEP'!$C$90:$C$108,0),MATCH($C$634,'Informacion del AEP'!$D$89:$AE$89,0))*INDEX('Informacion del AEP'!$F$169:$F$187,MATCH(C648,'Informacion del AEP'!$C$169:$C$187,0))))</f>
        <v>0</v>
      </c>
      <c r="N648" s="209">
        <f>INDEX('Precio Mayorista'!$D$76:$D$94,MATCH('Pagos Mayoristas'!C648,'Precio Mayorista'!$G$76:$G$94,0))*INDEX('Informacion del AEP'!$F$90:$AE$108,MATCH('Pagos Mayoristas'!C648,'Informacion del AEP'!$C$90:$C$108,0),MATCH('Pagos Mayoristas'!$C$634,'Informacion del AEP'!$F$89:$AE$89,0))</f>
        <v>0</v>
      </c>
    </row>
    <row r="649" spans="3:14" x14ac:dyDescent="0.25">
      <c r="C649" s="5" t="str">
        <f>IF(Supuestos!$B$62="","",Supuestos!$B$62)</f>
        <v>Originación SMS on-net</v>
      </c>
      <c r="D649" s="78">
        <f>INDEX('Informacion del AEP'!$F$90:$AE$108,MATCH('Pagos Mayoristas'!$C649,'Informacion del AEP'!$C$90:$C$108,0),MATCH('Pagos Mayoristas'!C$634,'Informacion del AEP'!$F$89:$AE$89,0))*INDEX('Hoja Auxiliar'!$D$40:$D$58,MATCH('Pagos Mayoristas'!$C649,'Hoja Auxiliar'!$C$40:$C$58,0))</f>
        <v>7000000</v>
      </c>
      <c r="F649" s="238">
        <f>IF(C649="","",('Precio Mayorista'!$D$100*INDEX('Informacion del AEP'!$D$90:$AE$108,MATCH(C649,'Informacion del AEP'!$C$90:$C$108,0),MATCH($C$634,'Informacion del AEP'!$D$89:$AE$89,0))*INDEX('Informacion del AEP'!$F$169:$F$187,MATCH(C649,'Informacion del AEP'!$C$169:$C$187,0))))</f>
        <v>0</v>
      </c>
      <c r="N649" s="209">
        <f>INDEX('Precio Mayorista'!$D$76:$D$94,MATCH('Pagos Mayoristas'!C649,'Precio Mayorista'!$G$76:$G$94,0))*INDEX('Informacion del AEP'!$F$90:$AE$108,MATCH('Pagos Mayoristas'!C649,'Informacion del AEP'!$C$90:$C$108,0),MATCH('Pagos Mayoristas'!$C$634,'Informacion del AEP'!$F$89:$AE$89,0))</f>
        <v>0</v>
      </c>
    </row>
    <row r="650" spans="3:14" x14ac:dyDescent="0.25">
      <c r="C650" s="5" t="str">
        <f>IF(Supuestos!$B$63="","",Supuestos!$B$63)</f>
        <v>Originación SMS - off-net nacional</v>
      </c>
      <c r="D650" s="78">
        <f>INDEX('Informacion del AEP'!$F$90:$AE$108,MATCH('Pagos Mayoristas'!$C650,'Informacion del AEP'!$C$90:$C$108,0),MATCH('Pagos Mayoristas'!C$634,'Informacion del AEP'!$F$89:$AE$89,0))*INDEX('Hoja Auxiliar'!$D$40:$D$58,MATCH('Pagos Mayoristas'!$C650,'Hoja Auxiliar'!$C$40:$C$58,0))</f>
        <v>1750000</v>
      </c>
      <c r="F650" s="238">
        <f>IF(C650="","",('Precio Mayorista'!$D$100*INDEX('Informacion del AEP'!$D$90:$AE$108,MATCH(C650,'Informacion del AEP'!$C$90:$C$108,0),MATCH($C$634,'Informacion del AEP'!$D$89:$AE$89,0))*INDEX('Informacion del AEP'!$F$169:$F$187,MATCH(C650,'Informacion del AEP'!$C$169:$C$187,0))))</f>
        <v>0</v>
      </c>
      <c r="N650" s="209">
        <f>INDEX('Precio Mayorista'!$D$76:$D$94,MATCH('Pagos Mayoristas'!C650,'Precio Mayorista'!$G$76:$G$94,0))*INDEX('Informacion del AEP'!$F$90:$AE$108,MATCH('Pagos Mayoristas'!C650,'Informacion del AEP'!$C$90:$C$108,0),MATCH('Pagos Mayoristas'!$C$634,'Informacion del AEP'!$F$89:$AE$89,0))</f>
        <v>1081733.3333333335</v>
      </c>
    </row>
    <row r="651" spans="3:14" x14ac:dyDescent="0.25">
      <c r="C651" s="5" t="str">
        <f>IF(Supuestos!$B$64="","",Supuestos!$B$64)</f>
        <v>Originación SMS internacional (USA-Canadá)</v>
      </c>
      <c r="D651" s="78">
        <f>INDEX('Informacion del AEP'!$F$90:$AE$108,MATCH('Pagos Mayoristas'!$C651,'Informacion del AEP'!$C$90:$C$108,0),MATCH('Pagos Mayoristas'!C$634,'Informacion del AEP'!$F$89:$AE$89,0))*INDEX('Hoja Auxiliar'!$D$40:$D$58,MATCH('Pagos Mayoristas'!$C651,'Hoja Auxiliar'!$C$40:$C$58,0))</f>
        <v>349999.99999999994</v>
      </c>
      <c r="F651" s="238">
        <f>IF(C651="","",('Precio Mayorista'!$D$100*INDEX('Informacion del AEP'!$D$90:$AE$108,MATCH(C651,'Informacion del AEP'!$C$90:$C$108,0),MATCH($C$634,'Informacion del AEP'!$D$89:$AE$89,0))*INDEX('Informacion del AEP'!$F$169:$F$187,MATCH(C651,'Informacion del AEP'!$C$169:$C$187,0))))</f>
        <v>0</v>
      </c>
      <c r="N651" s="209">
        <f>INDEX('Precio Mayorista'!$D$76:$D$94,MATCH('Pagos Mayoristas'!C651,'Precio Mayorista'!$G$76:$G$94,0))*INDEX('Informacion del AEP'!$F$90:$AE$108,MATCH('Pagos Mayoristas'!C651,'Informacion del AEP'!$C$90:$C$108,0),MATCH('Pagos Mayoristas'!$C$634,'Informacion del AEP'!$F$89:$AE$89,0))</f>
        <v>11666666.666666666</v>
      </c>
    </row>
    <row r="652" spans="3:14" x14ac:dyDescent="0.25">
      <c r="C652" s="5" t="str">
        <f>IF(Supuestos!$B$65="","",Supuestos!$B$65)</f>
        <v>Originación SMS internacional (Resto del Mundo)</v>
      </c>
      <c r="D652" s="78">
        <f>INDEX('Informacion del AEP'!$F$90:$AE$108,MATCH('Pagos Mayoristas'!$C652,'Informacion del AEP'!$C$90:$C$108,0),MATCH('Pagos Mayoristas'!C$634,'Informacion del AEP'!$F$89:$AE$89,0))*INDEX('Hoja Auxiliar'!$D$40:$D$58,MATCH('Pagos Mayoristas'!$C652,'Hoja Auxiliar'!$C$40:$C$58,0))</f>
        <v>35000</v>
      </c>
      <c r="F652" s="238">
        <f>IF(C652="","",('Precio Mayorista'!$D$100*INDEX('Informacion del AEP'!$D$90:$AE$108,MATCH(C652,'Informacion del AEP'!$C$90:$C$108,0),MATCH($C$634,'Informacion del AEP'!$D$89:$AE$89,0))*INDEX('Informacion del AEP'!$F$169:$F$187,MATCH(C652,'Informacion del AEP'!$C$169:$C$187,0))))</f>
        <v>0</v>
      </c>
      <c r="N652" s="209">
        <f>INDEX('Precio Mayorista'!$D$76:$D$94,MATCH('Pagos Mayoristas'!C652,'Precio Mayorista'!$G$76:$G$94,0))*INDEX('Informacion del AEP'!$F$90:$AE$108,MATCH('Pagos Mayoristas'!C652,'Informacion del AEP'!$C$90:$C$108,0),MATCH('Pagos Mayoristas'!$C$634,'Informacion del AEP'!$F$89:$AE$89,0))</f>
        <v>1750000</v>
      </c>
    </row>
    <row r="653" spans="3:14" x14ac:dyDescent="0.25">
      <c r="C653" s="5" t="str">
        <f>IF(Supuestos!$B$66="","",Supuestos!$B$66)</f>
        <v>Otros servicios (incluyendo marcaciones especiales)</v>
      </c>
      <c r="D653" s="78">
        <f>INDEX('Informacion del AEP'!$F$90:$AE$108,MATCH('Pagos Mayoristas'!$C653,'Informacion del AEP'!$C$90:$C$108,0),MATCH('Pagos Mayoristas'!C$634,'Informacion del AEP'!$F$89:$AE$89,0))*INDEX('Hoja Auxiliar'!$D$40:$D$58,MATCH('Pagos Mayoristas'!$C653,'Hoja Auxiliar'!$C$40:$C$58,0))</f>
        <v>35000000</v>
      </c>
      <c r="F653" s="238">
        <f>IF(C653="","",('Precio Mayorista'!$D$100*INDEX('Informacion del AEP'!$D$90:$AE$108,MATCH(C653,'Informacion del AEP'!$C$90:$C$108,0),MATCH($C$634,'Informacion del AEP'!$D$89:$AE$89,0))*INDEX('Informacion del AEP'!$F$169:$F$187,MATCH(C653,'Informacion del AEP'!$C$169:$C$187,0))))</f>
        <v>0</v>
      </c>
      <c r="N653" s="209">
        <f>INDEX('Precio Mayorista'!$D$76:$D$94,MATCH('Pagos Mayoristas'!C653,'Precio Mayorista'!$G$76:$G$94,0))*INDEX('Informacion del AEP'!$F$90:$AE$108,MATCH('Pagos Mayoristas'!C653,'Informacion del AEP'!$C$90:$C$108,0),MATCH('Pagos Mayoristas'!$C$634,'Informacion del AEP'!$F$89:$AE$89,0))</f>
        <v>0</v>
      </c>
    </row>
    <row r="660" spans="3:15" ht="13" x14ac:dyDescent="0.3">
      <c r="C660" s="74" t="str">
        <f>Supuestos!$B$100</f>
        <v>Telcel Pospago 26</v>
      </c>
      <c r="D660" s="77">
        <f>SUM(D661:D679)</f>
        <v>559664233.33333325</v>
      </c>
      <c r="E660" s="75"/>
      <c r="F660" s="77">
        <f>SUM(F661:F679)</f>
        <v>0</v>
      </c>
      <c r="G660" s="75"/>
      <c r="H660" s="77"/>
      <c r="I660" s="77">
        <f>INDEX('Informacion del AEP'!$H$31:$H$84,MATCH('Pagos Mayoristas'!C660,'Informacion del AEP'!$C$31:$C$84,0))*'Hoja Auxiliar'!$D$61</f>
        <v>215265</v>
      </c>
      <c r="J660" s="4"/>
      <c r="K660" s="77"/>
      <c r="L660" s="204">
        <f>$L$10*(INDEX('Informacion del AEP'!$F$12:$AE$12,MATCH('Pagos Mayoristas'!C660,'Informacion del AEP'!$F$11:$AE$11,0))/INDEX('Informacion del AEP'!$F$12:$AE$12,MATCH('Pagos Mayoristas'!$C$10,'Informacion del AEP'!$F$11:$AE$11,0)))</f>
        <v>81827.309257028144</v>
      </c>
      <c r="M660" s="204"/>
      <c r="N660" s="77">
        <f>SUM(N661:N679)</f>
        <v>80715600</v>
      </c>
      <c r="O660" s="204">
        <f>SUM(D660:N660)</f>
        <v>640676925.64259028</v>
      </c>
    </row>
    <row r="661" spans="3:15" x14ac:dyDescent="0.25">
      <c r="C661" s="5" t="str">
        <f>IF(Supuestos!$B$48="","",Supuestos!$B$48)</f>
        <v>Datos</v>
      </c>
      <c r="D661" s="78">
        <f>INDEX('Informacion del AEP'!$F$90:$AE$108,MATCH('Pagos Mayoristas'!$C661,'Informacion del AEP'!$C$90:$C$108,0),MATCH('Pagos Mayoristas'!C$660,'Informacion del AEP'!$F$89:$AE$89,0))*INDEX('Hoja Auxiliar'!$D$40:$D$58,MATCH('Pagos Mayoristas'!$C661,'Hoja Auxiliar'!$C$40:$C$58,0))</f>
        <v>296333333.33333331</v>
      </c>
      <c r="F661" s="238">
        <f>IF(C661="","",('Precio Mayorista'!$D$100*INDEX('Informacion del AEP'!$D$90:$AE$108,MATCH(C661,'Informacion del AEP'!$C$90:$C$108,0),MATCH($C$660,'Informacion del AEP'!$D$89:$AE$89,0))*INDEX('Informacion del AEP'!$F$169:$F$187,MATCH(C661,'Informacion del AEP'!$C$169:$C$187,0))))</f>
        <v>0</v>
      </c>
      <c r="N661" s="209">
        <f>INDEX('Precio Mayorista'!$D$76:$D$94,MATCH('Pagos Mayoristas'!C661,'Precio Mayorista'!$G$76:$G$94,0))*INDEX('Informacion del AEP'!$F$90:$AE$108,MATCH('Pagos Mayoristas'!C661,'Informacion del AEP'!$C$90:$C$108,0),MATCH('Pagos Mayoristas'!$C$660,'Informacion del AEP'!$F$89:$AE$89,0))</f>
        <v>0</v>
      </c>
    </row>
    <row r="662" spans="3:15" x14ac:dyDescent="0.25">
      <c r="C662" s="5" t="str">
        <f>IF(Supuestos!$B$49="","",Supuestos!$B$49)</f>
        <v>Originación voz on-net local</v>
      </c>
      <c r="D662" s="78">
        <f>INDEX('Informacion del AEP'!$F$90:$AE$108,MATCH('Pagos Mayoristas'!$C662,'Informacion del AEP'!$C$90:$C$108,0),MATCH('Pagos Mayoristas'!C$660,'Informacion del AEP'!$F$89:$AE$89,0))*INDEX('Hoja Auxiliar'!$D$40:$D$58,MATCH('Pagos Mayoristas'!$C662,'Hoja Auxiliar'!$C$40:$C$58,0))</f>
        <v>70000000</v>
      </c>
      <c r="F662" s="238">
        <f>IF(C662="","",('Precio Mayorista'!$D$100*INDEX('Informacion del AEP'!$D$90:$AE$108,MATCH(C662,'Informacion del AEP'!$C$90:$C$108,0),MATCH($C$660,'Informacion del AEP'!$D$89:$AE$89,0))*INDEX('Informacion del AEP'!$F$169:$F$187,MATCH(C662,'Informacion del AEP'!$C$169:$C$187,0))))</f>
        <v>0</v>
      </c>
      <c r="N662" s="209">
        <f>INDEX('Precio Mayorista'!$D$76:$D$94,MATCH('Pagos Mayoristas'!C662,'Precio Mayorista'!$G$76:$G$94,0))*INDEX('Informacion del AEP'!$F$90:$AE$108,MATCH('Pagos Mayoristas'!C662,'Informacion del AEP'!$C$90:$C$108,0),MATCH('Pagos Mayoristas'!$C$660,'Informacion del AEP'!$F$89:$AE$89,0))</f>
        <v>0</v>
      </c>
    </row>
    <row r="663" spans="3:15" x14ac:dyDescent="0.25">
      <c r="C663" s="5" t="str">
        <f>IF(Supuestos!$B$50="","",Supuestos!$B$50)</f>
        <v>Originación voz off-net móvil local</v>
      </c>
      <c r="D663" s="78">
        <f>INDEX('Informacion del AEP'!$F$90:$AE$108,MATCH('Pagos Mayoristas'!$C663,'Informacion del AEP'!$C$90:$C$108,0),MATCH('Pagos Mayoristas'!C$660,'Informacion del AEP'!$F$89:$AE$89,0))*INDEX('Hoja Auxiliar'!$D$40:$D$58,MATCH('Pagos Mayoristas'!$C663,'Hoja Auxiliar'!$C$40:$C$58,0))</f>
        <v>14000000</v>
      </c>
      <c r="F663" s="238">
        <f>IF(C663="","",('Precio Mayorista'!$D$100*INDEX('Informacion del AEP'!$D$90:$AE$108,MATCH(C663,'Informacion del AEP'!$C$90:$C$108,0),MATCH($C$660,'Informacion del AEP'!$D$89:$AE$89,0))*INDEX('Informacion del AEP'!$F$169:$F$187,MATCH(C663,'Informacion del AEP'!$C$169:$C$187,0))))</f>
        <v>0</v>
      </c>
      <c r="N663" s="209">
        <f>INDEX('Precio Mayorista'!$D$76:$D$94,MATCH('Pagos Mayoristas'!C663,'Precio Mayorista'!$G$76:$G$94,0))*INDEX('Informacion del AEP'!$F$90:$AE$108,MATCH('Pagos Mayoristas'!C663,'Informacion del AEP'!$C$90:$C$108,0),MATCH('Pagos Mayoristas'!$C$660,'Informacion del AEP'!$F$89:$AE$89,0))</f>
        <v>19703133.333333336</v>
      </c>
    </row>
    <row r="664" spans="3:15" x14ac:dyDescent="0.25">
      <c r="C664" s="5" t="str">
        <f>IF(Supuestos!$B$51="","",Supuestos!$B$51)</f>
        <v>Originación voz off-net fijo local</v>
      </c>
      <c r="D664" s="78">
        <f>INDEX('Informacion del AEP'!$F$90:$AE$108,MATCH('Pagos Mayoristas'!$C664,'Informacion del AEP'!$C$90:$C$108,0),MATCH('Pagos Mayoristas'!C$660,'Informacion del AEP'!$F$89:$AE$89,0))*INDEX('Hoja Auxiliar'!$D$40:$D$58,MATCH('Pagos Mayoristas'!$C664,'Hoja Auxiliar'!$C$40:$C$58,0))</f>
        <v>7000000</v>
      </c>
      <c r="F664" s="238">
        <f>IF(C664="","",('Precio Mayorista'!$D$100*INDEX('Informacion del AEP'!$D$90:$AE$108,MATCH(C664,'Informacion del AEP'!$C$90:$C$108,0),MATCH($C$660,'Informacion del AEP'!$D$89:$AE$89,0))*INDEX('Informacion del AEP'!$F$169:$F$187,MATCH(C664,'Informacion del AEP'!$C$169:$C$187,0))))</f>
        <v>0</v>
      </c>
      <c r="N664" s="209">
        <f>INDEX('Precio Mayorista'!$D$76:$D$94,MATCH('Pagos Mayoristas'!C664,'Precio Mayorista'!$G$76:$G$94,0))*INDEX('Informacion del AEP'!$F$90:$AE$108,MATCH('Pagos Mayoristas'!C664,'Informacion del AEP'!$C$90:$C$108,0),MATCH('Pagos Mayoristas'!$C$660,'Informacion del AEP'!$F$89:$AE$89,0))</f>
        <v>780033.33333333337</v>
      </c>
    </row>
    <row r="665" spans="3:15" x14ac:dyDescent="0.25">
      <c r="C665" s="5" t="str">
        <f>IF(Supuestos!$B$52="","",Supuestos!$B$52)</f>
        <v>Originación voz on-net LDN</v>
      </c>
      <c r="D665" s="78">
        <f>INDEX('Informacion del AEP'!$F$90:$AE$108,MATCH('Pagos Mayoristas'!$C665,'Informacion del AEP'!$C$90:$C$108,0),MATCH('Pagos Mayoristas'!C$660,'Informacion del AEP'!$F$89:$AE$89,0))*INDEX('Hoja Auxiliar'!$D$40:$D$58,MATCH('Pagos Mayoristas'!$C665,'Hoja Auxiliar'!$C$40:$C$58,0))</f>
        <v>105000000</v>
      </c>
      <c r="F665" s="238">
        <f>IF(C665="","",('Precio Mayorista'!$D$100*INDEX('Informacion del AEP'!$D$90:$AE$108,MATCH(C665,'Informacion del AEP'!$C$90:$C$108,0),MATCH($C$660,'Informacion del AEP'!$D$89:$AE$89,0))*INDEX('Informacion del AEP'!$F$169:$F$187,MATCH(C665,'Informacion del AEP'!$C$169:$C$187,0))))</f>
        <v>0</v>
      </c>
      <c r="N665" s="209">
        <f>INDEX('Precio Mayorista'!$D$76:$D$94,MATCH('Pagos Mayoristas'!C665,'Precio Mayorista'!$G$76:$G$94,0))*INDEX('Informacion del AEP'!$F$90:$AE$108,MATCH('Pagos Mayoristas'!C665,'Informacion del AEP'!$C$90:$C$108,0),MATCH('Pagos Mayoristas'!$C$660,'Informacion del AEP'!$F$89:$AE$89,0))</f>
        <v>0</v>
      </c>
    </row>
    <row r="666" spans="3:15" x14ac:dyDescent="0.25">
      <c r="C666" s="5" t="str">
        <f>IF(Supuestos!$B$53="","",Supuestos!$B$53)</f>
        <v>Originación voz off-net móvil LDN</v>
      </c>
      <c r="D666" s="78">
        <f>INDEX('Informacion del AEP'!$F$90:$AE$108,MATCH('Pagos Mayoristas'!$C666,'Informacion del AEP'!$C$90:$C$108,0),MATCH('Pagos Mayoristas'!C$660,'Informacion del AEP'!$F$89:$AE$89,0))*INDEX('Hoja Auxiliar'!$D$40:$D$58,MATCH('Pagos Mayoristas'!$C666,'Hoja Auxiliar'!$C$40:$C$58,0))</f>
        <v>10499999.999999998</v>
      </c>
      <c r="F666" s="238">
        <f>IF(C666="","",('Precio Mayorista'!$D$100*INDEX('Informacion del AEP'!$D$90:$AE$108,MATCH(C666,'Informacion del AEP'!$C$90:$C$108,0),MATCH($C$660,'Informacion del AEP'!$D$89:$AE$89,0))*INDEX('Informacion del AEP'!$F$169:$F$187,MATCH(C666,'Informacion del AEP'!$C$169:$C$187,0))))</f>
        <v>0</v>
      </c>
      <c r="N666" s="209">
        <f>INDEX('Precio Mayorista'!$D$76:$D$94,MATCH('Pagos Mayoristas'!C666,'Precio Mayorista'!$G$76:$G$94,0))*INDEX('Informacion del AEP'!$F$90:$AE$108,MATCH('Pagos Mayoristas'!C666,'Informacion del AEP'!$C$90:$C$108,0),MATCH('Pagos Mayoristas'!$C$660,'Informacion del AEP'!$F$89:$AE$89,0))</f>
        <v>14777349.999999998</v>
      </c>
    </row>
    <row r="667" spans="3:15" x14ac:dyDescent="0.25">
      <c r="C667" s="5" t="str">
        <f>IF(Supuestos!$B$54="","",Supuestos!$B$54)</f>
        <v>Originación voz off-net fijo LDN</v>
      </c>
      <c r="D667" s="78">
        <f>INDEX('Informacion del AEP'!$F$90:$AE$108,MATCH('Pagos Mayoristas'!$C667,'Informacion del AEP'!$C$90:$C$108,0),MATCH('Pagos Mayoristas'!C$660,'Informacion del AEP'!$F$89:$AE$89,0))*INDEX('Hoja Auxiliar'!$D$40:$D$58,MATCH('Pagos Mayoristas'!$C667,'Hoja Auxiliar'!$C$40:$C$58,0))</f>
        <v>3500000</v>
      </c>
      <c r="F667" s="238">
        <f>IF(C667="","",('Precio Mayorista'!$D$100*INDEX('Informacion del AEP'!$D$90:$AE$108,MATCH(C667,'Informacion del AEP'!$C$90:$C$108,0),MATCH($C$660,'Informacion del AEP'!$D$89:$AE$89,0))*INDEX('Informacion del AEP'!$F$169:$F$187,MATCH(C667,'Informacion del AEP'!$C$169:$C$187,0))))</f>
        <v>0</v>
      </c>
      <c r="N667" s="209">
        <f>INDEX('Precio Mayorista'!$D$76:$D$94,MATCH('Pagos Mayoristas'!C667,'Precio Mayorista'!$G$76:$G$94,0))*INDEX('Informacion del AEP'!$F$90:$AE$108,MATCH('Pagos Mayoristas'!C667,'Informacion del AEP'!$C$90:$C$108,0),MATCH('Pagos Mayoristas'!$C$660,'Informacion del AEP'!$F$89:$AE$89,0))</f>
        <v>390016.66666666669</v>
      </c>
    </row>
    <row r="668" spans="3:15" x14ac:dyDescent="0.25">
      <c r="C668" s="5" t="str">
        <f>IF(Supuestos!$B$55="","",Supuestos!$B$55)</f>
        <v>Originación voz internacional USA-Canadá</v>
      </c>
      <c r="D668" s="78">
        <f>INDEX('Informacion del AEP'!$F$90:$AE$108,MATCH('Pagos Mayoristas'!$C668,'Informacion del AEP'!$C$90:$C$108,0),MATCH('Pagos Mayoristas'!C$660,'Informacion del AEP'!$F$89:$AE$89,0))*INDEX('Hoja Auxiliar'!$D$40:$D$58,MATCH('Pagos Mayoristas'!$C668,'Hoja Auxiliar'!$C$40:$C$58,0))</f>
        <v>9099999.9999999981</v>
      </c>
      <c r="F668" s="238">
        <f>IF(C668="","",('Precio Mayorista'!$D$100*INDEX('Informacion del AEP'!$D$90:$AE$108,MATCH(C668,'Informacion del AEP'!$C$90:$C$108,0),MATCH($C$660,'Informacion del AEP'!$D$89:$AE$89,0))*INDEX('Informacion del AEP'!$F$169:$F$187,MATCH(C668,'Informacion del AEP'!$C$169:$C$187,0))))</f>
        <v>0</v>
      </c>
      <c r="N668" s="209">
        <f>INDEX('Precio Mayorista'!$D$76:$D$94,MATCH('Pagos Mayoristas'!C668,'Precio Mayorista'!$G$76:$G$94,0))*INDEX('Informacion del AEP'!$F$90:$AE$108,MATCH('Pagos Mayoristas'!C668,'Informacion del AEP'!$C$90:$C$108,0),MATCH('Pagos Mayoristas'!$C$660,'Informacion del AEP'!$F$89:$AE$89,0))</f>
        <v>15166666.666666666</v>
      </c>
    </row>
    <row r="669" spans="3:15" x14ac:dyDescent="0.25">
      <c r="C669" s="5" t="str">
        <f>IF(Supuestos!$B$56="","",Supuestos!$B$56)</f>
        <v>Originación voz internacional Mundial Centroamérica</v>
      </c>
      <c r="D669" s="78">
        <f>INDEX('Informacion del AEP'!$F$90:$AE$108,MATCH('Pagos Mayoristas'!$C669,'Informacion del AEP'!$C$90:$C$108,0),MATCH('Pagos Mayoristas'!C$660,'Informacion del AEP'!$F$89:$AE$89,0))*INDEX('Hoja Auxiliar'!$D$40:$D$58,MATCH('Pagos Mayoristas'!$C669,'Hoja Auxiliar'!$C$40:$C$58,0))</f>
        <v>21000</v>
      </c>
      <c r="F669" s="238">
        <f>IF(C669="","",('Precio Mayorista'!$D$100*INDEX('Informacion del AEP'!$D$90:$AE$108,MATCH(C669,'Informacion del AEP'!$C$90:$C$108,0),MATCH($C$660,'Informacion del AEP'!$D$89:$AE$89,0))*INDEX('Informacion del AEP'!$F$169:$F$187,MATCH(C669,'Informacion del AEP'!$C$169:$C$187,0))))</f>
        <v>0</v>
      </c>
      <c r="N669" s="209">
        <f>INDEX('Precio Mayorista'!$D$76:$D$94,MATCH('Pagos Mayoristas'!C669,'Precio Mayorista'!$G$76:$G$94,0))*INDEX('Informacion del AEP'!$F$90:$AE$108,MATCH('Pagos Mayoristas'!C669,'Informacion del AEP'!$C$90:$C$108,0),MATCH('Pagos Mayoristas'!$C$660,'Informacion del AEP'!$F$89:$AE$89,0))</f>
        <v>1750000</v>
      </c>
    </row>
    <row r="670" spans="3:15" x14ac:dyDescent="0.25">
      <c r="C670" s="5" t="str">
        <f>IF(Supuestos!$B$57="","",Supuestos!$B$57)</f>
        <v>Originación voz internacional Mundial LATAM y Caribe</v>
      </c>
      <c r="D670" s="78">
        <f>INDEX('Informacion del AEP'!$F$90:$AE$108,MATCH('Pagos Mayoristas'!$C670,'Informacion del AEP'!$C$90:$C$108,0),MATCH('Pagos Mayoristas'!C$660,'Informacion del AEP'!$F$89:$AE$89,0))*INDEX('Hoja Auxiliar'!$D$40:$D$58,MATCH('Pagos Mayoristas'!$C670,'Hoja Auxiliar'!$C$40:$C$58,0))</f>
        <v>1399.9999999999998</v>
      </c>
      <c r="F670" s="238">
        <f>IF(C670="","",('Precio Mayorista'!$D$100*INDEX('Informacion del AEP'!$D$90:$AE$108,MATCH(C670,'Informacion del AEP'!$C$90:$C$108,0),MATCH($C$660,'Informacion del AEP'!$D$89:$AE$89,0))*INDEX('Informacion del AEP'!$F$169:$F$187,MATCH(C670,'Informacion del AEP'!$C$169:$C$187,0))))</f>
        <v>0</v>
      </c>
      <c r="N670" s="209">
        <f>INDEX('Precio Mayorista'!$D$76:$D$94,MATCH('Pagos Mayoristas'!C670,'Precio Mayorista'!$G$76:$G$94,0))*INDEX('Informacion del AEP'!$F$90:$AE$108,MATCH('Pagos Mayoristas'!C670,'Informacion del AEP'!$C$90:$C$108,0),MATCH('Pagos Mayoristas'!$C$660,'Informacion del AEP'!$F$89:$AE$89,0))</f>
        <v>233333.33333333331</v>
      </c>
    </row>
    <row r="671" spans="3:15" x14ac:dyDescent="0.25">
      <c r="C671" s="5" t="str">
        <f>IF(Supuestos!$B$58="","",Supuestos!$B$58)</f>
        <v>Originación voz internacional Europa</v>
      </c>
      <c r="D671" s="78">
        <f>INDEX('Informacion del AEP'!$F$90:$AE$108,MATCH('Pagos Mayoristas'!$C671,'Informacion del AEP'!$C$90:$C$108,0),MATCH('Pagos Mayoristas'!C$660,'Informacion del AEP'!$F$89:$AE$89,0))*INDEX('Hoja Auxiliar'!$D$40:$D$58,MATCH('Pagos Mayoristas'!$C671,'Hoja Auxiliar'!$C$40:$C$58,0))</f>
        <v>0</v>
      </c>
      <c r="F671" s="238">
        <f>IF(C671="","",('Precio Mayorista'!$D$100*INDEX('Informacion del AEP'!$D$90:$AE$108,MATCH(C671,'Informacion del AEP'!$C$90:$C$108,0),MATCH($C$660,'Informacion del AEP'!$D$89:$AE$89,0))*INDEX('Informacion del AEP'!$F$169:$F$187,MATCH(C671,'Informacion del AEP'!$C$169:$C$187,0))))</f>
        <v>0</v>
      </c>
      <c r="N671" s="209">
        <f>INDEX('Precio Mayorista'!$D$76:$D$94,MATCH('Pagos Mayoristas'!C671,'Precio Mayorista'!$G$76:$G$94,0))*INDEX('Informacion del AEP'!$F$90:$AE$108,MATCH('Pagos Mayoristas'!C671,'Informacion del AEP'!$C$90:$C$108,0),MATCH('Pagos Mayoristas'!$C$660,'Informacion del AEP'!$F$89:$AE$89,0))</f>
        <v>0</v>
      </c>
    </row>
    <row r="672" spans="3:15" x14ac:dyDescent="0.25">
      <c r="C672" s="5" t="str">
        <f>IF(Supuestos!$B$59="","",Supuestos!$B$59)</f>
        <v>Originación voz internacional Mundial Otros geográficos</v>
      </c>
      <c r="D672" s="78">
        <f>INDEX('Informacion del AEP'!$F$90:$AE$108,MATCH('Pagos Mayoristas'!$C672,'Informacion del AEP'!$C$90:$C$108,0),MATCH('Pagos Mayoristas'!C$660,'Informacion del AEP'!$F$89:$AE$89,0))*INDEX('Hoja Auxiliar'!$D$40:$D$58,MATCH('Pagos Mayoristas'!$C672,'Hoja Auxiliar'!$C$40:$C$58,0))</f>
        <v>70000</v>
      </c>
      <c r="F672" s="238">
        <f>IF(C672="","",('Precio Mayorista'!$D$100*INDEX('Informacion del AEP'!$D$90:$AE$108,MATCH(C672,'Informacion del AEP'!$C$90:$C$108,0),MATCH($C$660,'Informacion del AEP'!$D$89:$AE$89,0))*INDEX('Informacion del AEP'!$F$169:$F$187,MATCH(C672,'Informacion del AEP'!$C$169:$C$187,0))))</f>
        <v>0</v>
      </c>
      <c r="N672" s="209">
        <f>INDEX('Precio Mayorista'!$D$76:$D$94,MATCH('Pagos Mayoristas'!C672,'Precio Mayorista'!$G$76:$G$94,0))*INDEX('Informacion del AEP'!$F$90:$AE$108,MATCH('Pagos Mayoristas'!C672,'Informacion del AEP'!$C$90:$C$108,0),MATCH('Pagos Mayoristas'!$C$660,'Informacion del AEP'!$F$89:$AE$89,0))</f>
        <v>11666666.666666668</v>
      </c>
    </row>
    <row r="673" spans="3:14" x14ac:dyDescent="0.25">
      <c r="C673" s="5" t="str">
        <f>IF(Supuestos!$B$60="","",Supuestos!$B$60)</f>
        <v>Originación voz internacional Cuba</v>
      </c>
      <c r="D673" s="78">
        <f>INDEX('Informacion del AEP'!$F$90:$AE$108,MATCH('Pagos Mayoristas'!$C673,'Informacion del AEP'!$C$90:$C$108,0),MATCH('Pagos Mayoristas'!C$660,'Informacion del AEP'!$F$89:$AE$89,0))*INDEX('Hoja Auxiliar'!$D$40:$D$58,MATCH('Pagos Mayoristas'!$C673,'Hoja Auxiliar'!$C$40:$C$58,0))</f>
        <v>3500</v>
      </c>
      <c r="F673" s="238">
        <f>IF(C673="","",('Precio Mayorista'!$D$100*INDEX('Informacion del AEP'!$D$90:$AE$108,MATCH(C673,'Informacion del AEP'!$C$90:$C$108,0),MATCH($C$660,'Informacion del AEP'!$D$89:$AE$89,0))*INDEX('Informacion del AEP'!$F$169:$F$187,MATCH(C673,'Informacion del AEP'!$C$169:$C$187,0))))</f>
        <v>0</v>
      </c>
      <c r="N673" s="209">
        <f>INDEX('Precio Mayorista'!$D$76:$D$94,MATCH('Pagos Mayoristas'!C673,'Precio Mayorista'!$G$76:$G$94,0))*INDEX('Informacion del AEP'!$F$90:$AE$108,MATCH('Pagos Mayoristas'!C673,'Informacion del AEP'!$C$90:$C$108,0),MATCH('Pagos Mayoristas'!$C$660,'Informacion del AEP'!$F$89:$AE$89,0))</f>
        <v>1750000</v>
      </c>
    </row>
    <row r="674" spans="3:14" x14ac:dyDescent="0.25">
      <c r="C674" s="5" t="str">
        <f>IF(Supuestos!$B$61="","",Supuestos!$B$61)</f>
        <v>Originación voz Mundial destinos no geográficos</v>
      </c>
      <c r="D674" s="78">
        <f>INDEX('Informacion del AEP'!$F$90:$AE$108,MATCH('Pagos Mayoristas'!$C674,'Informacion del AEP'!$C$90:$C$108,0),MATCH('Pagos Mayoristas'!C$660,'Informacion del AEP'!$F$89:$AE$89,0))*INDEX('Hoja Auxiliar'!$D$40:$D$58,MATCH('Pagos Mayoristas'!$C674,'Hoja Auxiliar'!$C$40:$C$58,0))</f>
        <v>0</v>
      </c>
      <c r="F674" s="238">
        <f>IF(C674="","",('Precio Mayorista'!$D$100*INDEX('Informacion del AEP'!$D$90:$AE$108,MATCH(C674,'Informacion del AEP'!$C$90:$C$108,0),MATCH($C$660,'Informacion del AEP'!$D$89:$AE$89,0))*INDEX('Informacion del AEP'!$F$169:$F$187,MATCH(C674,'Informacion del AEP'!$C$169:$C$187,0))))</f>
        <v>0</v>
      </c>
      <c r="N674" s="209">
        <f>INDEX('Precio Mayorista'!$D$76:$D$94,MATCH('Pagos Mayoristas'!C674,'Precio Mayorista'!$G$76:$G$94,0))*INDEX('Informacion del AEP'!$F$90:$AE$108,MATCH('Pagos Mayoristas'!C674,'Informacion del AEP'!$C$90:$C$108,0),MATCH('Pagos Mayoristas'!$C$660,'Informacion del AEP'!$F$89:$AE$89,0))</f>
        <v>0</v>
      </c>
    </row>
    <row r="675" spans="3:14" x14ac:dyDescent="0.25">
      <c r="C675" s="5" t="str">
        <f>IF(Supuestos!$B$62="","",Supuestos!$B$62)</f>
        <v>Originación SMS on-net</v>
      </c>
      <c r="D675" s="78">
        <f>INDEX('Informacion del AEP'!$F$90:$AE$108,MATCH('Pagos Mayoristas'!$C675,'Informacion del AEP'!$C$90:$C$108,0),MATCH('Pagos Mayoristas'!C$660,'Informacion del AEP'!$F$89:$AE$89,0))*INDEX('Hoja Auxiliar'!$D$40:$D$58,MATCH('Pagos Mayoristas'!$C675,'Hoja Auxiliar'!$C$40:$C$58,0))</f>
        <v>7000000</v>
      </c>
      <c r="F675" s="238">
        <f>IF(C675="","",('Precio Mayorista'!$D$100*INDEX('Informacion del AEP'!$D$90:$AE$108,MATCH(C675,'Informacion del AEP'!$C$90:$C$108,0),MATCH($C$660,'Informacion del AEP'!$D$89:$AE$89,0))*INDEX('Informacion del AEP'!$F$169:$F$187,MATCH(C675,'Informacion del AEP'!$C$169:$C$187,0))))</f>
        <v>0</v>
      </c>
      <c r="N675" s="209">
        <f>INDEX('Precio Mayorista'!$D$76:$D$94,MATCH('Pagos Mayoristas'!C675,'Precio Mayorista'!$G$76:$G$94,0))*INDEX('Informacion del AEP'!$F$90:$AE$108,MATCH('Pagos Mayoristas'!C675,'Informacion del AEP'!$C$90:$C$108,0),MATCH('Pagos Mayoristas'!$C$660,'Informacion del AEP'!$F$89:$AE$89,0))</f>
        <v>0</v>
      </c>
    </row>
    <row r="676" spans="3:14" x14ac:dyDescent="0.25">
      <c r="C676" s="5" t="str">
        <f>IF(Supuestos!$B$63="","",Supuestos!$B$63)</f>
        <v>Originación SMS - off-net nacional</v>
      </c>
      <c r="D676" s="78">
        <f>INDEX('Informacion del AEP'!$F$90:$AE$108,MATCH('Pagos Mayoristas'!$C676,'Informacion del AEP'!$C$90:$C$108,0),MATCH('Pagos Mayoristas'!C$660,'Informacion del AEP'!$F$89:$AE$89,0))*INDEX('Hoja Auxiliar'!$D$40:$D$58,MATCH('Pagos Mayoristas'!$C676,'Hoja Auxiliar'!$C$40:$C$58,0))</f>
        <v>1750000</v>
      </c>
      <c r="F676" s="238">
        <f>IF(C676="","",('Precio Mayorista'!$D$100*INDEX('Informacion del AEP'!$D$90:$AE$108,MATCH(C676,'Informacion del AEP'!$C$90:$C$108,0),MATCH($C$660,'Informacion del AEP'!$D$89:$AE$89,0))*INDEX('Informacion del AEP'!$F$169:$F$187,MATCH(C676,'Informacion del AEP'!$C$169:$C$187,0))))</f>
        <v>0</v>
      </c>
      <c r="N676" s="209">
        <f>INDEX('Precio Mayorista'!$D$76:$D$94,MATCH('Pagos Mayoristas'!C676,'Precio Mayorista'!$G$76:$G$94,0))*INDEX('Informacion del AEP'!$F$90:$AE$108,MATCH('Pagos Mayoristas'!C676,'Informacion del AEP'!$C$90:$C$108,0),MATCH('Pagos Mayoristas'!$C$660,'Informacion del AEP'!$F$89:$AE$89,0))</f>
        <v>1081733.3333333335</v>
      </c>
    </row>
    <row r="677" spans="3:14" x14ac:dyDescent="0.25">
      <c r="C677" s="5" t="str">
        <f>IF(Supuestos!$B$64="","",Supuestos!$B$64)</f>
        <v>Originación SMS internacional (USA-Canadá)</v>
      </c>
      <c r="D677" s="78">
        <f>INDEX('Informacion del AEP'!$F$90:$AE$108,MATCH('Pagos Mayoristas'!$C677,'Informacion del AEP'!$C$90:$C$108,0),MATCH('Pagos Mayoristas'!C$660,'Informacion del AEP'!$F$89:$AE$89,0))*INDEX('Hoja Auxiliar'!$D$40:$D$58,MATCH('Pagos Mayoristas'!$C677,'Hoja Auxiliar'!$C$40:$C$58,0))</f>
        <v>349999.99999999994</v>
      </c>
      <c r="F677" s="238">
        <f>IF(C677="","",('Precio Mayorista'!$D$100*INDEX('Informacion del AEP'!$D$90:$AE$108,MATCH(C677,'Informacion del AEP'!$C$90:$C$108,0),MATCH($C$660,'Informacion del AEP'!$D$89:$AE$89,0))*INDEX('Informacion del AEP'!$F$169:$F$187,MATCH(C677,'Informacion del AEP'!$C$169:$C$187,0))))</f>
        <v>0</v>
      </c>
      <c r="N677" s="209">
        <f>INDEX('Precio Mayorista'!$D$76:$D$94,MATCH('Pagos Mayoristas'!C677,'Precio Mayorista'!$G$76:$G$94,0))*INDEX('Informacion del AEP'!$F$90:$AE$108,MATCH('Pagos Mayoristas'!C677,'Informacion del AEP'!$C$90:$C$108,0),MATCH('Pagos Mayoristas'!$C$660,'Informacion del AEP'!$F$89:$AE$89,0))</f>
        <v>11666666.666666666</v>
      </c>
    </row>
    <row r="678" spans="3:14" x14ac:dyDescent="0.25">
      <c r="C678" s="5" t="str">
        <f>IF(Supuestos!$B$65="","",Supuestos!$B$65)</f>
        <v>Originación SMS internacional (Resto del Mundo)</v>
      </c>
      <c r="D678" s="78">
        <f>INDEX('Informacion del AEP'!$F$90:$AE$108,MATCH('Pagos Mayoristas'!$C678,'Informacion del AEP'!$C$90:$C$108,0),MATCH('Pagos Mayoristas'!C$660,'Informacion del AEP'!$F$89:$AE$89,0))*INDEX('Hoja Auxiliar'!$D$40:$D$58,MATCH('Pagos Mayoristas'!$C678,'Hoja Auxiliar'!$C$40:$C$58,0))</f>
        <v>35000</v>
      </c>
      <c r="F678" s="238">
        <f>IF(C678="","",('Precio Mayorista'!$D$100*INDEX('Informacion del AEP'!$D$90:$AE$108,MATCH(C678,'Informacion del AEP'!$C$90:$C$108,0),MATCH($C$660,'Informacion del AEP'!$D$89:$AE$89,0))*INDEX('Informacion del AEP'!$F$169:$F$187,MATCH(C678,'Informacion del AEP'!$C$169:$C$187,0))))</f>
        <v>0</v>
      </c>
      <c r="N678" s="209">
        <f>INDEX('Precio Mayorista'!$D$76:$D$94,MATCH('Pagos Mayoristas'!C678,'Precio Mayorista'!$G$76:$G$94,0))*INDEX('Informacion del AEP'!$F$90:$AE$108,MATCH('Pagos Mayoristas'!C678,'Informacion del AEP'!$C$90:$C$108,0),MATCH('Pagos Mayoristas'!$C$660,'Informacion del AEP'!$F$89:$AE$89,0))</f>
        <v>1750000</v>
      </c>
    </row>
    <row r="679" spans="3:14" x14ac:dyDescent="0.25">
      <c r="C679" s="5" t="str">
        <f>IF(Supuestos!$B$66="","",Supuestos!$B$66)</f>
        <v>Otros servicios (incluyendo marcaciones especiales)</v>
      </c>
      <c r="D679" s="78">
        <f>INDEX('Informacion del AEP'!$F$90:$AE$108,MATCH('Pagos Mayoristas'!$C679,'Informacion del AEP'!$C$90:$C$108,0),MATCH('Pagos Mayoristas'!C$660,'Informacion del AEP'!$F$89:$AE$89,0))*INDEX('Hoja Auxiliar'!$D$40:$D$58,MATCH('Pagos Mayoristas'!$C679,'Hoja Auxiliar'!$C$40:$C$58,0))</f>
        <v>35000000</v>
      </c>
      <c r="F679" s="238">
        <f>IF(C679="","",('Precio Mayorista'!$D$100*INDEX('Informacion del AEP'!$D$90:$AE$108,MATCH(C679,'Informacion del AEP'!$C$90:$C$108,0),MATCH($C$660,'Informacion del AEP'!$D$89:$AE$89,0))*INDEX('Informacion del AEP'!$F$169:$F$187,MATCH(C679,'Informacion del AEP'!$C$169:$C$187,0))))</f>
        <v>0</v>
      </c>
      <c r="N679" s="209">
        <f>INDEX('Precio Mayorista'!$D$76:$D$94,MATCH('Pagos Mayoristas'!C679,'Precio Mayorista'!$G$76:$G$94,0))*INDEX('Informacion del AEP'!$F$90:$AE$108,MATCH('Pagos Mayoristas'!C679,'Informacion del AEP'!$C$90:$C$108,0),MATCH('Pagos Mayoristas'!$C$660,'Informacion del AEP'!$F$89:$AE$89,0))</f>
        <v>0</v>
      </c>
    </row>
  </sheetData>
  <mergeCells count="1">
    <mergeCell ref="C8:O8"/>
  </mergeCells>
  <conditionalFormatting sqref="R36:S36">
    <cfRule type="containsText" dxfId="53" priority="43" operator="containsText" text="Error">
      <formula>NOT(ISERROR(SEARCH("Error",R36)))</formula>
    </cfRule>
    <cfRule type="containsText" dxfId="52" priority="44" operator="containsText" text="Ok">
      <formula>NOT(ISERROR(SEARCH("Ok",R36)))</formula>
    </cfRule>
    <cfRule type="expression" dxfId="51" priority="45">
      <formula>"Ok"</formula>
    </cfRule>
  </conditionalFormatting>
  <conditionalFormatting sqref="S10:W10">
    <cfRule type="containsText" dxfId="50" priority="49" operator="containsText" text="Error">
      <formula>NOT(ISERROR(SEARCH("Error",S10)))</formula>
    </cfRule>
    <cfRule type="containsText" dxfId="49" priority="50" operator="containsText" text="Ok">
      <formula>NOT(ISERROR(SEARCH("Ok",S10)))</formula>
    </cfRule>
    <cfRule type="expression" dxfId="48" priority="51">
      <formula>"Ok"</formula>
    </cfRule>
  </conditionalFormatting>
  <conditionalFormatting sqref="V10:W10">
    <cfRule type="containsText" dxfId="47" priority="1" operator="containsText" text="Error">
      <formula>NOT(ISERROR(SEARCH("Error",V10)))</formula>
    </cfRule>
    <cfRule type="containsText" dxfId="46" priority="2" operator="containsText" text="Ok">
      <formula>NOT(ISERROR(SEARCH("Ok",V10)))</formula>
    </cfRule>
    <cfRule type="expression" dxfId="45" priority="3">
      <formula>"Ok"</formula>
    </cfRule>
  </conditionalFormatting>
  <hyperlinks>
    <hyperlink ref="C3" location="'Resultados &gt;&gt;'!A1" display="Ir a Resultados &gt;&gt;" xr:uid="{00000000-0004-0000-0800-000000000000}"/>
  </hyperlinks>
  <pageMargins left="0.7" right="0.7" top="0.75" bottom="0.75" header="0.3" footer="0.3"/>
  <pageSetup paperSize="9"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12">
    <tabColor theme="7"/>
  </sheetPr>
  <dimension ref="C1:C13"/>
  <sheetViews>
    <sheetView showGridLines="0" topLeftCell="F1" workbookViewId="0"/>
  </sheetViews>
  <sheetFormatPr baseColWidth="10" defaultColWidth="9.1796875" defaultRowHeight="12.5" x14ac:dyDescent="0.25"/>
  <cols>
    <col min="1" max="1" width="1.81640625" style="11" customWidth="1"/>
    <col min="2" max="16384" width="9.1796875" style="11"/>
  </cols>
  <sheetData>
    <row r="1" spans="3:3" s="9" customFormat="1" ht="20" x14ac:dyDescent="0.4"/>
    <row r="13" spans="3:3" ht="28" x14ac:dyDescent="0.6">
      <c r="C13" s="10" t="s">
        <v>126</v>
      </c>
    </row>
  </sheetData>
  <pageMargins left="0.75" right="0.75" top="1" bottom="1" header="0.5" footer="0.5"/>
  <pageSetup paperSize="9" orientation="portrait" r:id="rId1"/>
  <headerFooter alignWithMargins="0"/>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5">
    <tabColor theme="7" tint="0.79998168889431442"/>
  </sheetPr>
  <dimension ref="B1:AD162"/>
  <sheetViews>
    <sheetView showGridLines="0" topLeftCell="A135" zoomScale="50" zoomScaleNormal="50" workbookViewId="0">
      <selection activeCell="G148" sqref="G148"/>
    </sheetView>
  </sheetViews>
  <sheetFormatPr baseColWidth="10" defaultColWidth="8.81640625" defaultRowHeight="12.5" x14ac:dyDescent="0.25"/>
  <cols>
    <col min="1" max="1" width="1.81640625" customWidth="1"/>
    <col min="2" max="2" width="33.1796875" bestFit="1" customWidth="1"/>
    <col min="3" max="3" width="18.81640625" customWidth="1"/>
    <col min="4" max="4" width="30.1796875" customWidth="1"/>
    <col min="5" max="5" width="20.54296875" customWidth="1"/>
    <col min="6" max="6" width="23.81640625" customWidth="1"/>
    <col min="7" max="7" width="28.54296875" customWidth="1"/>
    <col min="8" max="8" width="31.81640625" customWidth="1"/>
    <col min="9" max="9" width="35.1796875" customWidth="1"/>
    <col min="10" max="10" width="17.54296875" customWidth="1"/>
    <col min="11" max="11" width="33.1796875" bestFit="1" customWidth="1"/>
    <col min="12" max="12" width="18.81640625" customWidth="1"/>
    <col min="13" max="13" width="18.54296875" customWidth="1"/>
    <col min="14" max="14" width="27.1796875" customWidth="1"/>
    <col min="15" max="15" width="17.81640625" customWidth="1"/>
    <col min="16" max="16" width="18.81640625" bestFit="1" customWidth="1"/>
    <col min="17" max="17" width="17.81640625" bestFit="1" customWidth="1"/>
    <col min="18" max="18" width="18.54296875" bestFit="1" customWidth="1"/>
    <col min="19" max="21" width="18.81640625" bestFit="1" customWidth="1"/>
    <col min="22" max="22" width="13.1796875" customWidth="1"/>
    <col min="23" max="23" width="17.81640625" customWidth="1"/>
    <col min="25" max="25" width="2.1796875" customWidth="1"/>
    <col min="26" max="26" width="14.81640625" hidden="1" customWidth="1"/>
    <col min="27" max="27" width="4.453125" customWidth="1"/>
    <col min="28" max="28" width="16.453125" customWidth="1"/>
    <col min="29" max="29" width="17.81640625" customWidth="1"/>
  </cols>
  <sheetData>
    <row r="1" spans="2:30" s="427" customFormat="1" ht="20" x14ac:dyDescent="0.4">
      <c r="B1" s="427" t="s">
        <v>127</v>
      </c>
    </row>
    <row r="3" spans="2:30" ht="15.5" x14ac:dyDescent="0.35">
      <c r="B3" s="16" t="s">
        <v>63</v>
      </c>
      <c r="C3" s="88" t="s">
        <v>64</v>
      </c>
      <c r="D3" s="88" t="s">
        <v>65</v>
      </c>
      <c r="G3" s="122"/>
    </row>
    <row r="4" spans="2:30" x14ac:dyDescent="0.25">
      <c r="C4" s="85">
        <f>Supuestos!$C$5</f>
        <v>45658</v>
      </c>
      <c r="D4" s="85">
        <f>Supuestos!$C$6</f>
        <v>45747</v>
      </c>
    </row>
    <row r="6" spans="2:30" ht="35.15" customHeight="1" x14ac:dyDescent="0.25">
      <c r="B6" s="521" t="s">
        <v>128</v>
      </c>
      <c r="C6" s="522"/>
      <c r="D6" s="522"/>
      <c r="E6" s="522"/>
      <c r="F6" s="523"/>
    </row>
    <row r="8" spans="2:30" s="124" customFormat="1" ht="15.65" customHeight="1" x14ac:dyDescent="0.25">
      <c r="B8" s="520" t="s">
        <v>113</v>
      </c>
      <c r="C8" s="520"/>
      <c r="D8" s="520"/>
      <c r="E8" s="520"/>
      <c r="F8" s="520"/>
      <c r="G8" s="520"/>
      <c r="H8" s="520"/>
      <c r="I8" s="170"/>
      <c r="K8" s="520" t="s">
        <v>129</v>
      </c>
      <c r="L8" s="520"/>
      <c r="M8" s="520"/>
      <c r="N8" s="520"/>
      <c r="O8" s="520"/>
      <c r="P8" s="520"/>
      <c r="Q8" s="520"/>
      <c r="R8" s="520"/>
      <c r="S8" s="520"/>
      <c r="T8" s="520"/>
      <c r="U8"/>
      <c r="V8" s="520" t="s">
        <v>130</v>
      </c>
      <c r="W8" s="520"/>
      <c r="X8" s="520"/>
      <c r="Z8" s="317"/>
      <c r="AA8"/>
      <c r="AB8" s="520" t="s">
        <v>131</v>
      </c>
      <c r="AC8" s="520"/>
      <c r="AD8" s="520"/>
    </row>
    <row r="10" spans="2:30" ht="19.399999999999999" customHeight="1" x14ac:dyDescent="0.25">
      <c r="C10" s="68" t="str">
        <f>TEXT(C4,"mmm-aa")</f>
        <v>ene-25</v>
      </c>
      <c r="D10" s="102" t="str">
        <f>TEXT(C10+31,"mmm-aa")</f>
        <v>feb-25</v>
      </c>
      <c r="E10" s="102" t="str">
        <f>TEXT(D10+32,"mmm-aa")</f>
        <v>mar-25</v>
      </c>
      <c r="F10" s="69" t="s">
        <v>132</v>
      </c>
      <c r="G10" s="102"/>
      <c r="H10" s="102"/>
      <c r="J10" s="69"/>
      <c r="K10" s="69"/>
      <c r="L10" s="68" t="str">
        <f>TEXT(C4,"mmm-aa")</f>
        <v>ene-25</v>
      </c>
      <c r="M10" s="68" t="str">
        <f>TEXT(C10+32,"mmm-aa")</f>
        <v>feb-25</v>
      </c>
      <c r="N10" s="68" t="str">
        <f>TEXT(D10+32,"mmm-aa")</f>
        <v>mar-25</v>
      </c>
      <c r="O10" s="69" t="s">
        <v>132</v>
      </c>
      <c r="P10" s="68"/>
      <c r="Q10" s="68"/>
    </row>
    <row r="11" spans="2:30" ht="13" x14ac:dyDescent="0.3">
      <c r="B11" s="33" t="s">
        <v>133</v>
      </c>
      <c r="C11" s="45">
        <f>SUM(C12:C14)</f>
        <v>80000000</v>
      </c>
      <c r="D11" s="45">
        <f>SUM(D12:D14)</f>
        <v>80000000</v>
      </c>
      <c r="E11" s="45">
        <f>SUM(E12:E14)</f>
        <v>80000000</v>
      </c>
      <c r="F11" s="45">
        <f>AVERAGE(C11:E11)</f>
        <v>80000000</v>
      </c>
      <c r="G11" s="106"/>
      <c r="H11" s="106"/>
      <c r="I11" s="73"/>
      <c r="J11" s="106"/>
      <c r="K11" s="33" t="s">
        <v>134</v>
      </c>
      <c r="L11" s="45">
        <f>SUM(L12:L13)</f>
        <v>57000000000</v>
      </c>
      <c r="M11" s="45">
        <f>SUM(M12:M13)</f>
        <v>57000000000</v>
      </c>
      <c r="N11" s="45">
        <f>SUM(N12:N13)</f>
        <v>57000000000</v>
      </c>
      <c r="O11" s="45">
        <f>SUM(O12:O13)</f>
        <v>57000000000</v>
      </c>
      <c r="X11" s="73"/>
    </row>
    <row r="12" spans="2:30" ht="13" x14ac:dyDescent="0.3">
      <c r="B12" s="101" t="s">
        <v>92</v>
      </c>
      <c r="C12" s="399">
        <v>66000000</v>
      </c>
      <c r="D12" s="399">
        <v>66000000</v>
      </c>
      <c r="E12" s="399">
        <v>66000000</v>
      </c>
      <c r="F12" s="44">
        <f>AVERAGE(C12:E12)</f>
        <v>66000000</v>
      </c>
      <c r="G12" s="44"/>
      <c r="H12" s="44"/>
      <c r="I12" s="38"/>
      <c r="J12" s="44"/>
      <c r="K12" s="101" t="s">
        <v>92</v>
      </c>
      <c r="L12" s="399">
        <v>34000000000</v>
      </c>
      <c r="M12" s="399">
        <v>34000000000</v>
      </c>
      <c r="N12" s="399">
        <v>34000000000</v>
      </c>
      <c r="O12" s="44">
        <f>O16</f>
        <v>34000000000</v>
      </c>
      <c r="X12" s="38"/>
    </row>
    <row r="13" spans="2:30" x14ac:dyDescent="0.25">
      <c r="B13" s="101" t="s">
        <v>135</v>
      </c>
      <c r="C13" s="399">
        <v>10000000</v>
      </c>
      <c r="D13" s="399">
        <v>10000000</v>
      </c>
      <c r="E13" s="399">
        <v>10000000</v>
      </c>
      <c r="F13" s="44">
        <f>AVERAGE(C13:E13)</f>
        <v>10000000</v>
      </c>
      <c r="G13" s="44"/>
      <c r="H13" s="44"/>
      <c r="I13" s="44"/>
      <c r="J13" s="44"/>
      <c r="K13" s="101" t="s">
        <v>136</v>
      </c>
      <c r="L13" s="399">
        <v>23000000000</v>
      </c>
      <c r="M13" s="399">
        <v>23000000000</v>
      </c>
      <c r="N13" s="399">
        <v>23000000000</v>
      </c>
      <c r="O13" s="44">
        <f>O55</f>
        <v>23000000000</v>
      </c>
    </row>
    <row r="14" spans="2:30" x14ac:dyDescent="0.25">
      <c r="B14" s="101" t="s">
        <v>137</v>
      </c>
      <c r="C14" s="399">
        <v>4000000</v>
      </c>
      <c r="D14" s="399">
        <v>4000000</v>
      </c>
      <c r="E14" s="399">
        <v>4000000</v>
      </c>
      <c r="F14" s="44">
        <f>AVERAGE(C14:E14)</f>
        <v>4000000</v>
      </c>
      <c r="G14" s="44"/>
      <c r="H14" s="44"/>
      <c r="I14" s="44"/>
      <c r="J14" s="44"/>
      <c r="L14" s="42"/>
      <c r="M14" s="42"/>
      <c r="N14" s="42"/>
      <c r="O14" s="44"/>
      <c r="P14" s="2"/>
    </row>
    <row r="15" spans="2:30" ht="27" customHeight="1" x14ac:dyDescent="0.3">
      <c r="B15" s="20"/>
      <c r="G15" s="110" t="s">
        <v>138</v>
      </c>
      <c r="H15" s="110" t="s">
        <v>139</v>
      </c>
      <c r="I15" s="126" t="s">
        <v>140</v>
      </c>
      <c r="J15" s="110"/>
      <c r="P15" s="110" t="s">
        <v>141</v>
      </c>
      <c r="Q15" s="110" t="s">
        <v>142</v>
      </c>
      <c r="R15" s="110" t="s">
        <v>139</v>
      </c>
      <c r="S15" s="110"/>
      <c r="T15" s="110" t="s">
        <v>140</v>
      </c>
      <c r="U15" s="110"/>
      <c r="V15" s="110" t="s">
        <v>143</v>
      </c>
      <c r="W15" s="110" t="s">
        <v>144</v>
      </c>
      <c r="X15" s="73" t="s">
        <v>42</v>
      </c>
    </row>
    <row r="16" spans="2:30" ht="13" x14ac:dyDescent="0.3">
      <c r="B16" s="33" t="s">
        <v>92</v>
      </c>
      <c r="C16" s="375">
        <f>C12</f>
        <v>66000000</v>
      </c>
      <c r="D16" s="375">
        <f>D12</f>
        <v>66000000</v>
      </c>
      <c r="E16" s="375">
        <f>E12</f>
        <v>66000000</v>
      </c>
      <c r="F16" s="45">
        <f>AVERAGE(C16:E16)</f>
        <v>66000000</v>
      </c>
      <c r="G16" s="421">
        <f>F17/F16</f>
        <v>0.83333333333333337</v>
      </c>
      <c r="H16" s="111"/>
      <c r="I16" s="127"/>
      <c r="J16" s="111"/>
      <c r="K16" s="33" t="s">
        <v>92</v>
      </c>
      <c r="L16" s="103">
        <f>L12</f>
        <v>34000000000</v>
      </c>
      <c r="M16" s="103">
        <f>M12</f>
        <v>34000000000</v>
      </c>
      <c r="N16" s="103">
        <f>N12</f>
        <v>34000000000</v>
      </c>
      <c r="O16" s="105">
        <f>AVERAGE(L16:N16)</f>
        <v>34000000000</v>
      </c>
      <c r="P16" s="455">
        <f>O17/O16</f>
        <v>0.73529411764705888</v>
      </c>
      <c r="Q16" s="114"/>
      <c r="R16" s="114"/>
      <c r="S16" s="114"/>
      <c r="T16" s="107"/>
      <c r="U16" s="107"/>
      <c r="V16" s="15"/>
      <c r="W16" s="15"/>
      <c r="X16" s="132"/>
    </row>
    <row r="17" spans="2:28" ht="13" x14ac:dyDescent="0.3">
      <c r="B17" s="400" t="s">
        <v>145</v>
      </c>
      <c r="C17" s="399">
        <v>55000000</v>
      </c>
      <c r="D17" s="399">
        <v>55000000</v>
      </c>
      <c r="E17" s="399">
        <v>55000000</v>
      </c>
      <c r="F17" s="44">
        <f t="shared" ref="F17:F22" si="0">IF(B17="","",AVERAGE(C17:E17))</f>
        <v>55000000</v>
      </c>
      <c r="G17" s="109">
        <f t="shared" ref="G17:G22" si="1">IFERROR(RANK($F17,$F$17:$F$22),"")</f>
        <v>1</v>
      </c>
      <c r="H17" s="108">
        <f t="shared" ref="H17:H22" si="2">IF(F17="","",F17/$F$16)</f>
        <v>0.83333333333333337</v>
      </c>
      <c r="I17" s="129">
        <f>IF(F17="","",SUM($F$17:$F17)/$F$16)</f>
        <v>0.83333333333333337</v>
      </c>
      <c r="J17" s="108"/>
      <c r="K17" s="400" t="s">
        <v>145</v>
      </c>
      <c r="L17" s="401">
        <v>25000000000</v>
      </c>
      <c r="M17" s="401">
        <v>25000000000</v>
      </c>
      <c r="N17" s="401">
        <v>25000000000</v>
      </c>
      <c r="O17" s="44">
        <f t="shared" ref="O17:O22" si="3">IF(K17="","",AVERAGE(L17:N17))</f>
        <v>25000000000</v>
      </c>
      <c r="P17" s="2"/>
      <c r="Q17" s="109">
        <f t="shared" ref="Q17:Q22" si="4">IFERROR(RANK($O17,$O$17:$O$22),"")</f>
        <v>1</v>
      </c>
      <c r="R17" s="108">
        <f>IF(O17="","",O17/$O$16)</f>
        <v>0.73529411764705888</v>
      </c>
      <c r="S17" s="108"/>
      <c r="T17" s="108">
        <f>IF(O17="","",SUM($O$17:$O17)/$O$16)</f>
        <v>0.73529411764705888</v>
      </c>
      <c r="U17" s="108"/>
      <c r="V17" s="108">
        <f t="shared" ref="V17:V22" si="5">IF(K17="","",MAX(H17,R17))</f>
        <v>0.83333333333333337</v>
      </c>
      <c r="W17" s="109">
        <f>IFERROR(RANK($V17,$V$17:$V$22),"")</f>
        <v>1</v>
      </c>
      <c r="X17" s="132" t="str">
        <f t="shared" ref="X17:X22" si="6">IF(K17=B17,"Ok","Error")</f>
        <v>Ok</v>
      </c>
      <c r="AB17" s="428">
        <f t="shared" ref="AB17:AB22" si="7">IFERROR((IF(C17="",$E17/D17-1,$E17/C17-1)),"")</f>
        <v>0</v>
      </c>
    </row>
    <row r="18" spans="2:28" ht="13" x14ac:dyDescent="0.3">
      <c r="B18" s="400" t="s">
        <v>146</v>
      </c>
      <c r="C18" s="399">
        <v>1500000</v>
      </c>
      <c r="D18" s="399">
        <v>1500000</v>
      </c>
      <c r="E18" s="399">
        <v>1500000</v>
      </c>
      <c r="F18" s="44">
        <f t="shared" si="0"/>
        <v>1500000</v>
      </c>
      <c r="G18" s="109">
        <f t="shared" si="1"/>
        <v>2</v>
      </c>
      <c r="H18" s="108">
        <f t="shared" si="2"/>
        <v>2.2727272727272728E-2</v>
      </c>
      <c r="I18" s="129">
        <f>IF(F18="","",SUM($F$17:$F18)/$F$16)</f>
        <v>0.85606060606060608</v>
      </c>
      <c r="J18" s="108"/>
      <c r="K18" s="400" t="s">
        <v>146</v>
      </c>
      <c r="L18" s="401">
        <v>3000000000</v>
      </c>
      <c r="M18" s="401">
        <v>3000000000</v>
      </c>
      <c r="N18" s="401">
        <v>3000000000</v>
      </c>
      <c r="O18" s="44">
        <f t="shared" si="3"/>
        <v>3000000000</v>
      </c>
      <c r="Q18" s="109">
        <f t="shared" si="4"/>
        <v>2</v>
      </c>
      <c r="R18" s="108">
        <f t="shared" ref="R18:R22" si="8">IF(O18="","",O18/$O$16)</f>
        <v>8.8235294117647065E-2</v>
      </c>
      <c r="S18" s="108"/>
      <c r="T18" s="108">
        <f>IF(O18="","",SUM($O$17:$O18)/$O$16)</f>
        <v>0.82352941176470584</v>
      </c>
      <c r="U18" s="108"/>
      <c r="V18" s="108">
        <f t="shared" si="5"/>
        <v>8.8235294117647065E-2</v>
      </c>
      <c r="W18" s="109">
        <f t="shared" ref="W18:W21" si="9">IFERROR(RANK($V18,$V$17:$V$22),"")</f>
        <v>2</v>
      </c>
      <c r="X18" s="132" t="str">
        <f t="shared" si="6"/>
        <v>Ok</v>
      </c>
      <c r="AB18" s="428">
        <f t="shared" si="7"/>
        <v>0</v>
      </c>
    </row>
    <row r="19" spans="2:28" ht="13" x14ac:dyDescent="0.3">
      <c r="B19" s="400" t="s">
        <v>147</v>
      </c>
      <c r="C19" s="399">
        <v>500000</v>
      </c>
      <c r="D19" s="399">
        <v>500000</v>
      </c>
      <c r="E19" s="399">
        <v>500000</v>
      </c>
      <c r="F19" s="44">
        <f t="shared" si="0"/>
        <v>500000</v>
      </c>
      <c r="G19" s="109">
        <f t="shared" si="1"/>
        <v>3</v>
      </c>
      <c r="H19" s="108">
        <f t="shared" si="2"/>
        <v>7.575757575757576E-3</v>
      </c>
      <c r="I19" s="129">
        <f>IF(F19="","",SUM($F$17:$F19)/$F$16)</f>
        <v>0.86363636363636365</v>
      </c>
      <c r="J19" s="108"/>
      <c r="K19" s="400" t="s">
        <v>147</v>
      </c>
      <c r="L19" s="401">
        <v>1000000000</v>
      </c>
      <c r="M19" s="401">
        <v>1000000000</v>
      </c>
      <c r="N19" s="401">
        <v>1000000000</v>
      </c>
      <c r="O19" s="44">
        <f t="shared" si="3"/>
        <v>1000000000</v>
      </c>
      <c r="Q19" s="109">
        <f t="shared" si="4"/>
        <v>3</v>
      </c>
      <c r="R19" s="108">
        <f t="shared" si="8"/>
        <v>2.9411764705882353E-2</v>
      </c>
      <c r="S19" s="108"/>
      <c r="T19" s="108">
        <f>IF(O19="","",SUM($O$17:$O19)/$O$16)</f>
        <v>0.8529411764705882</v>
      </c>
      <c r="U19" s="108"/>
      <c r="V19" s="108">
        <f t="shared" si="5"/>
        <v>2.9411764705882353E-2</v>
      </c>
      <c r="W19" s="109">
        <f t="shared" si="9"/>
        <v>3</v>
      </c>
      <c r="X19" s="132" t="str">
        <f t="shared" si="6"/>
        <v>Ok</v>
      </c>
      <c r="AB19" s="428">
        <f t="shared" si="7"/>
        <v>0</v>
      </c>
    </row>
    <row r="20" spans="2:28" ht="13" x14ac:dyDescent="0.3">
      <c r="B20" s="400"/>
      <c r="C20" s="399"/>
      <c r="D20" s="399"/>
      <c r="E20" s="399"/>
      <c r="F20" s="44" t="str">
        <f t="shared" si="0"/>
        <v/>
      </c>
      <c r="G20" s="109" t="str">
        <f t="shared" si="1"/>
        <v/>
      </c>
      <c r="H20" s="108" t="str">
        <f t="shared" si="2"/>
        <v/>
      </c>
      <c r="I20" s="129" t="str">
        <f>IF(F20="","",SUM($F$17:$F20)/$F$16)</f>
        <v/>
      </c>
      <c r="J20" s="108"/>
      <c r="K20" s="101"/>
      <c r="L20" s="42"/>
      <c r="M20" s="42"/>
      <c r="N20" s="42"/>
      <c r="O20" s="44" t="str">
        <f t="shared" si="3"/>
        <v/>
      </c>
      <c r="Q20" s="109" t="str">
        <f t="shared" si="4"/>
        <v/>
      </c>
      <c r="R20" s="108" t="str">
        <f t="shared" si="8"/>
        <v/>
      </c>
      <c r="S20" s="108"/>
      <c r="T20" s="108" t="str">
        <f>IF(O20="","",SUM($O$17:$O20)/$O$16)</f>
        <v/>
      </c>
      <c r="U20" s="108"/>
      <c r="V20" s="108" t="str">
        <f t="shared" si="5"/>
        <v/>
      </c>
      <c r="W20" s="109" t="str">
        <f t="shared" si="9"/>
        <v/>
      </c>
      <c r="X20" s="132" t="str">
        <f t="shared" si="6"/>
        <v>Ok</v>
      </c>
      <c r="AB20" s="428" t="str">
        <f t="shared" si="7"/>
        <v/>
      </c>
    </row>
    <row r="21" spans="2:28" ht="13" x14ac:dyDescent="0.3">
      <c r="B21" s="400"/>
      <c r="C21" s="399"/>
      <c r="D21" s="399"/>
      <c r="E21" s="399"/>
      <c r="F21" s="44" t="str">
        <f t="shared" si="0"/>
        <v/>
      </c>
      <c r="G21" s="109" t="str">
        <f t="shared" si="1"/>
        <v/>
      </c>
      <c r="H21" s="108" t="str">
        <f t="shared" si="2"/>
        <v/>
      </c>
      <c r="I21" s="129" t="str">
        <f>IF(F21="","",SUM($F$17:$F21)/$F$16)</f>
        <v/>
      </c>
      <c r="J21" s="108"/>
      <c r="K21" s="101"/>
      <c r="L21" s="42"/>
      <c r="M21" s="42"/>
      <c r="N21" s="42"/>
      <c r="O21" s="44" t="str">
        <f t="shared" si="3"/>
        <v/>
      </c>
      <c r="Q21" s="109" t="str">
        <f t="shared" si="4"/>
        <v/>
      </c>
      <c r="R21" s="129" t="str">
        <f t="shared" si="8"/>
        <v/>
      </c>
      <c r="S21" s="129"/>
      <c r="T21" s="129" t="str">
        <f>IF(O21="","",SUM($O$17:$O21)/$O$16)</f>
        <v/>
      </c>
      <c r="U21" s="129"/>
      <c r="V21" s="129" t="str">
        <f t="shared" si="5"/>
        <v/>
      </c>
      <c r="W21" s="109" t="str">
        <f t="shared" si="9"/>
        <v/>
      </c>
      <c r="X21" s="132" t="str">
        <f t="shared" si="6"/>
        <v>Ok</v>
      </c>
      <c r="AB21" s="428" t="str">
        <f t="shared" si="7"/>
        <v/>
      </c>
    </row>
    <row r="22" spans="2:28" ht="13" x14ac:dyDescent="0.3">
      <c r="B22" s="400"/>
      <c r="C22" s="399"/>
      <c r="D22" s="399"/>
      <c r="E22" s="399"/>
      <c r="F22" s="44" t="str">
        <f t="shared" si="0"/>
        <v/>
      </c>
      <c r="G22" s="109" t="str">
        <f t="shared" si="1"/>
        <v/>
      </c>
      <c r="H22" s="108" t="str">
        <f t="shared" si="2"/>
        <v/>
      </c>
      <c r="I22" s="129" t="str">
        <f>IF(F22="","",SUM($F$17:$F22)/$F$16)</f>
        <v/>
      </c>
      <c r="K22" s="101"/>
      <c r="L22" s="42"/>
      <c r="M22" s="42"/>
      <c r="N22" s="42"/>
      <c r="O22" s="44" t="str">
        <f t="shared" si="3"/>
        <v/>
      </c>
      <c r="Q22" s="109" t="str">
        <f t="shared" si="4"/>
        <v/>
      </c>
      <c r="R22" s="129" t="str">
        <f t="shared" si="8"/>
        <v/>
      </c>
      <c r="S22" s="129"/>
      <c r="T22" s="129" t="str">
        <f>IF(O22="","",SUM($O$17:$O22)/$O$16)</f>
        <v/>
      </c>
      <c r="U22" s="129"/>
      <c r="V22" s="129" t="str">
        <f t="shared" si="5"/>
        <v/>
      </c>
      <c r="W22" s="109" t="str">
        <f>IFERROR(RANK($V22,$V$17:$V$22),"")</f>
        <v/>
      </c>
      <c r="X22" s="132" t="str">
        <f t="shared" si="6"/>
        <v>Ok</v>
      </c>
      <c r="AB22" s="428" t="str">
        <f t="shared" si="7"/>
        <v/>
      </c>
    </row>
    <row r="23" spans="2:28" ht="13" x14ac:dyDescent="0.3">
      <c r="B23" s="33" t="s">
        <v>148</v>
      </c>
      <c r="C23" s="45">
        <f>SUM(C17:C22)</f>
        <v>57000000</v>
      </c>
      <c r="D23" s="45">
        <f>SUM(D17:D19)</f>
        <v>57000000</v>
      </c>
      <c r="E23" s="45">
        <f>SUM(E17:E19)</f>
        <v>57000000</v>
      </c>
      <c r="F23" s="45">
        <f>AVERAGE(C23:E23)</f>
        <v>57000000</v>
      </c>
      <c r="G23" s="128"/>
      <c r="H23" s="128"/>
      <c r="J23" s="112"/>
      <c r="K23" s="33" t="s">
        <v>148</v>
      </c>
      <c r="L23" s="45">
        <f>SUM(L17:L22)</f>
        <v>29000000000</v>
      </c>
      <c r="M23" s="45">
        <f>SUM(M17:M19)</f>
        <v>29000000000</v>
      </c>
      <c r="N23" s="45">
        <f>SUM(N17:N19)</f>
        <v>29000000000</v>
      </c>
      <c r="O23" s="45">
        <f>AVERAGE(L23:N23)</f>
        <v>29000000000</v>
      </c>
      <c r="Q23" s="106"/>
      <c r="R23" s="109"/>
      <c r="S23" s="109"/>
    </row>
    <row r="24" spans="2:28" ht="13" x14ac:dyDescent="0.3">
      <c r="B24" s="20"/>
      <c r="C24" s="416">
        <f>C23/C16</f>
        <v>0.86363636363636365</v>
      </c>
      <c r="D24" s="416">
        <f>D23/D16</f>
        <v>0.86363636363636365</v>
      </c>
      <c r="E24" s="416">
        <f>E23/E16</f>
        <v>0.86363636363636365</v>
      </c>
      <c r="F24" s="416">
        <f>F23/F16</f>
        <v>0.86363636363636365</v>
      </c>
      <c r="G24" s="129"/>
      <c r="H24" s="108">
        <f>SUM(H17:H23)</f>
        <v>0.86363636363636365</v>
      </c>
      <c r="J24" s="108"/>
      <c r="L24" s="104">
        <f>L23/L16</f>
        <v>0.8529411764705882</v>
      </c>
      <c r="M24" s="104">
        <f>M23/M16</f>
        <v>0.8529411764705882</v>
      </c>
      <c r="N24" s="104">
        <f>N23/N16</f>
        <v>0.8529411764705882</v>
      </c>
      <c r="O24" s="104">
        <f>O23/O16</f>
        <v>0.8529411764705882</v>
      </c>
      <c r="Q24" s="108"/>
      <c r="R24" s="108">
        <f>SUM(R17:R23)</f>
        <v>0.85294117647058831</v>
      </c>
      <c r="S24" s="108"/>
    </row>
    <row r="25" spans="2:28" ht="13" x14ac:dyDescent="0.3">
      <c r="B25" s="20"/>
      <c r="G25" s="130"/>
      <c r="H25" s="73" t="s">
        <v>42</v>
      </c>
      <c r="J25" s="113"/>
      <c r="R25" s="73" t="s">
        <v>42</v>
      </c>
      <c r="S25" s="73"/>
    </row>
    <row r="26" spans="2:28" s="2" customFormat="1" ht="13" x14ac:dyDescent="0.3">
      <c r="B26" s="470"/>
      <c r="D26" s="475"/>
      <c r="G26" s="110" t="s">
        <v>141</v>
      </c>
      <c r="H26" s="476" t="str">
        <f>IF($H$24=$F$24,"Ok","Error")</f>
        <v>Ok</v>
      </c>
      <c r="I26" s="472"/>
      <c r="J26" s="474"/>
      <c r="P26" s="110" t="s">
        <v>141</v>
      </c>
      <c r="R26" s="476" t="str">
        <f>IF($R$24=$O$24,"Ok","Error")</f>
        <v>Ok</v>
      </c>
      <c r="S26" s="476"/>
    </row>
    <row r="27" spans="2:28" s="2" customFormat="1" ht="13" x14ac:dyDescent="0.3">
      <c r="B27" s="445" t="str">
        <f>B17</f>
        <v>Telcel Prepago 1</v>
      </c>
      <c r="C27" s="453">
        <f>C17</f>
        <v>55000000</v>
      </c>
      <c r="D27" s="453">
        <f>D17</f>
        <v>55000000</v>
      </c>
      <c r="E27" s="453">
        <f>E17</f>
        <v>55000000</v>
      </c>
      <c r="F27" s="454">
        <f>AVERAGE(C27:E27)</f>
        <v>55000000</v>
      </c>
      <c r="G27" s="455">
        <f>MAX(F28:F35)/F27</f>
        <v>0.81818181818181823</v>
      </c>
      <c r="H27" s="456"/>
      <c r="I27" s="457"/>
      <c r="J27" s="456"/>
      <c r="K27" s="445" t="str">
        <f>K17</f>
        <v>Telcel Prepago 1</v>
      </c>
      <c r="L27" s="458">
        <f>L17</f>
        <v>25000000000</v>
      </c>
      <c r="M27" s="458">
        <f>M17</f>
        <v>25000000000</v>
      </c>
      <c r="N27" s="458">
        <f>N17</f>
        <v>25000000000</v>
      </c>
      <c r="O27" s="459">
        <f>AVERAGE(L27:N27)</f>
        <v>25000000000</v>
      </c>
      <c r="P27" s="455">
        <f>MAX(O28:O35)/O27</f>
        <v>0.38</v>
      </c>
      <c r="Q27" s="460"/>
      <c r="R27" s="460"/>
      <c r="S27" s="460"/>
      <c r="T27" s="457"/>
      <c r="U27" s="461"/>
      <c r="V27" s="3"/>
      <c r="W27" s="3"/>
      <c r="X27" s="462"/>
    </row>
    <row r="28" spans="2:28" s="2" customFormat="1" ht="13" x14ac:dyDescent="0.3">
      <c r="B28" s="101" t="s">
        <v>149</v>
      </c>
      <c r="C28" s="463">
        <v>40000000</v>
      </c>
      <c r="D28" s="463">
        <v>45000000</v>
      </c>
      <c r="E28" s="463">
        <v>50000000</v>
      </c>
      <c r="F28" s="123">
        <f>IF(B28="","",AVERAGE(C28:E28))</f>
        <v>45000000</v>
      </c>
      <c r="G28" s="464">
        <f t="shared" ref="G28:G34" si="10">IFERROR(RANK($F28,$F$28:$F$34),"")</f>
        <v>1</v>
      </c>
      <c r="H28" s="257">
        <f>IF(F28="","",F28/$F$27)</f>
        <v>0.81818181818181823</v>
      </c>
      <c r="I28" s="131"/>
      <c r="J28" s="257"/>
      <c r="K28" s="101" t="s">
        <v>149</v>
      </c>
      <c r="L28" s="465">
        <v>9500000000</v>
      </c>
      <c r="M28" s="465">
        <v>9500000000</v>
      </c>
      <c r="N28" s="465">
        <v>9500000000</v>
      </c>
      <c r="O28" s="123">
        <f t="shared" ref="O28:O35" si="11">IF(K28="","",AVERAGE(L28:N28))</f>
        <v>9500000000</v>
      </c>
      <c r="Q28" s="464">
        <f t="shared" ref="Q28:Q35" si="12">IFERROR(RANK($O28,$O$28:$O$35),"")</f>
        <v>1</v>
      </c>
      <c r="R28" s="257">
        <f>IF(O28="","",O28/$O$27)</f>
        <v>0.38</v>
      </c>
      <c r="S28" s="257"/>
      <c r="T28" s="131"/>
      <c r="U28" s="257"/>
      <c r="V28" s="257">
        <f>IF(K28="","",MAX(H28,R28))</f>
        <v>0.81818181818181823</v>
      </c>
      <c r="W28" s="464">
        <f>IFERROR(RANK($V28,$V$28:$V$35),"")</f>
        <v>1</v>
      </c>
      <c r="X28" s="462" t="str">
        <f>IF(K28=B28,"Ok","Error")</f>
        <v>Ok</v>
      </c>
      <c r="AB28" s="466">
        <f t="shared" ref="AB28:AB35" si="13">IFERROR((IF(C28="",$E28/D28-1,$E28/C28-1)),"")</f>
        <v>0.25</v>
      </c>
    </row>
    <row r="29" spans="2:28" s="2" customFormat="1" ht="13" x14ac:dyDescent="0.3">
      <c r="B29" s="101" t="s">
        <v>150</v>
      </c>
      <c r="C29" s="463">
        <v>20000000</v>
      </c>
      <c r="D29" s="463">
        <v>25000000</v>
      </c>
      <c r="E29" s="463">
        <v>30000000</v>
      </c>
      <c r="F29" s="123">
        <f>IF(B29="","",AVERAGE(C29:E29))</f>
        <v>25000000</v>
      </c>
      <c r="G29" s="464">
        <f t="shared" si="10"/>
        <v>2</v>
      </c>
      <c r="H29" s="257">
        <f t="shared" ref="H29:H34" si="14">IF(F29="","",F29/$F$27)</f>
        <v>0.45454545454545453</v>
      </c>
      <c r="I29" s="131"/>
      <c r="J29" s="257"/>
      <c r="K29" s="101" t="s">
        <v>150</v>
      </c>
      <c r="L29" s="465">
        <v>6500000000</v>
      </c>
      <c r="M29" s="465">
        <v>6500000000</v>
      </c>
      <c r="N29" s="465">
        <v>6500000000</v>
      </c>
      <c r="O29" s="123">
        <f t="shared" si="11"/>
        <v>6500000000</v>
      </c>
      <c r="Q29" s="464">
        <f t="shared" si="12"/>
        <v>2</v>
      </c>
      <c r="R29" s="257">
        <f t="shared" ref="R29:R35" si="15">IF(O29="","",O29/$O$27)</f>
        <v>0.26</v>
      </c>
      <c r="S29" s="257"/>
      <c r="T29" s="131"/>
      <c r="U29" s="257"/>
      <c r="V29" s="257">
        <f t="shared" ref="V29:V35" si="16">IF(K29="","",MAX(H29,R29))</f>
        <v>0.45454545454545453</v>
      </c>
      <c r="W29" s="464">
        <f t="shared" ref="W29:W35" si="17">IFERROR(RANK($V29,$V$28:$V$35),"")</f>
        <v>2</v>
      </c>
      <c r="X29" s="462" t="str">
        <f t="shared" ref="X29:X35" si="18">IF(K29=B29,"Ok","Error")</f>
        <v>Ok</v>
      </c>
      <c r="AB29" s="466">
        <f t="shared" si="13"/>
        <v>0.5</v>
      </c>
    </row>
    <row r="30" spans="2:28" s="2" customFormat="1" ht="13" x14ac:dyDescent="0.3">
      <c r="B30" s="101" t="s">
        <v>151</v>
      </c>
      <c r="C30" s="463">
        <v>5000000</v>
      </c>
      <c r="D30" s="463">
        <v>5000000</v>
      </c>
      <c r="E30" s="463">
        <v>5000000</v>
      </c>
      <c r="F30" s="123">
        <f>IF(B30="","",AVERAGE(C30:E30))</f>
        <v>5000000</v>
      </c>
      <c r="G30" s="464">
        <f t="shared" si="10"/>
        <v>3</v>
      </c>
      <c r="H30" s="257">
        <f t="shared" si="14"/>
        <v>9.0909090909090912E-2</v>
      </c>
      <c r="I30" s="131"/>
      <c r="J30" s="257"/>
      <c r="K30" s="101" t="s">
        <v>151</v>
      </c>
      <c r="L30" s="465">
        <v>5500000000</v>
      </c>
      <c r="M30" s="465">
        <v>5500000000</v>
      </c>
      <c r="N30" s="465">
        <v>5500000000</v>
      </c>
      <c r="O30" s="123">
        <f t="shared" si="11"/>
        <v>5500000000</v>
      </c>
      <c r="Q30" s="464">
        <f t="shared" si="12"/>
        <v>3</v>
      </c>
      <c r="R30" s="257">
        <f t="shared" si="15"/>
        <v>0.22</v>
      </c>
      <c r="S30" s="257"/>
      <c r="T30" s="131"/>
      <c r="U30" s="257"/>
      <c r="V30" s="257">
        <f t="shared" si="16"/>
        <v>0.22</v>
      </c>
      <c r="W30" s="464">
        <f t="shared" si="17"/>
        <v>3</v>
      </c>
      <c r="X30" s="462" t="str">
        <f t="shared" si="18"/>
        <v>Ok</v>
      </c>
      <c r="AB30" s="466">
        <f t="shared" si="13"/>
        <v>0</v>
      </c>
    </row>
    <row r="31" spans="2:28" s="2" customFormat="1" ht="13" x14ac:dyDescent="0.3">
      <c r="B31" s="101" t="s">
        <v>152</v>
      </c>
      <c r="C31" s="463">
        <v>4000000</v>
      </c>
      <c r="D31" s="463">
        <v>4000000</v>
      </c>
      <c r="E31" s="463">
        <v>4000000</v>
      </c>
      <c r="F31" s="123">
        <f>IF(B31="","",AVERAGE(C31:E31))</f>
        <v>4000000</v>
      </c>
      <c r="G31" s="464">
        <f t="shared" si="10"/>
        <v>4</v>
      </c>
      <c r="H31" s="257">
        <f t="shared" si="14"/>
        <v>7.2727272727272724E-2</v>
      </c>
      <c r="I31" s="131"/>
      <c r="J31" s="257"/>
      <c r="K31" s="101" t="s">
        <v>152</v>
      </c>
      <c r="L31" s="465">
        <v>3500000000</v>
      </c>
      <c r="M31" s="465">
        <v>3500000000</v>
      </c>
      <c r="N31" s="465">
        <v>3500000000</v>
      </c>
      <c r="O31" s="123">
        <f t="shared" si="11"/>
        <v>3500000000</v>
      </c>
      <c r="Q31" s="464">
        <f t="shared" si="12"/>
        <v>4</v>
      </c>
      <c r="R31" s="257">
        <f t="shared" si="15"/>
        <v>0.14000000000000001</v>
      </c>
      <c r="S31" s="131"/>
      <c r="T31" s="131"/>
      <c r="U31" s="131"/>
      <c r="V31" s="257">
        <f t="shared" si="16"/>
        <v>0.14000000000000001</v>
      </c>
      <c r="W31" s="464">
        <f t="shared" si="17"/>
        <v>4</v>
      </c>
      <c r="X31" s="462" t="str">
        <f t="shared" si="18"/>
        <v>Ok</v>
      </c>
      <c r="AB31" s="466">
        <f t="shared" si="13"/>
        <v>0</v>
      </c>
    </row>
    <row r="32" spans="2:28" s="2" customFormat="1" ht="13" x14ac:dyDescent="0.3">
      <c r="B32" s="101" t="s">
        <v>153</v>
      </c>
      <c r="C32" s="463">
        <v>3000000</v>
      </c>
      <c r="D32" s="463">
        <v>3000000</v>
      </c>
      <c r="E32" s="463">
        <v>3000000</v>
      </c>
      <c r="F32" s="123">
        <f t="shared" ref="F32:F33" si="19">IF(B32="","",AVERAGE(C32:E32))</f>
        <v>3000000</v>
      </c>
      <c r="G32" s="464">
        <f t="shared" si="10"/>
        <v>5</v>
      </c>
      <c r="H32" s="257">
        <f t="shared" si="14"/>
        <v>5.4545454545454543E-2</v>
      </c>
      <c r="I32" s="131"/>
      <c r="J32" s="257"/>
      <c r="K32" s="101" t="s">
        <v>153</v>
      </c>
      <c r="L32" s="465">
        <v>2500000000</v>
      </c>
      <c r="M32" s="465">
        <v>2500000000</v>
      </c>
      <c r="N32" s="465">
        <v>2500000000</v>
      </c>
      <c r="O32" s="123">
        <f t="shared" si="11"/>
        <v>2500000000</v>
      </c>
      <c r="Q32" s="464">
        <f t="shared" si="12"/>
        <v>5</v>
      </c>
      <c r="R32" s="257">
        <f t="shared" si="15"/>
        <v>0.1</v>
      </c>
      <c r="S32" s="131"/>
      <c r="T32" s="131"/>
      <c r="U32" s="131"/>
      <c r="V32" s="257">
        <f t="shared" si="16"/>
        <v>0.1</v>
      </c>
      <c r="W32" s="464">
        <f t="shared" si="17"/>
        <v>5</v>
      </c>
      <c r="X32" s="462" t="str">
        <f t="shared" si="18"/>
        <v>Ok</v>
      </c>
      <c r="AB32" s="466">
        <f t="shared" si="13"/>
        <v>0</v>
      </c>
    </row>
    <row r="33" spans="2:28" s="2" customFormat="1" ht="13" x14ac:dyDescent="0.3">
      <c r="B33" s="101" t="s">
        <v>154</v>
      </c>
      <c r="C33" s="463">
        <v>2000000</v>
      </c>
      <c r="D33" s="463">
        <v>2000000</v>
      </c>
      <c r="E33" s="463">
        <v>2000000</v>
      </c>
      <c r="F33" s="123">
        <f t="shared" si="19"/>
        <v>2000000</v>
      </c>
      <c r="G33" s="464">
        <f t="shared" si="10"/>
        <v>6</v>
      </c>
      <c r="H33" s="257">
        <f t="shared" si="14"/>
        <v>3.6363636363636362E-2</v>
      </c>
      <c r="I33" s="131"/>
      <c r="J33" s="257"/>
      <c r="K33" s="101" t="s">
        <v>154</v>
      </c>
      <c r="L33" s="465">
        <v>1500000000</v>
      </c>
      <c r="M33" s="465">
        <v>1500000000</v>
      </c>
      <c r="N33" s="465">
        <v>1500000000</v>
      </c>
      <c r="O33" s="123">
        <f>IF(K33="","",AVERAGE(L33:N33))</f>
        <v>1500000000</v>
      </c>
      <c r="Q33" s="464">
        <f t="shared" si="12"/>
        <v>6</v>
      </c>
      <c r="R33" s="257">
        <f t="shared" si="15"/>
        <v>0.06</v>
      </c>
      <c r="S33" s="131"/>
      <c r="T33" s="131"/>
      <c r="U33" s="131"/>
      <c r="V33" s="257">
        <f t="shared" si="16"/>
        <v>0.06</v>
      </c>
      <c r="W33" s="464">
        <f t="shared" si="17"/>
        <v>6</v>
      </c>
      <c r="X33" s="462" t="str">
        <f t="shared" si="18"/>
        <v>Ok</v>
      </c>
      <c r="AB33" s="466">
        <f t="shared" si="13"/>
        <v>0</v>
      </c>
    </row>
    <row r="34" spans="2:28" s="2" customFormat="1" ht="13" x14ac:dyDescent="0.3">
      <c r="B34" s="101" t="s">
        <v>155</v>
      </c>
      <c r="C34" s="463">
        <v>500000</v>
      </c>
      <c r="D34" s="463">
        <v>500000</v>
      </c>
      <c r="E34" s="463">
        <v>500000</v>
      </c>
      <c r="F34" s="123">
        <f t="shared" ref="F34" si="20">IF(B34="","",AVERAGE(C34:E34))</f>
        <v>500000</v>
      </c>
      <c r="G34" s="464">
        <f t="shared" si="10"/>
        <v>7</v>
      </c>
      <c r="H34" s="257">
        <f t="shared" si="14"/>
        <v>9.0909090909090905E-3</v>
      </c>
      <c r="I34" s="131"/>
      <c r="J34" s="257"/>
      <c r="K34" s="101" t="s">
        <v>155</v>
      </c>
      <c r="L34" s="465">
        <v>500000000</v>
      </c>
      <c r="M34" s="465">
        <v>500000000</v>
      </c>
      <c r="N34" s="465">
        <v>500000000</v>
      </c>
      <c r="O34" s="123">
        <f>IF(K34="","",AVERAGE(L34:N34))</f>
        <v>500000000</v>
      </c>
      <c r="Q34" s="464">
        <f t="shared" si="12"/>
        <v>7</v>
      </c>
      <c r="R34" s="257">
        <f t="shared" si="15"/>
        <v>0.02</v>
      </c>
      <c r="S34" s="131"/>
      <c r="T34" s="131"/>
      <c r="U34" s="131"/>
      <c r="V34" s="257">
        <f t="shared" si="16"/>
        <v>0.02</v>
      </c>
      <c r="W34" s="464">
        <f t="shared" si="17"/>
        <v>7</v>
      </c>
      <c r="X34" s="462" t="str">
        <f t="shared" ref="X34" si="21">IF(K34=B34,"Ok","Error")</f>
        <v>Ok</v>
      </c>
      <c r="AB34" s="466">
        <f t="shared" si="13"/>
        <v>0</v>
      </c>
    </row>
    <row r="35" spans="2:28" s="2" customFormat="1" ht="13" x14ac:dyDescent="0.3">
      <c r="B35" s="101" t="s">
        <v>156</v>
      </c>
      <c r="C35" s="463">
        <v>500000</v>
      </c>
      <c r="D35" s="463">
        <v>500000</v>
      </c>
      <c r="E35" s="463">
        <v>500000</v>
      </c>
      <c r="F35" s="123">
        <f t="shared" ref="F35" si="22">IF(B35="","",AVERAGE(C35:E35))</f>
        <v>500000</v>
      </c>
      <c r="G35" s="467"/>
      <c r="H35" s="257">
        <f>IF(F35="","",F35/$F$27)</f>
        <v>9.0909090909090905E-3</v>
      </c>
      <c r="I35" s="131"/>
      <c r="K35" s="101" t="s">
        <v>156</v>
      </c>
      <c r="L35" s="465">
        <v>500000000</v>
      </c>
      <c r="M35" s="465">
        <v>500000000</v>
      </c>
      <c r="N35" s="465">
        <v>500000000</v>
      </c>
      <c r="O35" s="123">
        <f t="shared" si="11"/>
        <v>500000000</v>
      </c>
      <c r="Q35" s="464">
        <f t="shared" si="12"/>
        <v>7</v>
      </c>
      <c r="R35" s="257">
        <f t="shared" si="15"/>
        <v>0.02</v>
      </c>
      <c r="S35" s="131"/>
      <c r="T35" s="131"/>
      <c r="U35" s="131"/>
      <c r="V35" s="257">
        <f t="shared" si="16"/>
        <v>0.02</v>
      </c>
      <c r="W35" s="464">
        <f t="shared" si="17"/>
        <v>7</v>
      </c>
      <c r="X35" s="462" t="str">
        <f t="shared" si="18"/>
        <v>Ok</v>
      </c>
      <c r="AB35" s="466">
        <f t="shared" si="13"/>
        <v>0</v>
      </c>
    </row>
    <row r="36" spans="2:28" s="2" customFormat="1" ht="13" x14ac:dyDescent="0.3">
      <c r="B36" s="445" t="s">
        <v>93</v>
      </c>
      <c r="C36" s="454">
        <f>SUM(C28:C35)</f>
        <v>75000000</v>
      </c>
      <c r="D36" s="454">
        <f>SUM(D28:D35)</f>
        <v>85000000</v>
      </c>
      <c r="E36" s="454">
        <f>SUM(E28:E35)</f>
        <v>95000000</v>
      </c>
      <c r="F36" s="454">
        <f>AVERAGE(C36:E36)</f>
        <v>85000000</v>
      </c>
      <c r="G36" s="467"/>
      <c r="H36" s="454"/>
      <c r="I36" s="467"/>
      <c r="J36" s="468"/>
      <c r="K36" s="445" t="s">
        <v>93</v>
      </c>
      <c r="L36" s="454">
        <f>SUM(L28:L35)</f>
        <v>30000000000</v>
      </c>
      <c r="M36" s="454">
        <f>SUM(M28:M35)</f>
        <v>30000000000</v>
      </c>
      <c r="N36" s="454">
        <f>SUM(N28:N35)</f>
        <v>30000000000</v>
      </c>
      <c r="O36" s="454">
        <f>AVERAGE(L36:N36)</f>
        <v>30000000000</v>
      </c>
      <c r="Q36" s="469"/>
      <c r="R36" s="454"/>
      <c r="S36" s="464"/>
      <c r="T36" s="467"/>
    </row>
    <row r="37" spans="2:28" s="2" customFormat="1" ht="13" x14ac:dyDescent="0.3">
      <c r="B37" s="470"/>
      <c r="C37" s="471">
        <f>C36/C27</f>
        <v>1.3636363636363635</v>
      </c>
      <c r="D37" s="471">
        <f>D36/D27</f>
        <v>1.5454545454545454</v>
      </c>
      <c r="E37" s="471">
        <f>E36/E27</f>
        <v>1.7272727272727273</v>
      </c>
      <c r="F37" s="471">
        <f>F36/F27</f>
        <v>1.5454545454545454</v>
      </c>
      <c r="G37" s="131"/>
      <c r="H37" s="257">
        <f>SUM(H28:H36)</f>
        <v>1.5454545454545452</v>
      </c>
      <c r="J37" s="257"/>
      <c r="L37" s="471">
        <f>L36/L27</f>
        <v>1.2</v>
      </c>
      <c r="M37" s="471">
        <f>M36/M27</f>
        <v>1.2</v>
      </c>
      <c r="N37" s="471">
        <f>N36/N27</f>
        <v>1.2</v>
      </c>
      <c r="O37" s="471">
        <f>O36/O27</f>
        <v>1.2</v>
      </c>
      <c r="Q37" s="257"/>
      <c r="R37" s="257">
        <f>SUM(R28:R35)</f>
        <v>1.2000000000000002</v>
      </c>
      <c r="S37" s="257"/>
    </row>
    <row r="38" spans="2:28" s="2" customFormat="1" ht="13" x14ac:dyDescent="0.3">
      <c r="B38" s="470"/>
      <c r="G38" s="472"/>
      <c r="H38" s="473" t="s">
        <v>42</v>
      </c>
      <c r="J38" s="474"/>
      <c r="R38" s="473" t="s">
        <v>42</v>
      </c>
      <c r="S38" s="473"/>
    </row>
    <row r="39" spans="2:28" s="2" customFormat="1" ht="13" x14ac:dyDescent="0.3">
      <c r="B39" s="470"/>
      <c r="D39" s="475"/>
      <c r="G39" s="472"/>
      <c r="H39" s="476" t="str">
        <f>IF($H$37=$F$37,"Ok","Error")</f>
        <v>Ok</v>
      </c>
      <c r="I39" s="472"/>
      <c r="J39" s="474"/>
      <c r="R39" s="476" t="str">
        <f>IF($R$24=$O$24,"Ok","Error")</f>
        <v>Ok</v>
      </c>
      <c r="S39" s="476"/>
    </row>
    <row r="40" spans="2:28" s="2" customFormat="1" ht="13" x14ac:dyDescent="0.3">
      <c r="B40" s="470"/>
      <c r="D40" s="475"/>
      <c r="G40" s="110" t="s">
        <v>141</v>
      </c>
      <c r="H40" s="476"/>
      <c r="I40" s="472"/>
      <c r="J40" s="474"/>
      <c r="P40" s="110" t="s">
        <v>141</v>
      </c>
      <c r="R40" s="476"/>
      <c r="S40" s="476"/>
    </row>
    <row r="41" spans="2:28" s="2" customFormat="1" ht="13" x14ac:dyDescent="0.3">
      <c r="B41" s="445" t="s">
        <v>92</v>
      </c>
      <c r="C41" s="453">
        <f>C12</f>
        <v>66000000</v>
      </c>
      <c r="D41" s="453">
        <f>D12</f>
        <v>66000000</v>
      </c>
      <c r="E41" s="453">
        <f>E12</f>
        <v>66000000</v>
      </c>
      <c r="F41" s="454">
        <f>AVERAGE(C41:E41)</f>
        <v>66000000</v>
      </c>
      <c r="G41" s="455">
        <f>MAX(F42:F49)/F41</f>
        <v>4.5454545454545452E-3</v>
      </c>
      <c r="H41" s="456"/>
      <c r="I41" s="457"/>
      <c r="J41" s="456"/>
      <c r="K41" s="445" t="s">
        <v>92</v>
      </c>
      <c r="L41" s="453">
        <f>L12</f>
        <v>34000000000</v>
      </c>
      <c r="M41" s="453">
        <f>M12</f>
        <v>34000000000</v>
      </c>
      <c r="N41" s="453">
        <f>N12</f>
        <v>34000000000</v>
      </c>
      <c r="O41" s="454">
        <f>AVERAGE(L41:N41)</f>
        <v>34000000000</v>
      </c>
      <c r="P41" s="455">
        <f>MAX(O42:O49)/O41</f>
        <v>1.911764705882353E-3</v>
      </c>
      <c r="Q41" s="460"/>
      <c r="R41" s="460"/>
      <c r="S41" s="460"/>
      <c r="T41" s="461"/>
      <c r="U41" s="461"/>
      <c r="V41" s="3"/>
      <c r="W41" s="3"/>
      <c r="X41" s="462"/>
    </row>
    <row r="42" spans="2:28" s="2" customFormat="1" ht="13" x14ac:dyDescent="0.3">
      <c r="B42" s="101" t="s">
        <v>157</v>
      </c>
      <c r="C42" s="463">
        <v>300000</v>
      </c>
      <c r="D42" s="463">
        <v>300000</v>
      </c>
      <c r="E42" s="463">
        <v>300000</v>
      </c>
      <c r="F42" s="123">
        <f>IF(B42="","",AVERAGE(C42:E42))</f>
        <v>300000</v>
      </c>
      <c r="G42" s="464">
        <f>IFERROR(RANK($F42,$F$42:$F$48),"")</f>
        <v>1</v>
      </c>
      <c r="H42" s="257">
        <f>IF(F42="","",F42/$F$27)</f>
        <v>5.454545454545455E-3</v>
      </c>
      <c r="I42" s="131">
        <f>IF(F42="","",SUM($F$42:$F42)/$F$41)</f>
        <v>4.5454545454545452E-3</v>
      </c>
      <c r="J42" s="257"/>
      <c r="K42" s="101" t="s">
        <v>157</v>
      </c>
      <c r="L42" s="465">
        <v>65000000</v>
      </c>
      <c r="M42" s="465">
        <v>65000000</v>
      </c>
      <c r="N42" s="465">
        <v>65000000</v>
      </c>
      <c r="O42" s="123">
        <f t="shared" ref="O42:O46" si="23">IF(K42="","",AVERAGE(L42:N42))</f>
        <v>65000000</v>
      </c>
      <c r="Q42" s="464">
        <f t="shared" ref="Q42:Q49" si="24">IFERROR(RANK($O42,$O$42:$O$49),"")</f>
        <v>1</v>
      </c>
      <c r="R42" s="477">
        <f>IF(O42="","",O42/$O$41)</f>
        <v>1.911764705882353E-3</v>
      </c>
      <c r="S42" s="257"/>
      <c r="T42" s="477">
        <f>IF(O42="","",SUM($O$42:$O42)/$O$41)</f>
        <v>1.911764705882353E-3</v>
      </c>
      <c r="U42" s="257"/>
      <c r="V42" s="257"/>
      <c r="W42" s="464" t="str">
        <f t="shared" ref="W42:W49" si="25">IFERROR(RANK($V42,$V$17:$V$22),"")</f>
        <v/>
      </c>
      <c r="X42" s="462" t="str">
        <f>IF(K42=B42,"Ok","Error")</f>
        <v>Ok</v>
      </c>
      <c r="AB42" s="466">
        <f t="shared" ref="AB42:AB49" si="26">IFERROR((IF(C42="",$E42/D42-1,$E42/C42-1)),"")</f>
        <v>0</v>
      </c>
    </row>
    <row r="43" spans="2:28" s="2" customFormat="1" ht="13" x14ac:dyDescent="0.3">
      <c r="B43" s="101" t="s">
        <v>158</v>
      </c>
      <c r="C43" s="463">
        <v>100000</v>
      </c>
      <c r="D43" s="463">
        <v>100000</v>
      </c>
      <c r="E43" s="463">
        <v>100000</v>
      </c>
      <c r="F43" s="123">
        <f>IF(B43="","",AVERAGE(C43:E43))</f>
        <v>100000</v>
      </c>
      <c r="G43" s="464">
        <f t="shared" ref="G43:G48" si="27">IFERROR(RANK($F43,$F$42:$F$48),"")</f>
        <v>2</v>
      </c>
      <c r="H43" s="257">
        <f t="shared" ref="H43:H48" si="28">IF(F43="","",F43/$F$27)</f>
        <v>1.8181818181818182E-3</v>
      </c>
      <c r="I43" s="131">
        <f>IF(F43="","",SUM($F$42:$F43)/$F$41)</f>
        <v>6.0606060606060606E-3</v>
      </c>
      <c r="J43" s="257"/>
      <c r="K43" s="101" t="s">
        <v>158</v>
      </c>
      <c r="L43" s="465">
        <v>55000000</v>
      </c>
      <c r="M43" s="465">
        <v>55000000</v>
      </c>
      <c r="N43" s="465">
        <v>55000000</v>
      </c>
      <c r="O43" s="123">
        <f t="shared" si="23"/>
        <v>55000000</v>
      </c>
      <c r="Q43" s="464">
        <f t="shared" si="24"/>
        <v>2</v>
      </c>
      <c r="R43" s="477">
        <f t="shared" ref="R43:R49" si="29">IF(O43="","",O43/$O$41)</f>
        <v>1.6176470588235294E-3</v>
      </c>
      <c r="S43" s="257"/>
      <c r="T43" s="477">
        <f>IF(O43="","",SUM($O$42:$O43)/$O$41)</f>
        <v>3.5294117647058825E-3</v>
      </c>
      <c r="U43" s="257"/>
      <c r="V43" s="257"/>
      <c r="W43" s="464" t="str">
        <f t="shared" si="25"/>
        <v/>
      </c>
      <c r="X43" s="462" t="str">
        <f t="shared" ref="X43:X49" si="30">IF(K43=B43,"Ok","Error")</f>
        <v>Ok</v>
      </c>
      <c r="AB43" s="466">
        <f t="shared" si="26"/>
        <v>0</v>
      </c>
    </row>
    <row r="44" spans="2:28" s="2" customFormat="1" ht="13" x14ac:dyDescent="0.3">
      <c r="B44" s="101" t="s">
        <v>159</v>
      </c>
      <c r="C44" s="463">
        <v>50000</v>
      </c>
      <c r="D44" s="463">
        <v>50000</v>
      </c>
      <c r="E44" s="463">
        <v>50000</v>
      </c>
      <c r="F44" s="123">
        <f>IF(B44="","",AVERAGE(C44:E44))</f>
        <v>50000</v>
      </c>
      <c r="G44" s="464">
        <f t="shared" si="27"/>
        <v>3</v>
      </c>
      <c r="H44" s="257">
        <f t="shared" si="28"/>
        <v>9.0909090909090909E-4</v>
      </c>
      <c r="I44" s="131">
        <f>IF(F44="","",SUM($F$42:$F44)/$F$41)</f>
        <v>6.8181818181818179E-3</v>
      </c>
      <c r="J44" s="257"/>
      <c r="K44" s="101" t="s">
        <v>159</v>
      </c>
      <c r="L44" s="465">
        <v>45000000</v>
      </c>
      <c r="M44" s="465">
        <v>45000000</v>
      </c>
      <c r="N44" s="465">
        <v>45000000</v>
      </c>
      <c r="O44" s="123">
        <f t="shared" si="23"/>
        <v>45000000</v>
      </c>
      <c r="Q44" s="464">
        <f t="shared" si="24"/>
        <v>3</v>
      </c>
      <c r="R44" s="477">
        <f t="shared" si="29"/>
        <v>1.3235294117647058E-3</v>
      </c>
      <c r="S44" s="257"/>
      <c r="T44" s="477">
        <f>IF(O44="","",SUM($O$42:$O44)/$O$41)</f>
        <v>4.8529411764705885E-3</v>
      </c>
      <c r="U44" s="257"/>
      <c r="V44" s="257"/>
      <c r="W44" s="464" t="str">
        <f t="shared" si="25"/>
        <v/>
      </c>
      <c r="X44" s="462" t="str">
        <f t="shared" si="30"/>
        <v>Ok</v>
      </c>
      <c r="AB44" s="466">
        <f t="shared" si="26"/>
        <v>0</v>
      </c>
    </row>
    <row r="45" spans="2:28" s="2" customFormat="1" ht="13" x14ac:dyDescent="0.3">
      <c r="B45" s="101" t="s">
        <v>160</v>
      </c>
      <c r="C45" s="463">
        <v>40000</v>
      </c>
      <c r="D45" s="463">
        <v>40000</v>
      </c>
      <c r="E45" s="463">
        <v>40000</v>
      </c>
      <c r="F45" s="123">
        <f>IF(B45="","",AVERAGE(C45:E45))</f>
        <v>40000</v>
      </c>
      <c r="G45" s="464">
        <f t="shared" si="27"/>
        <v>4</v>
      </c>
      <c r="H45" s="257">
        <f t="shared" si="28"/>
        <v>7.2727272727272723E-4</v>
      </c>
      <c r="I45" s="131">
        <f>IF(F45="","",SUM($F$42:$F45)/$F$41)</f>
        <v>7.4242424242424243E-3</v>
      </c>
      <c r="J45" s="257"/>
      <c r="K45" s="101" t="s">
        <v>160</v>
      </c>
      <c r="L45" s="465">
        <v>35000000</v>
      </c>
      <c r="M45" s="465">
        <v>35000000</v>
      </c>
      <c r="N45" s="465">
        <v>35000000</v>
      </c>
      <c r="O45" s="123">
        <f t="shared" si="23"/>
        <v>35000000</v>
      </c>
      <c r="Q45" s="464">
        <f t="shared" si="24"/>
        <v>4</v>
      </c>
      <c r="R45" s="477">
        <f t="shared" si="29"/>
        <v>1.0294117647058824E-3</v>
      </c>
      <c r="S45" s="131"/>
      <c r="T45" s="477">
        <f>IF(O45="","",SUM($O$42:$O45)/$O$41)</f>
        <v>5.8823529411764705E-3</v>
      </c>
      <c r="U45" s="131"/>
      <c r="V45" s="257"/>
      <c r="W45" s="464" t="str">
        <f t="shared" si="25"/>
        <v/>
      </c>
      <c r="X45" s="462" t="str">
        <f t="shared" si="30"/>
        <v>Ok</v>
      </c>
      <c r="AB45" s="466">
        <f t="shared" si="26"/>
        <v>0</v>
      </c>
    </row>
    <row r="46" spans="2:28" s="2" customFormat="1" ht="13" x14ac:dyDescent="0.3">
      <c r="B46" s="101" t="s">
        <v>161</v>
      </c>
      <c r="C46" s="463">
        <v>30000</v>
      </c>
      <c r="D46" s="463">
        <v>30000</v>
      </c>
      <c r="E46" s="463">
        <v>30000</v>
      </c>
      <c r="F46" s="123">
        <f t="shared" ref="F46:F49" si="31">IF(B46="","",AVERAGE(C46:E46))</f>
        <v>30000</v>
      </c>
      <c r="G46" s="464">
        <f t="shared" si="27"/>
        <v>5</v>
      </c>
      <c r="H46" s="257">
        <f t="shared" si="28"/>
        <v>5.4545454545454548E-4</v>
      </c>
      <c r="I46" s="131">
        <f>IF(F46="","",SUM($F$42:$F46)/$F$41)</f>
        <v>7.8787878787878792E-3</v>
      </c>
      <c r="J46" s="257"/>
      <c r="K46" s="101" t="s">
        <v>161</v>
      </c>
      <c r="L46" s="465">
        <v>25000000</v>
      </c>
      <c r="M46" s="465">
        <v>25000000</v>
      </c>
      <c r="N46" s="465">
        <v>25000000</v>
      </c>
      <c r="O46" s="123">
        <f t="shared" si="23"/>
        <v>25000000</v>
      </c>
      <c r="Q46" s="464">
        <f t="shared" si="24"/>
        <v>5</v>
      </c>
      <c r="R46" s="477">
        <f t="shared" si="29"/>
        <v>7.3529411764705881E-4</v>
      </c>
      <c r="S46" s="131"/>
      <c r="T46" s="477">
        <f>IF(O46="","",SUM($O$42:$O46)/$O$41)</f>
        <v>6.6176470588235293E-3</v>
      </c>
      <c r="U46" s="131"/>
      <c r="V46" s="257"/>
      <c r="W46" s="464"/>
      <c r="X46" s="462" t="str">
        <f t="shared" si="30"/>
        <v>Ok</v>
      </c>
      <c r="AB46" s="466">
        <f t="shared" si="26"/>
        <v>0</v>
      </c>
    </row>
    <row r="47" spans="2:28" s="2" customFormat="1" ht="13" x14ac:dyDescent="0.3">
      <c r="B47" s="101" t="s">
        <v>162</v>
      </c>
      <c r="C47" s="463">
        <v>20000</v>
      </c>
      <c r="D47" s="463">
        <v>20000</v>
      </c>
      <c r="E47" s="463">
        <v>20000</v>
      </c>
      <c r="F47" s="123">
        <f t="shared" si="31"/>
        <v>20000</v>
      </c>
      <c r="G47" s="464">
        <f t="shared" si="27"/>
        <v>6</v>
      </c>
      <c r="H47" s="257">
        <f t="shared" si="28"/>
        <v>3.6363636363636361E-4</v>
      </c>
      <c r="I47" s="131">
        <f>IF(F47="","",SUM($F$42:$F47)/$F$41)</f>
        <v>8.1818181818181825E-3</v>
      </c>
      <c r="J47" s="257"/>
      <c r="K47" s="101" t="s">
        <v>162</v>
      </c>
      <c r="L47" s="465">
        <v>15000000</v>
      </c>
      <c r="M47" s="465">
        <v>15000000</v>
      </c>
      <c r="N47" s="465">
        <v>15000000</v>
      </c>
      <c r="O47" s="123">
        <f>IF(K47="","",AVERAGE(L47:N47))</f>
        <v>15000000</v>
      </c>
      <c r="Q47" s="464">
        <f t="shared" si="24"/>
        <v>6</v>
      </c>
      <c r="R47" s="477">
        <f t="shared" si="29"/>
        <v>4.4117647058823531E-4</v>
      </c>
      <c r="S47" s="131"/>
      <c r="T47" s="477">
        <f>IF(O47="","",SUM($O$42:$O47)/$O$41)</f>
        <v>7.058823529411765E-3</v>
      </c>
      <c r="U47" s="131"/>
      <c r="V47" s="257"/>
      <c r="W47" s="464"/>
      <c r="X47" s="462" t="str">
        <f t="shared" si="30"/>
        <v>Ok</v>
      </c>
      <c r="AB47" s="466">
        <f t="shared" si="26"/>
        <v>0</v>
      </c>
    </row>
    <row r="48" spans="2:28" s="2" customFormat="1" ht="13" x14ac:dyDescent="0.3">
      <c r="B48" s="101" t="s">
        <v>163</v>
      </c>
      <c r="C48" s="463">
        <v>5000</v>
      </c>
      <c r="D48" s="463">
        <v>5000</v>
      </c>
      <c r="E48" s="463">
        <v>5000</v>
      </c>
      <c r="F48" s="123">
        <f t="shared" si="31"/>
        <v>5000</v>
      </c>
      <c r="G48" s="464">
        <f t="shared" si="27"/>
        <v>7</v>
      </c>
      <c r="H48" s="257">
        <f t="shared" si="28"/>
        <v>9.0909090909090904E-5</v>
      </c>
      <c r="I48" s="131">
        <f>IF(F48="","",SUM($F$42:$F48)/$F$41)</f>
        <v>8.257575757575757E-3</v>
      </c>
      <c r="J48" s="257"/>
      <c r="K48" s="101" t="s">
        <v>163</v>
      </c>
      <c r="L48" s="465">
        <v>5000000</v>
      </c>
      <c r="M48" s="465">
        <v>5000000</v>
      </c>
      <c r="N48" s="465">
        <v>5000000</v>
      </c>
      <c r="O48" s="123">
        <f>IF(K48="","",AVERAGE(L48:N48))</f>
        <v>5000000</v>
      </c>
      <c r="Q48" s="464">
        <f t="shared" si="24"/>
        <v>7</v>
      </c>
      <c r="R48" s="477">
        <f t="shared" si="29"/>
        <v>1.4705882352941175E-4</v>
      </c>
      <c r="S48" s="131"/>
      <c r="T48" s="477">
        <f>IF(O48="","",SUM($O$42:$O48)/$O$41)</f>
        <v>7.2058823529411765E-3</v>
      </c>
      <c r="U48" s="131"/>
      <c r="V48" s="257"/>
      <c r="W48" s="464"/>
      <c r="X48" s="462" t="str">
        <f t="shared" si="30"/>
        <v>Ok</v>
      </c>
      <c r="AB48" s="466">
        <f t="shared" si="26"/>
        <v>0</v>
      </c>
    </row>
    <row r="49" spans="2:29" s="2" customFormat="1" ht="13" x14ac:dyDescent="0.3">
      <c r="B49" s="101" t="s">
        <v>156</v>
      </c>
      <c r="C49" s="463">
        <v>5000</v>
      </c>
      <c r="D49" s="463">
        <v>5000</v>
      </c>
      <c r="E49" s="463">
        <v>5000</v>
      </c>
      <c r="F49" s="123">
        <f t="shared" si="31"/>
        <v>5000</v>
      </c>
      <c r="G49" s="467"/>
      <c r="H49" s="257">
        <f>IF(F49="","",F49/$F$27)</f>
        <v>9.0909090909090904E-5</v>
      </c>
      <c r="I49" s="131">
        <f>IF(F49="","",SUM($F$42:$F49)/$F$41)</f>
        <v>8.3333333333333332E-3</v>
      </c>
      <c r="K49" s="101" t="s">
        <v>156</v>
      </c>
      <c r="L49" s="465">
        <v>5000000</v>
      </c>
      <c r="M49" s="465">
        <v>5000000</v>
      </c>
      <c r="N49" s="465">
        <v>5000000</v>
      </c>
      <c r="O49" s="123">
        <f t="shared" ref="O49" si="32">IF(K49="","",AVERAGE(L49:N49))</f>
        <v>5000000</v>
      </c>
      <c r="Q49" s="464">
        <f t="shared" si="24"/>
        <v>7</v>
      </c>
      <c r="R49" s="477">
        <f t="shared" si="29"/>
        <v>1.4705882352941175E-4</v>
      </c>
      <c r="S49" s="131"/>
      <c r="T49" s="477">
        <f>IF(O49="","",SUM($O$42:$O49)/$O$41)</f>
        <v>7.3529411764705881E-3</v>
      </c>
      <c r="U49" s="131"/>
      <c r="V49" s="257"/>
      <c r="W49" s="464" t="str">
        <f t="shared" si="25"/>
        <v/>
      </c>
      <c r="X49" s="462" t="str">
        <f t="shared" si="30"/>
        <v>Ok</v>
      </c>
      <c r="AB49" s="466">
        <f t="shared" si="26"/>
        <v>0</v>
      </c>
    </row>
    <row r="50" spans="2:29" s="2" customFormat="1" ht="13" x14ac:dyDescent="0.3">
      <c r="B50" s="445" t="s">
        <v>94</v>
      </c>
      <c r="C50" s="454">
        <f>SUM(C42:C49)</f>
        <v>550000</v>
      </c>
      <c r="D50" s="454">
        <f>SUM(D42:D49)</f>
        <v>550000</v>
      </c>
      <c r="E50" s="454">
        <f>SUM(E42:E49)</f>
        <v>550000</v>
      </c>
      <c r="F50" s="454">
        <f>AVERAGE(C50:E50)</f>
        <v>550000</v>
      </c>
      <c r="G50" s="467"/>
      <c r="H50" s="454"/>
      <c r="I50" s="454"/>
      <c r="J50" s="468"/>
      <c r="K50" s="445" t="s">
        <v>94</v>
      </c>
      <c r="L50" s="454">
        <f>SUM(L42:L49)</f>
        <v>250000000</v>
      </c>
      <c r="M50" s="454">
        <f>SUM(M42:M49)</f>
        <v>250000000</v>
      </c>
      <c r="N50" s="454">
        <f>SUM(N42:N49)</f>
        <v>250000000</v>
      </c>
      <c r="O50" s="454">
        <f>AVERAGE(L50:N50)</f>
        <v>250000000</v>
      </c>
      <c r="Q50" s="469"/>
      <c r="R50" s="454"/>
      <c r="S50" s="464"/>
      <c r="T50" s="454"/>
    </row>
    <row r="51" spans="2:29" s="2" customFormat="1" ht="13" x14ac:dyDescent="0.3">
      <c r="B51" s="470"/>
      <c r="C51" s="478">
        <f>C50/C41</f>
        <v>8.3333333333333332E-3</v>
      </c>
      <c r="D51" s="478">
        <f>D50/D41</f>
        <v>8.3333333333333332E-3</v>
      </c>
      <c r="E51" s="478">
        <f>E50/E41</f>
        <v>8.3333333333333332E-3</v>
      </c>
      <c r="F51" s="478">
        <f>F50/F41</f>
        <v>8.3333333333333332E-3</v>
      </c>
      <c r="G51" s="131"/>
      <c r="H51" s="257">
        <f>SUM(H42:H50)</f>
        <v>0.01</v>
      </c>
      <c r="J51" s="257"/>
      <c r="L51" s="478">
        <f>L50/L41</f>
        <v>7.3529411764705881E-3</v>
      </c>
      <c r="M51" s="478">
        <f>M50/M41</f>
        <v>7.3529411764705881E-3</v>
      </c>
      <c r="N51" s="478">
        <f>N50/N41</f>
        <v>7.3529411764705881E-3</v>
      </c>
      <c r="O51" s="478">
        <f>O50/O41</f>
        <v>7.3529411764705881E-3</v>
      </c>
      <c r="Q51" s="257"/>
      <c r="R51" s="257">
        <f>SUM(R42:R49)</f>
        <v>7.3529411764705881E-3</v>
      </c>
      <c r="S51" s="257"/>
    </row>
    <row r="52" spans="2:29" s="2" customFormat="1" ht="13" x14ac:dyDescent="0.3">
      <c r="B52" s="470"/>
      <c r="G52" s="472"/>
      <c r="H52" s="473" t="s">
        <v>42</v>
      </c>
      <c r="J52" s="474"/>
      <c r="R52" s="473" t="s">
        <v>42</v>
      </c>
      <c r="S52" s="473"/>
    </row>
    <row r="53" spans="2:29" s="2" customFormat="1" ht="13" x14ac:dyDescent="0.3">
      <c r="B53" s="470"/>
      <c r="D53" s="475"/>
      <c r="G53" s="472"/>
      <c r="H53" s="476" t="str">
        <f>IF($H$37=$F$37,"Ok","Error")</f>
        <v>Ok</v>
      </c>
      <c r="I53" s="472"/>
      <c r="J53" s="474"/>
      <c r="R53" s="476" t="str">
        <f>IF($R$24=$O$24,"Ok","Error")</f>
        <v>Ok</v>
      </c>
      <c r="S53" s="476"/>
    </row>
    <row r="54" spans="2:29" s="2" customFormat="1" ht="13" x14ac:dyDescent="0.3">
      <c r="B54" s="470"/>
      <c r="G54" s="110" t="s">
        <v>141</v>
      </c>
      <c r="H54" s="472"/>
      <c r="I54" s="472"/>
      <c r="J54" s="474"/>
      <c r="P54" s="110" t="s">
        <v>141</v>
      </c>
    </row>
    <row r="55" spans="2:29" s="2" customFormat="1" ht="26" x14ac:dyDescent="0.3">
      <c r="B55" s="445" t="s">
        <v>135</v>
      </c>
      <c r="C55" s="458">
        <f>C13+C14</f>
        <v>14000000</v>
      </c>
      <c r="D55" s="458">
        <f>D13+D14</f>
        <v>14000000</v>
      </c>
      <c r="E55" s="458">
        <f>E13+E14</f>
        <v>14000000</v>
      </c>
      <c r="F55" s="459">
        <f>ROUND((AVERAGE(C55:E55)),0)</f>
        <v>14000000</v>
      </c>
      <c r="G55" s="479">
        <f>MAX(F56:F98)/F55</f>
        <v>0.10714292857142857</v>
      </c>
      <c r="H55" s="457"/>
      <c r="I55" s="457"/>
      <c r="J55" s="456"/>
      <c r="K55" s="445" t="s">
        <v>135</v>
      </c>
      <c r="L55" s="458">
        <f>L13</f>
        <v>23000000000</v>
      </c>
      <c r="M55" s="458">
        <f>M13</f>
        <v>23000000000</v>
      </c>
      <c r="N55" s="458">
        <f>N13</f>
        <v>23000000000</v>
      </c>
      <c r="O55" s="459">
        <f>AVERAGE(L55:N55)</f>
        <v>23000000000</v>
      </c>
      <c r="P55" s="479">
        <f>MAX(O56:O98)/O55</f>
        <v>8.0713559695652179E-2</v>
      </c>
      <c r="Q55" s="460"/>
      <c r="R55" s="460"/>
      <c r="S55" s="460"/>
      <c r="T55" s="461"/>
      <c r="U55" s="461"/>
      <c r="X55" s="473"/>
      <c r="AC55" s="110" t="s">
        <v>164</v>
      </c>
    </row>
    <row r="56" spans="2:29" s="2" customFormat="1" ht="13" x14ac:dyDescent="0.3">
      <c r="B56" s="101" t="s">
        <v>165</v>
      </c>
      <c r="C56" s="463">
        <v>1500000</v>
      </c>
      <c r="D56" s="463">
        <v>1500001</v>
      </c>
      <c r="E56" s="463">
        <v>1500002</v>
      </c>
      <c r="F56" s="123">
        <f>IF(B56="","",ROUND((AVERAGE(C56:E56)),0))</f>
        <v>1500001</v>
      </c>
      <c r="G56" s="464">
        <f>IFERROR(RANK($F56,$F$56:$F$98),"")</f>
        <v>1</v>
      </c>
      <c r="H56" s="257">
        <f>IF(F56="","",F56/$F$55)</f>
        <v>0.10714292857142857</v>
      </c>
      <c r="I56" s="131">
        <f>IF(F56="","",SUM($F$56:$F56)/$F$55)</f>
        <v>0.10714292857142857</v>
      </c>
      <c r="J56" s="257"/>
      <c r="K56" s="101" t="s">
        <v>165</v>
      </c>
      <c r="L56" s="463">
        <v>1000000000</v>
      </c>
      <c r="M56" s="463">
        <v>1000000001</v>
      </c>
      <c r="N56" s="463">
        <v>1000000002</v>
      </c>
      <c r="O56" s="123">
        <f>IF(K56="","",AVERAGE(L56:N56))</f>
        <v>1000000001</v>
      </c>
      <c r="Q56" s="467">
        <f>IFERROR(RANK(O56,$O$56:$O$98),"")</f>
        <v>6</v>
      </c>
      <c r="R56" s="257">
        <f>IF(O56="","",O56/$O$55)</f>
        <v>4.3478260913043479E-2</v>
      </c>
      <c r="S56" s="257"/>
      <c r="T56" s="257">
        <f>IF(O56="","",SUM($O$56:$O56)/$O$55)</f>
        <v>4.3478260913043479E-2</v>
      </c>
      <c r="U56" s="257"/>
      <c r="V56" s="257">
        <f>IF(K56="","",MAX(H56,R56))</f>
        <v>0.10714292857142857</v>
      </c>
      <c r="W56" s="464">
        <f t="shared" ref="W56:W67" si="33">IFERROR(RANK($V56,$V$56:$V$98),"")</f>
        <v>1</v>
      </c>
      <c r="X56" s="462" t="str">
        <f t="shared" ref="X56:X67" si="34">IF(K56=B56,"Ok","Error")</f>
        <v>Ok</v>
      </c>
      <c r="AB56" s="480">
        <f>IFERROR((IF(C56="",$E56/D56-1,$E56/C56-1)),"")</f>
        <v>1.3333333332976594E-6</v>
      </c>
      <c r="AC56" s="2">
        <f>IFERROR(RANK($AB56,$AB$56:$AB$98),"")</f>
        <v>43</v>
      </c>
    </row>
    <row r="57" spans="2:29" s="2" customFormat="1" ht="13" x14ac:dyDescent="0.3">
      <c r="B57" s="101" t="s">
        <v>166</v>
      </c>
      <c r="C57" s="463">
        <v>766775</v>
      </c>
      <c r="D57" s="463">
        <v>766776</v>
      </c>
      <c r="E57" s="463">
        <v>766777</v>
      </c>
      <c r="F57" s="123">
        <f t="shared" ref="F57:F98" si="35">IF(B57="","",ROUND((AVERAGE(C57:E57)),0))</f>
        <v>766776</v>
      </c>
      <c r="G57" s="464">
        <f t="shared" ref="G57:G67" si="36">IFERROR(RANK($F57,$F$56:$F$98),"")</f>
        <v>4</v>
      </c>
      <c r="H57" s="257">
        <f>IF(F57="","",F57/$F$55)</f>
        <v>5.4769714285714283E-2</v>
      </c>
      <c r="I57" s="131">
        <f>IF(F57="","",SUM($F$56:$F57)/$F$55)</f>
        <v>0.16191264285714285</v>
      </c>
      <c r="J57" s="257"/>
      <c r="K57" s="101" t="s">
        <v>166</v>
      </c>
      <c r="L57" s="463">
        <v>1561672798</v>
      </c>
      <c r="M57" s="463">
        <v>1561672799</v>
      </c>
      <c r="N57" s="463">
        <v>1561672800</v>
      </c>
      <c r="O57" s="123">
        <f t="shared" ref="O57:O67" si="37">IF(K57="","",AVERAGE(L57:N57))</f>
        <v>1561672799</v>
      </c>
      <c r="Q57" s="467">
        <f t="shared" ref="Q57:Q67" si="38">IFERROR(RANK(O57,$O$56:$O$98),"")</f>
        <v>2</v>
      </c>
      <c r="R57" s="257">
        <f>IF(O57="","",O57/$O$55)</f>
        <v>6.7898817347826088E-2</v>
      </c>
      <c r="S57" s="257"/>
      <c r="T57" s="257">
        <f>IF(O57="","",SUM($O$56:$O57)/$O$55)</f>
        <v>0.11137707826086957</v>
      </c>
      <c r="U57" s="257"/>
      <c r="V57" s="257">
        <f t="shared" ref="V57:V68" si="39">IF(K57="","",MAX(H57,R57))</f>
        <v>6.7898817347826088E-2</v>
      </c>
      <c r="W57" s="464">
        <f t="shared" si="33"/>
        <v>5</v>
      </c>
      <c r="X57" s="462" t="str">
        <f t="shared" si="34"/>
        <v>Ok</v>
      </c>
      <c r="AB57" s="480">
        <f t="shared" ref="AB57:AB98" si="40">IFERROR((IF(C57="",$E57/D57-1,$E57/C57-1)),"")</f>
        <v>2.6083270843191286E-6</v>
      </c>
      <c r="AC57" s="2">
        <f t="shared" ref="AC57:AC98" si="41">IFERROR(RANK($AB57,$AB$56:$AB$98),"")</f>
        <v>40</v>
      </c>
    </row>
    <row r="58" spans="2:29" s="2" customFormat="1" ht="13" x14ac:dyDescent="0.3">
      <c r="B58" s="101" t="s">
        <v>167</v>
      </c>
      <c r="C58" s="463">
        <v>971639</v>
      </c>
      <c r="D58" s="463">
        <v>971640</v>
      </c>
      <c r="E58" s="463">
        <v>971641</v>
      </c>
      <c r="F58" s="123">
        <f t="shared" si="35"/>
        <v>971640</v>
      </c>
      <c r="G58" s="464">
        <f t="shared" si="36"/>
        <v>2</v>
      </c>
      <c r="H58" s="257">
        <f t="shared" ref="H58:H97" si="42">IF(F58="","",F58/$F$55)</f>
        <v>6.9402857142857141E-2</v>
      </c>
      <c r="I58" s="131">
        <f>IF(F58="","",SUM($F$56:$F58)/$F$55)</f>
        <v>0.23131550000000001</v>
      </c>
      <c r="J58" s="257"/>
      <c r="K58" s="101" t="s">
        <v>167</v>
      </c>
      <c r="L58" s="463">
        <v>1300000000</v>
      </c>
      <c r="M58" s="463">
        <v>1300000001</v>
      </c>
      <c r="N58" s="463">
        <v>1300000002</v>
      </c>
      <c r="O58" s="123">
        <f t="shared" si="37"/>
        <v>1300000001</v>
      </c>
      <c r="Q58" s="467">
        <f t="shared" si="38"/>
        <v>4</v>
      </c>
      <c r="R58" s="257">
        <f>IF(O58="","",O58/$O$55)</f>
        <v>5.6521739173913045E-2</v>
      </c>
      <c r="S58" s="257"/>
      <c r="T58" s="257">
        <f>IF(O58="","",SUM($O$56:$O58)/$O$55)</f>
        <v>0.1678988174347826</v>
      </c>
      <c r="U58" s="257"/>
      <c r="V58" s="257">
        <f t="shared" si="39"/>
        <v>6.9402857142857141E-2</v>
      </c>
      <c r="W58" s="464">
        <f t="shared" si="33"/>
        <v>3</v>
      </c>
      <c r="X58" s="462" t="str">
        <f t="shared" si="34"/>
        <v>Ok</v>
      </c>
      <c r="AB58" s="480">
        <f t="shared" si="40"/>
        <v>2.0583776485505467E-6</v>
      </c>
      <c r="AC58" s="2">
        <f t="shared" si="41"/>
        <v>42</v>
      </c>
    </row>
    <row r="59" spans="2:29" s="2" customFormat="1" ht="13" x14ac:dyDescent="0.3">
      <c r="B59" s="101" t="s">
        <v>168</v>
      </c>
      <c r="C59" s="463">
        <v>952159</v>
      </c>
      <c r="D59" s="463">
        <v>952160</v>
      </c>
      <c r="E59" s="463">
        <v>952161</v>
      </c>
      <c r="F59" s="123">
        <f t="shared" si="35"/>
        <v>952160</v>
      </c>
      <c r="G59" s="464">
        <f t="shared" si="36"/>
        <v>3</v>
      </c>
      <c r="H59" s="257">
        <f t="shared" si="42"/>
        <v>6.801142857142857E-2</v>
      </c>
      <c r="I59" s="131">
        <f>IF(F59="","",SUM($F$56:$F59)/$F$55)</f>
        <v>0.29932692857142856</v>
      </c>
      <c r="J59" s="257"/>
      <c r="K59" s="101" t="s">
        <v>168</v>
      </c>
      <c r="L59" s="463">
        <v>1300000001</v>
      </c>
      <c r="M59" s="463">
        <v>1300000002</v>
      </c>
      <c r="N59" s="463">
        <v>1300000003</v>
      </c>
      <c r="O59" s="123">
        <f t="shared" si="37"/>
        <v>1300000002</v>
      </c>
      <c r="Q59" s="467">
        <f t="shared" si="38"/>
        <v>3</v>
      </c>
      <c r="R59" s="257">
        <f t="shared" ref="R59:R67" si="43">IF(O59="","",O59/$O$55)</f>
        <v>5.6521739217391308E-2</v>
      </c>
      <c r="S59" s="257"/>
      <c r="T59" s="257">
        <f>IF(O59="","",SUM($O$56:$O59)/$O$55)</f>
        <v>0.22442055665217392</v>
      </c>
      <c r="U59" s="257"/>
      <c r="V59" s="257">
        <f t="shared" si="39"/>
        <v>6.801142857142857E-2</v>
      </c>
      <c r="W59" s="464">
        <f t="shared" si="33"/>
        <v>4</v>
      </c>
      <c r="X59" s="462" t="str">
        <f t="shared" si="34"/>
        <v>Ok</v>
      </c>
      <c r="AB59" s="480">
        <f t="shared" si="40"/>
        <v>2.100489518985782E-6</v>
      </c>
      <c r="AC59" s="2">
        <f t="shared" si="41"/>
        <v>41</v>
      </c>
    </row>
    <row r="60" spans="2:29" s="2" customFormat="1" ht="13" x14ac:dyDescent="0.3">
      <c r="B60" s="101" t="s">
        <v>169</v>
      </c>
      <c r="C60" s="463">
        <v>574040</v>
      </c>
      <c r="D60" s="463">
        <v>574041</v>
      </c>
      <c r="E60" s="463">
        <v>574042</v>
      </c>
      <c r="F60" s="123">
        <f t="shared" si="35"/>
        <v>574041</v>
      </c>
      <c r="G60" s="464">
        <f t="shared" si="36"/>
        <v>6</v>
      </c>
      <c r="H60" s="257">
        <f t="shared" si="42"/>
        <v>4.1002928571428572E-2</v>
      </c>
      <c r="I60" s="131">
        <f>IF(F60="","",SUM($F$56:$F60)/$F$55)</f>
        <v>0.34032985714285713</v>
      </c>
      <c r="J60" s="257"/>
      <c r="K60" s="101" t="s">
        <v>169</v>
      </c>
      <c r="L60" s="463">
        <v>1856411872</v>
      </c>
      <c r="M60" s="463">
        <v>1856411873</v>
      </c>
      <c r="N60" s="463">
        <v>1856411874</v>
      </c>
      <c r="O60" s="123">
        <f t="shared" si="37"/>
        <v>1856411873</v>
      </c>
      <c r="Q60" s="467">
        <f t="shared" si="38"/>
        <v>1</v>
      </c>
      <c r="R60" s="257">
        <f t="shared" si="43"/>
        <v>8.0713559695652179E-2</v>
      </c>
      <c r="S60" s="257"/>
      <c r="T60" s="257">
        <f>IF(O60="","",SUM($O$56:$O60)/$O$55)</f>
        <v>0.30513411634782611</v>
      </c>
      <c r="U60" s="257"/>
      <c r="V60" s="257">
        <f t="shared" si="39"/>
        <v>8.0713559695652179E-2</v>
      </c>
      <c r="W60" s="464">
        <f t="shared" si="33"/>
        <v>2</v>
      </c>
      <c r="X60" s="462" t="str">
        <f t="shared" si="34"/>
        <v>Ok</v>
      </c>
      <c r="AB60" s="480">
        <f t="shared" si="40"/>
        <v>3.4840777645150922E-6</v>
      </c>
      <c r="AC60" s="2">
        <f t="shared" si="41"/>
        <v>38</v>
      </c>
    </row>
    <row r="61" spans="2:29" s="2" customFormat="1" ht="13" x14ac:dyDescent="0.3">
      <c r="B61" s="101" t="s">
        <v>170</v>
      </c>
      <c r="C61" s="463">
        <v>193447</v>
      </c>
      <c r="D61" s="463">
        <v>193448</v>
      </c>
      <c r="E61" s="463">
        <v>193449</v>
      </c>
      <c r="F61" s="123">
        <f t="shared" si="35"/>
        <v>193448</v>
      </c>
      <c r="G61" s="464">
        <f t="shared" si="36"/>
        <v>21</v>
      </c>
      <c r="H61" s="257">
        <f t="shared" si="42"/>
        <v>1.3817714285714286E-2</v>
      </c>
      <c r="I61" s="131">
        <f>IF(F61="","",SUM($F$56:$F61)/$F$55)</f>
        <v>0.35414757142857145</v>
      </c>
      <c r="J61" s="257"/>
      <c r="K61" s="101" t="s">
        <v>170</v>
      </c>
      <c r="L61" s="463">
        <v>1106581004.6479199</v>
      </c>
      <c r="M61" s="463">
        <v>1106581005.6479199</v>
      </c>
      <c r="N61" s="463">
        <v>1106581006.6479199</v>
      </c>
      <c r="O61" s="123">
        <f t="shared" si="37"/>
        <v>1106581005.6479199</v>
      </c>
      <c r="Q61" s="467">
        <f t="shared" si="38"/>
        <v>5</v>
      </c>
      <c r="R61" s="257">
        <f t="shared" si="43"/>
        <v>4.8112217636866079E-2</v>
      </c>
      <c r="S61" s="257"/>
      <c r="T61" s="257">
        <f>IF(O61="","",SUM($O$56:$O61)/$O$55)</f>
        <v>0.35324633398469218</v>
      </c>
      <c r="U61" s="257"/>
      <c r="V61" s="257">
        <f t="shared" si="39"/>
        <v>4.8112217636866079E-2</v>
      </c>
      <c r="W61" s="464">
        <f t="shared" si="33"/>
        <v>6</v>
      </c>
      <c r="X61" s="462" t="str">
        <f t="shared" si="34"/>
        <v>Ok</v>
      </c>
      <c r="AB61" s="480">
        <f t="shared" si="40"/>
        <v>1.0338749114824353E-5</v>
      </c>
      <c r="AC61" s="2">
        <f t="shared" si="41"/>
        <v>23</v>
      </c>
    </row>
    <row r="62" spans="2:29" s="2" customFormat="1" ht="13" x14ac:dyDescent="0.3">
      <c r="B62" s="101" t="s">
        <v>171</v>
      </c>
      <c r="C62" s="463">
        <v>632798</v>
      </c>
      <c r="D62" s="463">
        <v>632799</v>
      </c>
      <c r="E62" s="463">
        <v>632800</v>
      </c>
      <c r="F62" s="123">
        <f t="shared" si="35"/>
        <v>632799</v>
      </c>
      <c r="G62" s="464">
        <f t="shared" si="36"/>
        <v>5</v>
      </c>
      <c r="H62" s="257">
        <f t="shared" si="42"/>
        <v>4.5199928571428571E-2</v>
      </c>
      <c r="I62" s="131">
        <f>IF(F62="","",SUM($F$56:$F62)/$F$55)</f>
        <v>0.39934750000000002</v>
      </c>
      <c r="J62" s="257"/>
      <c r="K62" s="101" t="s">
        <v>171</v>
      </c>
      <c r="L62" s="463">
        <v>370857750</v>
      </c>
      <c r="M62" s="463">
        <v>370857752</v>
      </c>
      <c r="N62" s="463">
        <v>370857749</v>
      </c>
      <c r="O62" s="123">
        <f t="shared" si="37"/>
        <v>370857750.33333331</v>
      </c>
      <c r="Q62" s="467">
        <f t="shared" si="38"/>
        <v>7</v>
      </c>
      <c r="R62" s="257">
        <f t="shared" si="43"/>
        <v>1.6124250014492754E-2</v>
      </c>
      <c r="S62" s="257"/>
      <c r="T62" s="257">
        <f>IF(O62="","",SUM($O$56:$O62)/$O$55)</f>
        <v>0.36937058399918488</v>
      </c>
      <c r="U62" s="257"/>
      <c r="V62" s="257">
        <f t="shared" si="39"/>
        <v>4.5199928571428571E-2</v>
      </c>
      <c r="W62" s="464">
        <f t="shared" si="33"/>
        <v>7</v>
      </c>
      <c r="X62" s="462" t="str">
        <f t="shared" si="34"/>
        <v>Ok</v>
      </c>
      <c r="AB62" s="480">
        <f t="shared" si="40"/>
        <v>3.1605662469402773E-6</v>
      </c>
      <c r="AC62" s="2">
        <f t="shared" si="41"/>
        <v>39</v>
      </c>
    </row>
    <row r="63" spans="2:29" s="2" customFormat="1" ht="13" x14ac:dyDescent="0.3">
      <c r="B63" s="101" t="s">
        <v>172</v>
      </c>
      <c r="C63" s="463">
        <v>525519</v>
      </c>
      <c r="D63" s="463">
        <v>525520</v>
      </c>
      <c r="E63" s="463">
        <v>525521</v>
      </c>
      <c r="F63" s="123">
        <f t="shared" si="35"/>
        <v>525520</v>
      </c>
      <c r="G63" s="464">
        <f t="shared" si="36"/>
        <v>8</v>
      </c>
      <c r="H63" s="257">
        <f t="shared" si="42"/>
        <v>3.7537142857142859E-2</v>
      </c>
      <c r="I63" s="131">
        <f>IF(F63="","",SUM($F$56:$F63)/$F$55)</f>
        <v>0.43688464285714285</v>
      </c>
      <c r="J63" s="257"/>
      <c r="K63" s="101" t="s">
        <v>172</v>
      </c>
      <c r="L63" s="463">
        <v>300000002</v>
      </c>
      <c r="M63" s="463">
        <v>300000003</v>
      </c>
      <c r="N63" s="463">
        <v>300000004</v>
      </c>
      <c r="O63" s="123">
        <f t="shared" si="37"/>
        <v>300000003</v>
      </c>
      <c r="Q63" s="467">
        <f t="shared" si="38"/>
        <v>40</v>
      </c>
      <c r="R63" s="257">
        <f t="shared" si="43"/>
        <v>1.3043478391304347E-2</v>
      </c>
      <c r="S63" s="257"/>
      <c r="T63" s="257">
        <f>IF(O63="","",SUM($O$56:$O63)/$O$55)</f>
        <v>0.38241406239048925</v>
      </c>
      <c r="U63" s="257"/>
      <c r="V63" s="257">
        <f t="shared" si="39"/>
        <v>3.7537142857142859E-2</v>
      </c>
      <c r="W63" s="464">
        <f t="shared" si="33"/>
        <v>9</v>
      </c>
      <c r="X63" s="462" t="str">
        <f t="shared" si="34"/>
        <v>Ok</v>
      </c>
      <c r="AB63" s="480">
        <f t="shared" si="40"/>
        <v>3.8057615423525704E-6</v>
      </c>
      <c r="AC63" s="2">
        <f t="shared" si="41"/>
        <v>36</v>
      </c>
    </row>
    <row r="64" spans="2:29" s="2" customFormat="1" ht="13" x14ac:dyDescent="0.3">
      <c r="B64" s="101" t="s">
        <v>173</v>
      </c>
      <c r="C64" s="463">
        <v>554898</v>
      </c>
      <c r="D64" s="463">
        <v>554899</v>
      </c>
      <c r="E64" s="463">
        <v>554900</v>
      </c>
      <c r="F64" s="123">
        <f t="shared" si="35"/>
        <v>554899</v>
      </c>
      <c r="G64" s="464">
        <f t="shared" si="36"/>
        <v>7</v>
      </c>
      <c r="H64" s="257">
        <f t="shared" si="42"/>
        <v>3.9635642857142855E-2</v>
      </c>
      <c r="I64" s="131">
        <f>IF(F64="","",SUM($F$56:$F64)/$F$55)</f>
        <v>0.47652028571428573</v>
      </c>
      <c r="J64" s="257"/>
      <c r="K64" s="101" t="s">
        <v>173</v>
      </c>
      <c r="L64" s="463">
        <v>300000003</v>
      </c>
      <c r="M64" s="463">
        <v>300000004</v>
      </c>
      <c r="N64" s="463">
        <v>300000005</v>
      </c>
      <c r="O64" s="123">
        <f t="shared" si="37"/>
        <v>300000004</v>
      </c>
      <c r="Q64" s="467">
        <f t="shared" si="38"/>
        <v>38</v>
      </c>
      <c r="R64" s="257">
        <f t="shared" si="43"/>
        <v>1.3043478434782608E-2</v>
      </c>
      <c r="S64" s="257"/>
      <c r="T64" s="257">
        <f>IF(O64="","",SUM($O$56:$O64)/$O$55)</f>
        <v>0.39545754082527185</v>
      </c>
      <c r="U64" s="257"/>
      <c r="V64" s="257">
        <f t="shared" si="39"/>
        <v>3.9635642857142855E-2</v>
      </c>
      <c r="W64" s="464">
        <f t="shared" si="33"/>
        <v>8</v>
      </c>
      <c r="X64" s="462" t="str">
        <f t="shared" si="34"/>
        <v>Ok</v>
      </c>
      <c r="AB64" s="480">
        <f t="shared" si="40"/>
        <v>3.6042660092050482E-6</v>
      </c>
      <c r="AC64" s="2">
        <f t="shared" si="41"/>
        <v>37</v>
      </c>
    </row>
    <row r="65" spans="2:29" s="2" customFormat="1" ht="13" x14ac:dyDescent="0.3">
      <c r="B65" s="101" t="s">
        <v>174</v>
      </c>
      <c r="C65" s="463">
        <v>200001</v>
      </c>
      <c r="D65" s="463">
        <v>200002</v>
      </c>
      <c r="E65" s="463">
        <v>200003</v>
      </c>
      <c r="F65" s="123">
        <f t="shared" si="35"/>
        <v>200002</v>
      </c>
      <c r="G65" s="464">
        <f t="shared" si="36"/>
        <v>20</v>
      </c>
      <c r="H65" s="257">
        <f t="shared" si="42"/>
        <v>1.4285857142857144E-2</v>
      </c>
      <c r="I65" s="131">
        <f>IF(F65="","",SUM($F$56:$F65)/$F$55)</f>
        <v>0.49080614285714286</v>
      </c>
      <c r="J65" s="257"/>
      <c r="K65" s="101" t="s">
        <v>174</v>
      </c>
      <c r="L65" s="481">
        <v>287246550</v>
      </c>
      <c r="M65" s="463">
        <v>287246551</v>
      </c>
      <c r="N65" s="463">
        <v>287246552</v>
      </c>
      <c r="O65" s="123">
        <f t="shared" si="37"/>
        <v>287246551</v>
      </c>
      <c r="Q65" s="467">
        <f t="shared" si="38"/>
        <v>41</v>
      </c>
      <c r="R65" s="257">
        <f t="shared" si="43"/>
        <v>1.248898047826087E-2</v>
      </c>
      <c r="S65" s="257"/>
      <c r="T65" s="257">
        <f>IF(O65="","",SUM($O$56:$O65)/$O$55)</f>
        <v>0.40794652130353271</v>
      </c>
      <c r="U65" s="257"/>
      <c r="V65" s="257">
        <f t="shared" si="39"/>
        <v>1.4285857142857144E-2</v>
      </c>
      <c r="W65" s="464">
        <f t="shared" si="33"/>
        <v>21</v>
      </c>
      <c r="X65" s="462" t="str">
        <f t="shared" si="34"/>
        <v>Ok</v>
      </c>
      <c r="AB65" s="480">
        <f t="shared" si="40"/>
        <v>9.9999500002834196E-6</v>
      </c>
      <c r="AC65" s="2">
        <f t="shared" si="41"/>
        <v>24</v>
      </c>
    </row>
    <row r="66" spans="2:29" s="2" customFormat="1" ht="13" x14ac:dyDescent="0.3">
      <c r="B66" s="101" t="s">
        <v>175</v>
      </c>
      <c r="C66" s="463">
        <v>200002</v>
      </c>
      <c r="D66" s="463">
        <v>200003</v>
      </c>
      <c r="E66" s="463">
        <v>200004</v>
      </c>
      <c r="F66" s="123">
        <f t="shared" si="35"/>
        <v>200003</v>
      </c>
      <c r="G66" s="464">
        <f t="shared" si="36"/>
        <v>19</v>
      </c>
      <c r="H66" s="257">
        <f t="shared" si="42"/>
        <v>1.4285928571428571E-2</v>
      </c>
      <c r="I66" s="131">
        <f>IF(F66="","",SUM($F$56:$F66)/$F$55)</f>
        <v>0.50509207142857138</v>
      </c>
      <c r="J66" s="257"/>
      <c r="K66" s="101" t="s">
        <v>175</v>
      </c>
      <c r="L66" s="481">
        <v>243301768</v>
      </c>
      <c r="M66" s="463">
        <v>243301769</v>
      </c>
      <c r="N66" s="463">
        <v>243301770</v>
      </c>
      <c r="O66" s="123">
        <f t="shared" si="37"/>
        <v>243301769</v>
      </c>
      <c r="Q66" s="467">
        <f t="shared" si="38"/>
        <v>42</v>
      </c>
      <c r="R66" s="257">
        <f t="shared" si="43"/>
        <v>1.0578337782608695E-2</v>
      </c>
      <c r="S66" s="257"/>
      <c r="T66" s="257">
        <f>IF(O66="","",SUM($O$56:$O66)/$O$55)</f>
        <v>0.4185248590861414</v>
      </c>
      <c r="U66" s="257"/>
      <c r="V66" s="257">
        <f t="shared" si="39"/>
        <v>1.4285928571428571E-2</v>
      </c>
      <c r="W66" s="464">
        <f t="shared" si="33"/>
        <v>20</v>
      </c>
      <c r="X66" s="462" t="str">
        <f t="shared" si="34"/>
        <v>Ok</v>
      </c>
      <c r="AB66" s="480">
        <f t="shared" si="40"/>
        <v>9.9999000009454164E-6</v>
      </c>
      <c r="AC66" s="2">
        <f t="shared" si="41"/>
        <v>25</v>
      </c>
    </row>
    <row r="67" spans="2:29" s="2" customFormat="1" ht="13" x14ac:dyDescent="0.3">
      <c r="B67" s="101" t="s">
        <v>176</v>
      </c>
      <c r="C67" s="463">
        <v>200003</v>
      </c>
      <c r="D67" s="463">
        <v>200004</v>
      </c>
      <c r="E67" s="463">
        <v>200005</v>
      </c>
      <c r="F67" s="123">
        <f t="shared" si="35"/>
        <v>200004</v>
      </c>
      <c r="G67" s="464">
        <f t="shared" si="36"/>
        <v>18</v>
      </c>
      <c r="H67" s="257">
        <f t="shared" si="42"/>
        <v>1.4286E-2</v>
      </c>
      <c r="I67" s="131">
        <f>IF(F67="","",SUM($F$56:$F67)/$F$55)</f>
        <v>0.5193780714285714</v>
      </c>
      <c r="J67" s="257"/>
      <c r="K67" s="101" t="s">
        <v>176</v>
      </c>
      <c r="L67" s="481">
        <v>355682060</v>
      </c>
      <c r="M67" s="463">
        <v>355682061</v>
      </c>
      <c r="N67" s="463">
        <v>355682062</v>
      </c>
      <c r="O67" s="123">
        <f t="shared" si="37"/>
        <v>355682061</v>
      </c>
      <c r="Q67" s="467">
        <f t="shared" si="38"/>
        <v>9</v>
      </c>
      <c r="R67" s="257">
        <f t="shared" si="43"/>
        <v>1.5464437434782609E-2</v>
      </c>
      <c r="S67" s="257"/>
      <c r="T67" s="257">
        <f>IF(O67="","",SUM($O$56:$O67)/$O$55)</f>
        <v>0.43398929652092405</v>
      </c>
      <c r="U67" s="257"/>
      <c r="V67" s="257">
        <f t="shared" si="39"/>
        <v>1.5464437434782609E-2</v>
      </c>
      <c r="W67" s="464">
        <f t="shared" si="33"/>
        <v>11</v>
      </c>
      <c r="X67" s="462" t="str">
        <f t="shared" si="34"/>
        <v>Ok</v>
      </c>
      <c r="AB67" s="480">
        <f t="shared" si="40"/>
        <v>9.999850002273547E-6</v>
      </c>
      <c r="AC67" s="2">
        <f t="shared" si="41"/>
        <v>26</v>
      </c>
    </row>
    <row r="68" spans="2:29" s="2" customFormat="1" ht="13" x14ac:dyDescent="0.3">
      <c r="B68" s="101" t="s">
        <v>177</v>
      </c>
      <c r="C68" s="463">
        <v>200004</v>
      </c>
      <c r="D68" s="463">
        <v>200005</v>
      </c>
      <c r="E68" s="463">
        <v>200006</v>
      </c>
      <c r="F68" s="123">
        <f t="shared" si="35"/>
        <v>200005</v>
      </c>
      <c r="G68" s="464">
        <f t="shared" ref="G68:G96" si="44">IFERROR(RANK($F68,$F$56:$F$98),"")</f>
        <v>17</v>
      </c>
      <c r="H68" s="257">
        <f t="shared" si="42"/>
        <v>1.4286071428571429E-2</v>
      </c>
      <c r="I68" s="131">
        <f>IF(F68="","",SUM($F$56:$F68)/$F$55)</f>
        <v>0.53366414285714281</v>
      </c>
      <c r="J68" s="257"/>
      <c r="K68" s="101" t="s">
        <v>177</v>
      </c>
      <c r="L68" s="463">
        <v>300000004</v>
      </c>
      <c r="M68" s="463">
        <v>300000005</v>
      </c>
      <c r="N68" s="463">
        <v>300000006</v>
      </c>
      <c r="O68" s="123">
        <f t="shared" ref="O68:O98" si="45">IF(K68="","",AVERAGE(L68:N68))</f>
        <v>300000005</v>
      </c>
      <c r="Q68" s="467">
        <f t="shared" ref="Q68:Q98" si="46">IFERROR(RANK(O68,$O$56:$O$98),"")</f>
        <v>37</v>
      </c>
      <c r="R68" s="257">
        <f t="shared" ref="R68:R98" si="47">IF(O68="","",O68/$O$55)</f>
        <v>1.3043478478260869E-2</v>
      </c>
      <c r="S68" s="257"/>
      <c r="T68" s="257">
        <f>IF(O68="","",SUM($O$56:$O68)/$O$55)</f>
        <v>0.44703277499918492</v>
      </c>
      <c r="U68" s="257"/>
      <c r="V68" s="257">
        <f t="shared" si="39"/>
        <v>1.4286071428571429E-2</v>
      </c>
      <c r="W68" s="464">
        <f t="shared" ref="W68:W98" si="48">IFERROR(RANK($V68,$V$56:$V$98),"")</f>
        <v>19</v>
      </c>
      <c r="X68" s="462" t="str">
        <f t="shared" ref="X68:X97" si="49">IF(K68=B68,"Ok","Error")</f>
        <v>Ok</v>
      </c>
      <c r="AB68" s="480">
        <f t="shared" si="40"/>
        <v>9.9998000040457669E-6</v>
      </c>
      <c r="AC68" s="2">
        <f t="shared" si="41"/>
        <v>27</v>
      </c>
    </row>
    <row r="69" spans="2:29" s="2" customFormat="1" ht="13" x14ac:dyDescent="0.3">
      <c r="B69" s="101" t="s">
        <v>178</v>
      </c>
      <c r="C69" s="463">
        <v>200005</v>
      </c>
      <c r="D69" s="463">
        <v>200006</v>
      </c>
      <c r="E69" s="463">
        <v>200007</v>
      </c>
      <c r="F69" s="123">
        <f t="shared" si="35"/>
        <v>200006</v>
      </c>
      <c r="G69" s="464">
        <f t="shared" si="44"/>
        <v>16</v>
      </c>
      <c r="H69" s="257">
        <f t="shared" si="42"/>
        <v>1.4286142857142857E-2</v>
      </c>
      <c r="I69" s="131">
        <f>IF(F69="","",SUM($F$56:$F69)/$F$55)</f>
        <v>0.54795028571428572</v>
      </c>
      <c r="J69" s="257"/>
      <c r="K69" s="101" t="s">
        <v>178</v>
      </c>
      <c r="L69" s="463">
        <v>300000003</v>
      </c>
      <c r="M69" s="463">
        <v>300000004</v>
      </c>
      <c r="N69" s="463">
        <v>300000005</v>
      </c>
      <c r="O69" s="123">
        <f t="shared" si="45"/>
        <v>300000004</v>
      </c>
      <c r="Q69" s="467">
        <f t="shared" si="46"/>
        <v>38</v>
      </c>
      <c r="R69" s="257">
        <f t="shared" si="47"/>
        <v>1.3043478434782608E-2</v>
      </c>
      <c r="S69" s="257"/>
      <c r="T69" s="257">
        <f>IF(O69="","",SUM($O$56:$O69)/$O$55)</f>
        <v>0.46007625343396752</v>
      </c>
      <c r="U69" s="257"/>
      <c r="V69" s="257">
        <f t="shared" ref="V69:V98" si="50">IF(K69="","",MAX(H69,R69))</f>
        <v>1.4286142857142857E-2</v>
      </c>
      <c r="W69" s="464">
        <f t="shared" si="48"/>
        <v>18</v>
      </c>
      <c r="X69" s="462" t="str">
        <f t="shared" si="49"/>
        <v>Ok</v>
      </c>
      <c r="AB69" s="480">
        <f t="shared" si="40"/>
        <v>9.9997500062620759E-6</v>
      </c>
      <c r="AC69" s="2">
        <f t="shared" si="41"/>
        <v>28</v>
      </c>
    </row>
    <row r="70" spans="2:29" s="2" customFormat="1" ht="13" x14ac:dyDescent="0.3">
      <c r="B70" s="101" t="s">
        <v>179</v>
      </c>
      <c r="C70" s="463">
        <v>200006</v>
      </c>
      <c r="D70" s="463">
        <v>200007</v>
      </c>
      <c r="E70" s="463">
        <v>200008</v>
      </c>
      <c r="F70" s="123">
        <f t="shared" si="35"/>
        <v>200007</v>
      </c>
      <c r="G70" s="464">
        <f t="shared" si="44"/>
        <v>15</v>
      </c>
      <c r="H70" s="257">
        <f t="shared" si="42"/>
        <v>1.4286214285714286E-2</v>
      </c>
      <c r="I70" s="131">
        <f>IF(F70="","",SUM($F$56:$F70)/$F$55)</f>
        <v>0.56223650000000003</v>
      </c>
      <c r="J70" s="257"/>
      <c r="K70" s="101" t="s">
        <v>179</v>
      </c>
      <c r="L70" s="463">
        <v>300000005</v>
      </c>
      <c r="M70" s="463">
        <v>300000006</v>
      </c>
      <c r="N70" s="463">
        <v>300000007</v>
      </c>
      <c r="O70" s="123">
        <f t="shared" si="45"/>
        <v>300000006</v>
      </c>
      <c r="Q70" s="467">
        <f t="shared" si="46"/>
        <v>36</v>
      </c>
      <c r="R70" s="257">
        <f t="shared" si="47"/>
        <v>1.304347852173913E-2</v>
      </c>
      <c r="S70" s="257"/>
      <c r="T70" s="257">
        <f>IF(O70="","",SUM($O$56:$O70)/$O$55)</f>
        <v>0.47311973195570661</v>
      </c>
      <c r="U70" s="257"/>
      <c r="V70" s="257">
        <f>IF(K70="","",MAX(H70,R70))</f>
        <v>1.4286214285714286E-2</v>
      </c>
      <c r="W70" s="464">
        <f t="shared" si="48"/>
        <v>17</v>
      </c>
      <c r="X70" s="462" t="str">
        <f t="shared" si="49"/>
        <v>Ok</v>
      </c>
      <c r="AB70" s="480">
        <f t="shared" si="40"/>
        <v>9.9997000089224741E-6</v>
      </c>
      <c r="AC70" s="2">
        <f t="shared" si="41"/>
        <v>29</v>
      </c>
    </row>
    <row r="71" spans="2:29" s="2" customFormat="1" ht="13" x14ac:dyDescent="0.3">
      <c r="B71" s="101" t="s">
        <v>180</v>
      </c>
      <c r="C71" s="463">
        <v>200007</v>
      </c>
      <c r="D71" s="463">
        <v>200008</v>
      </c>
      <c r="E71" s="463">
        <v>200009</v>
      </c>
      <c r="F71" s="123">
        <f t="shared" si="35"/>
        <v>200008</v>
      </c>
      <c r="G71" s="464">
        <f t="shared" si="44"/>
        <v>14</v>
      </c>
      <c r="H71" s="257">
        <f t="shared" si="42"/>
        <v>1.4286285714285715E-2</v>
      </c>
      <c r="I71" s="131">
        <f>IF(F71="","",SUM($F$56:$F71)/$F$55)</f>
        <v>0.57652278571428572</v>
      </c>
      <c r="J71" s="257"/>
      <c r="K71" s="101" t="s">
        <v>180</v>
      </c>
      <c r="L71" s="463">
        <v>300000006</v>
      </c>
      <c r="M71" s="463">
        <v>300000007</v>
      </c>
      <c r="N71" s="463">
        <v>300000008</v>
      </c>
      <c r="O71" s="123">
        <f t="shared" si="45"/>
        <v>300000007</v>
      </c>
      <c r="Q71" s="467">
        <f t="shared" si="46"/>
        <v>35</v>
      </c>
      <c r="R71" s="257">
        <f t="shared" si="47"/>
        <v>1.3043478565217391E-2</v>
      </c>
      <c r="S71" s="257"/>
      <c r="T71" s="257">
        <f>IF(O71="","",SUM($O$56:$O71)/$O$55)</f>
        <v>0.48616321052092404</v>
      </c>
      <c r="U71" s="257"/>
      <c r="V71" s="257">
        <f>IF(K71="","",MAX(H71,R71))</f>
        <v>1.4286285714285715E-2</v>
      </c>
      <c r="W71" s="464">
        <f t="shared" si="48"/>
        <v>16</v>
      </c>
      <c r="X71" s="462" t="str">
        <f t="shared" si="49"/>
        <v>Ok</v>
      </c>
      <c r="AB71" s="480">
        <f t="shared" si="40"/>
        <v>9.9996500122490062E-6</v>
      </c>
      <c r="AC71" s="2">
        <f t="shared" si="41"/>
        <v>30</v>
      </c>
    </row>
    <row r="72" spans="2:29" s="2" customFormat="1" ht="13" x14ac:dyDescent="0.3">
      <c r="B72" s="101" t="s">
        <v>181</v>
      </c>
      <c r="C72" s="463">
        <v>200008</v>
      </c>
      <c r="D72" s="463">
        <v>200009</v>
      </c>
      <c r="E72" s="463">
        <v>200010</v>
      </c>
      <c r="F72" s="123">
        <f t="shared" si="35"/>
        <v>200009</v>
      </c>
      <c r="G72" s="464">
        <f t="shared" si="44"/>
        <v>13</v>
      </c>
      <c r="H72" s="257">
        <f t="shared" si="42"/>
        <v>1.4286357142857142E-2</v>
      </c>
      <c r="I72" s="131">
        <f>IF(F72="","",SUM($F$56:$F72)/$F$55)</f>
        <v>0.59080914285714281</v>
      </c>
      <c r="J72" s="257"/>
      <c r="K72" s="101" t="s">
        <v>181</v>
      </c>
      <c r="L72" s="463">
        <v>300000007</v>
      </c>
      <c r="M72" s="463">
        <v>300000008</v>
      </c>
      <c r="N72" s="463">
        <v>300000009</v>
      </c>
      <c r="O72" s="123">
        <f t="shared" si="45"/>
        <v>300000008</v>
      </c>
      <c r="Q72" s="467">
        <f t="shared" si="46"/>
        <v>34</v>
      </c>
      <c r="R72" s="257">
        <f t="shared" si="47"/>
        <v>1.3043478608695652E-2</v>
      </c>
      <c r="S72" s="257"/>
      <c r="T72" s="257">
        <f>IF(O72="","",SUM($O$56:$O72)/$O$55)</f>
        <v>0.49920668912961969</v>
      </c>
      <c r="U72" s="257"/>
      <c r="V72" s="257">
        <f>IF(K72="","",MAX(H72,R72))</f>
        <v>1.4286357142857142E-2</v>
      </c>
      <c r="W72" s="464">
        <f t="shared" si="48"/>
        <v>15</v>
      </c>
      <c r="X72" s="462" t="str">
        <f t="shared" si="49"/>
        <v>Ok</v>
      </c>
      <c r="AB72" s="480">
        <f t="shared" si="40"/>
        <v>9.9996000160196274E-6</v>
      </c>
      <c r="AC72" s="2">
        <f t="shared" si="41"/>
        <v>31</v>
      </c>
    </row>
    <row r="73" spans="2:29" s="2" customFormat="1" ht="13" x14ac:dyDescent="0.3">
      <c r="B73" s="101" t="s">
        <v>182</v>
      </c>
      <c r="C73" s="463">
        <v>200009</v>
      </c>
      <c r="D73" s="463">
        <v>200010</v>
      </c>
      <c r="E73" s="463">
        <v>200011</v>
      </c>
      <c r="F73" s="123">
        <f t="shared" si="35"/>
        <v>200010</v>
      </c>
      <c r="G73" s="464">
        <f t="shared" si="44"/>
        <v>12</v>
      </c>
      <c r="H73" s="257">
        <f t="shared" si="42"/>
        <v>1.4286428571428571E-2</v>
      </c>
      <c r="I73" s="131">
        <f>IF(F73="","",SUM($F$56:$F73)/$F$55)</f>
        <v>0.6050955714285714</v>
      </c>
      <c r="J73" s="257"/>
      <c r="K73" s="101" t="s">
        <v>182</v>
      </c>
      <c r="L73" s="481">
        <v>106581004</v>
      </c>
      <c r="M73" s="463">
        <v>106581005</v>
      </c>
      <c r="N73" s="463">
        <v>106581006</v>
      </c>
      <c r="O73" s="123">
        <f t="shared" si="45"/>
        <v>106581005</v>
      </c>
      <c r="Q73" s="467">
        <f t="shared" si="46"/>
        <v>43</v>
      </c>
      <c r="R73" s="257">
        <f t="shared" si="47"/>
        <v>4.6339567391304346E-3</v>
      </c>
      <c r="S73" s="257"/>
      <c r="T73" s="257">
        <f>IF(O73="","",SUM($O$56:$O73)/$O$55)</f>
        <v>0.5038406458687501</v>
      </c>
      <c r="U73" s="257"/>
      <c r="V73" s="257">
        <f>IF(K73="","",MAX(H73,R73))</f>
        <v>1.4286428571428571E-2</v>
      </c>
      <c r="W73" s="464">
        <f t="shared" si="48"/>
        <v>14</v>
      </c>
      <c r="X73" s="462" t="str">
        <f t="shared" si="49"/>
        <v>Ok</v>
      </c>
      <c r="AB73" s="480">
        <f t="shared" si="40"/>
        <v>9.9995500202343379E-6</v>
      </c>
      <c r="AC73" s="2">
        <f t="shared" si="41"/>
        <v>32</v>
      </c>
    </row>
    <row r="74" spans="2:29" s="2" customFormat="1" ht="13" x14ac:dyDescent="0.3">
      <c r="B74" s="101" t="s">
        <v>183</v>
      </c>
      <c r="C74" s="463">
        <v>200010</v>
      </c>
      <c r="D74" s="463">
        <v>200011</v>
      </c>
      <c r="E74" s="463">
        <v>200012</v>
      </c>
      <c r="F74" s="123">
        <f t="shared" si="35"/>
        <v>200011</v>
      </c>
      <c r="G74" s="464">
        <f t="shared" si="44"/>
        <v>11</v>
      </c>
      <c r="H74" s="257">
        <f t="shared" si="42"/>
        <v>1.4286500000000001E-2</v>
      </c>
      <c r="I74" s="131">
        <f>IF(F74="","",SUM($F$56:$F74)/$F$55)</f>
        <v>0.61938207142857138</v>
      </c>
      <c r="J74" s="257"/>
      <c r="K74" s="101" t="s">
        <v>183</v>
      </c>
      <c r="L74" s="463">
        <v>370857747</v>
      </c>
      <c r="M74" s="463">
        <v>370857748</v>
      </c>
      <c r="N74" s="463">
        <v>370857749</v>
      </c>
      <c r="O74" s="123">
        <f t="shared" si="45"/>
        <v>370857748</v>
      </c>
      <c r="Q74" s="467">
        <f t="shared" si="46"/>
        <v>8</v>
      </c>
      <c r="R74" s="257">
        <f t="shared" si="47"/>
        <v>1.6124249913043478E-2</v>
      </c>
      <c r="S74" s="257"/>
      <c r="T74" s="257">
        <f>IF(O74="","",SUM($O$56:$O74)/$O$55)</f>
        <v>0.51996489578179361</v>
      </c>
      <c r="U74" s="257"/>
      <c r="V74" s="257">
        <f t="shared" si="50"/>
        <v>1.6124249913043478E-2</v>
      </c>
      <c r="W74" s="464">
        <f t="shared" si="48"/>
        <v>10</v>
      </c>
      <c r="X74" s="462" t="str">
        <f t="shared" si="49"/>
        <v>Ok</v>
      </c>
      <c r="AB74" s="480">
        <f t="shared" si="40"/>
        <v>9.9995000248931376E-6</v>
      </c>
      <c r="AC74" s="2">
        <f t="shared" si="41"/>
        <v>33</v>
      </c>
    </row>
    <row r="75" spans="2:29" s="2" customFormat="1" ht="13" x14ac:dyDescent="0.3">
      <c r="B75" s="101" t="s">
        <v>184</v>
      </c>
      <c r="C75" s="463">
        <v>200011</v>
      </c>
      <c r="D75" s="463">
        <v>200012</v>
      </c>
      <c r="E75" s="463">
        <v>200013</v>
      </c>
      <c r="F75" s="123">
        <f t="shared" si="35"/>
        <v>200012</v>
      </c>
      <c r="G75" s="464">
        <f t="shared" si="44"/>
        <v>10</v>
      </c>
      <c r="H75" s="257">
        <f t="shared" si="42"/>
        <v>1.4286571428571428E-2</v>
      </c>
      <c r="I75" s="131">
        <f>IF(F75="","",SUM($F$56:$F75)/$F$55)</f>
        <v>0.63366864285714286</v>
      </c>
      <c r="J75" s="257"/>
      <c r="K75" s="101" t="s">
        <v>184</v>
      </c>
      <c r="L75" s="481">
        <v>306581004</v>
      </c>
      <c r="M75" s="463">
        <v>306581005</v>
      </c>
      <c r="N75" s="463">
        <v>306581006</v>
      </c>
      <c r="O75" s="123">
        <f t="shared" si="45"/>
        <v>306581005</v>
      </c>
      <c r="Q75" s="467">
        <f t="shared" si="46"/>
        <v>33</v>
      </c>
      <c r="R75" s="257">
        <f t="shared" si="47"/>
        <v>1.3329608913043479E-2</v>
      </c>
      <c r="S75" s="257"/>
      <c r="T75" s="257">
        <f>IF(O75="","",SUM($O$56:$O75)/$O$55)</f>
        <v>0.53329450469483708</v>
      </c>
      <c r="U75" s="257"/>
      <c r="V75" s="257">
        <f t="shared" si="50"/>
        <v>1.4286571428571428E-2</v>
      </c>
      <c r="W75" s="464">
        <f t="shared" si="48"/>
        <v>13</v>
      </c>
      <c r="X75" s="462" t="str">
        <f t="shared" si="49"/>
        <v>Ok</v>
      </c>
      <c r="AB75" s="480">
        <f t="shared" si="40"/>
        <v>9.9994500302180711E-6</v>
      </c>
      <c r="AC75" s="2">
        <f t="shared" si="41"/>
        <v>34</v>
      </c>
    </row>
    <row r="76" spans="2:29" s="2" customFormat="1" ht="13" x14ac:dyDescent="0.3">
      <c r="B76" s="101" t="s">
        <v>185</v>
      </c>
      <c r="C76" s="463">
        <v>200012</v>
      </c>
      <c r="D76" s="463">
        <v>200013</v>
      </c>
      <c r="E76" s="463">
        <v>200014</v>
      </c>
      <c r="F76" s="123">
        <f t="shared" si="35"/>
        <v>200013</v>
      </c>
      <c r="G76" s="464">
        <f t="shared" si="44"/>
        <v>9</v>
      </c>
      <c r="H76" s="257">
        <f t="shared" si="42"/>
        <v>1.4286642857142857E-2</v>
      </c>
      <c r="I76" s="131">
        <f>IF(F76="","",SUM($F$56:$F76)/$F$55)</f>
        <v>0.64795528571428573</v>
      </c>
      <c r="J76" s="257"/>
      <c r="K76" s="101" t="s">
        <v>185</v>
      </c>
      <c r="L76" s="481">
        <v>306581005</v>
      </c>
      <c r="M76" s="463">
        <v>306581006</v>
      </c>
      <c r="N76" s="463">
        <v>306581007</v>
      </c>
      <c r="O76" s="123">
        <f t="shared" si="45"/>
        <v>306581006</v>
      </c>
      <c r="Q76" s="467">
        <f t="shared" si="46"/>
        <v>32</v>
      </c>
      <c r="R76" s="257">
        <f t="shared" si="47"/>
        <v>1.3329608956521738E-2</v>
      </c>
      <c r="S76" s="257"/>
      <c r="T76" s="257">
        <f>IF(O76="","",SUM($O$56:$O76)/$O$55)</f>
        <v>0.54662411365135877</v>
      </c>
      <c r="U76" s="257"/>
      <c r="V76" s="257">
        <f t="shared" si="50"/>
        <v>1.4286642857142857E-2</v>
      </c>
      <c r="W76" s="464">
        <f t="shared" si="48"/>
        <v>12</v>
      </c>
      <c r="X76" s="462" t="str">
        <f t="shared" si="49"/>
        <v>Ok</v>
      </c>
      <c r="AB76" s="480">
        <f t="shared" si="40"/>
        <v>9.9994000359870938E-6</v>
      </c>
      <c r="AC76" s="2">
        <f t="shared" si="41"/>
        <v>35</v>
      </c>
    </row>
    <row r="77" spans="2:29" s="2" customFormat="1" ht="13" x14ac:dyDescent="0.3">
      <c r="B77" s="101" t="s">
        <v>186</v>
      </c>
      <c r="C77" s="463">
        <v>100013</v>
      </c>
      <c r="D77" s="463">
        <v>100014</v>
      </c>
      <c r="E77" s="463">
        <v>100015</v>
      </c>
      <c r="F77" s="123">
        <f t="shared" si="35"/>
        <v>100014</v>
      </c>
      <c r="G77" s="464">
        <f t="shared" si="44"/>
        <v>43</v>
      </c>
      <c r="H77" s="257">
        <f t="shared" si="42"/>
        <v>7.1438571428571428E-3</v>
      </c>
      <c r="I77" s="131">
        <f>IF(F77="","",SUM($F$56:$F77)/$F$55)</f>
        <v>0.65509914285714288</v>
      </c>
      <c r="J77" s="257"/>
      <c r="K77" s="101" t="s">
        <v>186</v>
      </c>
      <c r="L77" s="481">
        <v>306581006</v>
      </c>
      <c r="M77" s="463">
        <v>306581007</v>
      </c>
      <c r="N77" s="463">
        <v>306581008</v>
      </c>
      <c r="O77" s="123">
        <f t="shared" si="45"/>
        <v>306581007</v>
      </c>
      <c r="Q77" s="467">
        <f t="shared" si="46"/>
        <v>31</v>
      </c>
      <c r="R77" s="257">
        <f t="shared" si="47"/>
        <v>1.3329608999999999E-2</v>
      </c>
      <c r="S77" s="257"/>
      <c r="T77" s="257">
        <f>IF(O77="","",SUM($O$56:$O77)/$O$55)</f>
        <v>0.55995372265135879</v>
      </c>
      <c r="U77" s="257"/>
      <c r="V77" s="257">
        <f t="shared" si="50"/>
        <v>1.3329608999999999E-2</v>
      </c>
      <c r="W77" s="464">
        <f t="shared" si="48"/>
        <v>43</v>
      </c>
      <c r="X77" s="462" t="str">
        <f t="shared" si="49"/>
        <v>Ok</v>
      </c>
      <c r="AB77" s="480">
        <f t="shared" si="40"/>
        <v>1.9997400337867788E-5</v>
      </c>
      <c r="AC77" s="2">
        <f t="shared" si="41"/>
        <v>1</v>
      </c>
    </row>
    <row r="78" spans="2:29" s="2" customFormat="1" ht="13" x14ac:dyDescent="0.3">
      <c r="B78" s="101" t="s">
        <v>187</v>
      </c>
      <c r="C78" s="463">
        <v>100014</v>
      </c>
      <c r="D78" s="463">
        <v>100015</v>
      </c>
      <c r="E78" s="463">
        <v>100016</v>
      </c>
      <c r="F78" s="123">
        <f t="shared" si="35"/>
        <v>100015</v>
      </c>
      <c r="G78" s="464">
        <f t="shared" si="44"/>
        <v>42</v>
      </c>
      <c r="H78" s="257">
        <f t="shared" si="42"/>
        <v>7.143928571428571E-3</v>
      </c>
      <c r="I78" s="131">
        <f>IF(F78="","",SUM($F$56:$F78)/$F$55)</f>
        <v>0.66224307142857142</v>
      </c>
      <c r="J78" s="257"/>
      <c r="K78" s="101" t="s">
        <v>187</v>
      </c>
      <c r="L78" s="481">
        <v>306581007</v>
      </c>
      <c r="M78" s="463">
        <v>306581008</v>
      </c>
      <c r="N78" s="463">
        <v>306581009</v>
      </c>
      <c r="O78" s="123">
        <f t="shared" si="45"/>
        <v>306581008</v>
      </c>
      <c r="Q78" s="467">
        <f t="shared" si="46"/>
        <v>30</v>
      </c>
      <c r="R78" s="257">
        <f t="shared" si="47"/>
        <v>1.332960904347826E-2</v>
      </c>
      <c r="S78" s="257"/>
      <c r="T78" s="257">
        <f>IF(O78="","",SUM($O$56:$O78)/$O$55)</f>
        <v>0.57328333169483703</v>
      </c>
      <c r="U78" s="257"/>
      <c r="V78" s="257">
        <f t="shared" si="50"/>
        <v>1.332960904347826E-2</v>
      </c>
      <c r="W78" s="464">
        <f t="shared" si="48"/>
        <v>42</v>
      </c>
      <c r="X78" s="462" t="str">
        <f t="shared" si="49"/>
        <v>Ok</v>
      </c>
      <c r="AB78" s="480">
        <f t="shared" si="40"/>
        <v>1.9997200392030123E-5</v>
      </c>
      <c r="AC78" s="2">
        <f t="shared" si="41"/>
        <v>2</v>
      </c>
    </row>
    <row r="79" spans="2:29" s="2" customFormat="1" ht="13" x14ac:dyDescent="0.3">
      <c r="B79" s="101" t="s">
        <v>188</v>
      </c>
      <c r="C79" s="463">
        <v>100015</v>
      </c>
      <c r="D79" s="463">
        <v>100016</v>
      </c>
      <c r="E79" s="463">
        <v>100017</v>
      </c>
      <c r="F79" s="123">
        <f t="shared" si="35"/>
        <v>100016</v>
      </c>
      <c r="G79" s="464">
        <f t="shared" si="44"/>
        <v>41</v>
      </c>
      <c r="H79" s="257">
        <f t="shared" si="42"/>
        <v>7.1440000000000002E-3</v>
      </c>
      <c r="I79" s="131">
        <f>IF(F79="","",SUM($F$56:$F79)/$F$55)</f>
        <v>0.66938707142857146</v>
      </c>
      <c r="J79" s="257"/>
      <c r="K79" s="101" t="s">
        <v>188</v>
      </c>
      <c r="L79" s="481">
        <v>306581008</v>
      </c>
      <c r="M79" s="463">
        <v>306581009</v>
      </c>
      <c r="N79" s="463">
        <v>306581010</v>
      </c>
      <c r="O79" s="123">
        <f t="shared" si="45"/>
        <v>306581009</v>
      </c>
      <c r="Q79" s="467">
        <f t="shared" si="46"/>
        <v>29</v>
      </c>
      <c r="R79" s="257">
        <f t="shared" si="47"/>
        <v>1.3329609086956521E-2</v>
      </c>
      <c r="S79" s="257"/>
      <c r="T79" s="257">
        <f>IF(O79="","",SUM($O$56:$O79)/$O$55)</f>
        <v>0.5866129407817936</v>
      </c>
      <c r="U79" s="257"/>
      <c r="V79" s="257">
        <f t="shared" si="50"/>
        <v>1.3329609086956521E-2</v>
      </c>
      <c r="W79" s="464">
        <f t="shared" si="48"/>
        <v>41</v>
      </c>
      <c r="X79" s="462" t="str">
        <f t="shared" si="49"/>
        <v>Ok</v>
      </c>
      <c r="AB79" s="480">
        <f t="shared" si="40"/>
        <v>1.9997000449967217E-5</v>
      </c>
      <c r="AC79" s="2">
        <f t="shared" si="41"/>
        <v>3</v>
      </c>
    </row>
    <row r="80" spans="2:29" s="2" customFormat="1" ht="13" x14ac:dyDescent="0.3">
      <c r="B80" s="101" t="s">
        <v>189</v>
      </c>
      <c r="C80" s="463">
        <v>100016</v>
      </c>
      <c r="D80" s="463">
        <v>100017</v>
      </c>
      <c r="E80" s="463">
        <v>100018</v>
      </c>
      <c r="F80" s="123">
        <f t="shared" si="35"/>
        <v>100017</v>
      </c>
      <c r="G80" s="464">
        <f t="shared" si="44"/>
        <v>40</v>
      </c>
      <c r="H80" s="257">
        <f>IF(F80="","",F80/$F$55)</f>
        <v>7.1440714285714284E-3</v>
      </c>
      <c r="I80" s="131">
        <f>IF(F80="","",SUM($F$56:$F80)/$F$55)</f>
        <v>0.67653114285714289</v>
      </c>
      <c r="J80" s="257"/>
      <c r="K80" s="101" t="s">
        <v>189</v>
      </c>
      <c r="L80" s="481">
        <v>306581009</v>
      </c>
      <c r="M80" s="463">
        <v>306581010</v>
      </c>
      <c r="N80" s="463">
        <v>306581011</v>
      </c>
      <c r="O80" s="123">
        <f t="shared" si="45"/>
        <v>306581010</v>
      </c>
      <c r="Q80" s="467">
        <f t="shared" si="46"/>
        <v>28</v>
      </c>
      <c r="R80" s="257">
        <f t="shared" si="47"/>
        <v>1.3329609130434782E-2</v>
      </c>
      <c r="S80" s="257"/>
      <c r="T80" s="257">
        <f>IF(O80="","",SUM($O$56:$O80)/$O$55)</f>
        <v>0.5999425499122284</v>
      </c>
      <c r="U80" s="257"/>
      <c r="V80" s="257">
        <f t="shared" si="50"/>
        <v>1.3329609130434782E-2</v>
      </c>
      <c r="W80" s="464">
        <f t="shared" si="48"/>
        <v>40</v>
      </c>
      <c r="X80" s="462" t="str">
        <f t="shared" si="49"/>
        <v>Ok</v>
      </c>
      <c r="AB80" s="480">
        <f t="shared" si="40"/>
        <v>1.9996800511901114E-5</v>
      </c>
      <c r="AC80" s="2">
        <f t="shared" si="41"/>
        <v>4</v>
      </c>
    </row>
    <row r="81" spans="2:29" s="2" customFormat="1" ht="13" x14ac:dyDescent="0.3">
      <c r="B81" s="101" t="s">
        <v>190</v>
      </c>
      <c r="C81" s="463">
        <v>100017</v>
      </c>
      <c r="D81" s="463">
        <v>100018</v>
      </c>
      <c r="E81" s="463">
        <v>100019</v>
      </c>
      <c r="F81" s="123">
        <f t="shared" si="35"/>
        <v>100018</v>
      </c>
      <c r="G81" s="464">
        <f t="shared" si="44"/>
        <v>39</v>
      </c>
      <c r="H81" s="257">
        <f t="shared" si="42"/>
        <v>7.1441428571428567E-3</v>
      </c>
      <c r="I81" s="131">
        <f>IF(F81="","",SUM($F$56:$F81)/$F$55)</f>
        <v>0.68367528571428571</v>
      </c>
      <c r="J81" s="257"/>
      <c r="K81" s="101" t="s">
        <v>190</v>
      </c>
      <c r="L81" s="481">
        <v>306581010</v>
      </c>
      <c r="M81" s="463">
        <v>306581011</v>
      </c>
      <c r="N81" s="463">
        <v>306581012</v>
      </c>
      <c r="O81" s="123">
        <f t="shared" si="45"/>
        <v>306581011</v>
      </c>
      <c r="Q81" s="467">
        <f t="shared" si="46"/>
        <v>27</v>
      </c>
      <c r="R81" s="257">
        <f t="shared" si="47"/>
        <v>1.3329609173913043E-2</v>
      </c>
      <c r="S81" s="257"/>
      <c r="T81" s="257">
        <f>IF(O81="","",SUM($O$56:$O81)/$O$55)</f>
        <v>0.61327215908614141</v>
      </c>
      <c r="U81" s="257"/>
      <c r="V81" s="257">
        <f t="shared" si="50"/>
        <v>1.3329609173913043E-2</v>
      </c>
      <c r="W81" s="464">
        <f t="shared" si="48"/>
        <v>39</v>
      </c>
      <c r="X81" s="462" t="str">
        <f t="shared" si="49"/>
        <v>Ok</v>
      </c>
      <c r="AB81" s="480">
        <f t="shared" si="40"/>
        <v>1.9996600577831813E-5</v>
      </c>
      <c r="AC81" s="2">
        <f t="shared" si="41"/>
        <v>5</v>
      </c>
    </row>
    <row r="82" spans="2:29" s="2" customFormat="1" ht="13" x14ac:dyDescent="0.3">
      <c r="B82" s="101" t="s">
        <v>191</v>
      </c>
      <c r="C82" s="463">
        <v>100018</v>
      </c>
      <c r="D82" s="463">
        <v>100019</v>
      </c>
      <c r="E82" s="463">
        <v>100020</v>
      </c>
      <c r="F82" s="123">
        <f t="shared" si="35"/>
        <v>100019</v>
      </c>
      <c r="G82" s="464">
        <f t="shared" si="44"/>
        <v>38</v>
      </c>
      <c r="H82" s="257">
        <f t="shared" si="42"/>
        <v>7.1442142857142859E-3</v>
      </c>
      <c r="I82" s="131">
        <f>IF(F82="","",SUM($F$56:$F82)/$F$55)</f>
        <v>0.69081950000000003</v>
      </c>
      <c r="J82" s="257"/>
      <c r="K82" s="101" t="s">
        <v>191</v>
      </c>
      <c r="L82" s="481">
        <v>306581011</v>
      </c>
      <c r="M82" s="463">
        <v>306581012</v>
      </c>
      <c r="N82" s="463">
        <v>306581013</v>
      </c>
      <c r="O82" s="123">
        <f t="shared" si="45"/>
        <v>306581012</v>
      </c>
      <c r="Q82" s="467">
        <f t="shared" si="46"/>
        <v>26</v>
      </c>
      <c r="R82" s="257">
        <f t="shared" si="47"/>
        <v>1.3329609217391304E-2</v>
      </c>
      <c r="S82" s="257"/>
      <c r="T82" s="257">
        <f>IF(O82="","",SUM($O$56:$O82)/$O$55)</f>
        <v>0.62660176830353276</v>
      </c>
      <c r="U82" s="257"/>
      <c r="V82" s="257">
        <f t="shared" si="50"/>
        <v>1.3329609217391304E-2</v>
      </c>
      <c r="W82" s="464">
        <f t="shared" si="48"/>
        <v>38</v>
      </c>
      <c r="X82" s="462" t="str">
        <f t="shared" si="49"/>
        <v>Ok</v>
      </c>
      <c r="AB82" s="480">
        <f t="shared" si="40"/>
        <v>1.9996400647981361E-5</v>
      </c>
      <c r="AC82" s="2">
        <f t="shared" si="41"/>
        <v>6</v>
      </c>
    </row>
    <row r="83" spans="2:29" s="2" customFormat="1" ht="13" x14ac:dyDescent="0.3">
      <c r="B83" s="101" t="s">
        <v>192</v>
      </c>
      <c r="C83" s="463">
        <v>100019</v>
      </c>
      <c r="D83" s="463">
        <v>100020</v>
      </c>
      <c r="E83" s="463">
        <v>100021</v>
      </c>
      <c r="F83" s="123">
        <f t="shared" si="35"/>
        <v>100020</v>
      </c>
      <c r="G83" s="464">
        <f t="shared" si="44"/>
        <v>37</v>
      </c>
      <c r="H83" s="257">
        <f t="shared" si="42"/>
        <v>7.1442857142857141E-3</v>
      </c>
      <c r="I83" s="131">
        <f>IF(F83="","",SUM($F$56:$F83)/$F$55)</f>
        <v>0.69796378571428574</v>
      </c>
      <c r="J83" s="257"/>
      <c r="K83" s="101" t="s">
        <v>192</v>
      </c>
      <c r="L83" s="481">
        <v>306581012</v>
      </c>
      <c r="M83" s="463">
        <v>306581013</v>
      </c>
      <c r="N83" s="463">
        <v>306581014</v>
      </c>
      <c r="O83" s="123">
        <f t="shared" si="45"/>
        <v>306581013</v>
      </c>
      <c r="Q83" s="467">
        <f t="shared" si="46"/>
        <v>25</v>
      </c>
      <c r="R83" s="257">
        <f t="shared" si="47"/>
        <v>1.3329609260869565E-2</v>
      </c>
      <c r="S83" s="257"/>
      <c r="T83" s="257">
        <f>IF(O83="","",SUM($O$56:$O83)/$O$55)</f>
        <v>0.63993137756440233</v>
      </c>
      <c r="U83" s="257"/>
      <c r="V83" s="257">
        <f t="shared" si="50"/>
        <v>1.3329609260869565E-2</v>
      </c>
      <c r="W83" s="464">
        <f t="shared" si="48"/>
        <v>37</v>
      </c>
      <c r="X83" s="462" t="str">
        <f t="shared" si="49"/>
        <v>Ok</v>
      </c>
      <c r="AB83" s="480">
        <f t="shared" si="40"/>
        <v>1.9996200721905666E-5</v>
      </c>
      <c r="AC83" s="2">
        <f t="shared" si="41"/>
        <v>7</v>
      </c>
    </row>
    <row r="84" spans="2:29" s="2" customFormat="1" ht="13" x14ac:dyDescent="0.3">
      <c r="B84" s="101" t="s">
        <v>193</v>
      </c>
      <c r="C84" s="463">
        <v>100020</v>
      </c>
      <c r="D84" s="463">
        <v>100021</v>
      </c>
      <c r="E84" s="463">
        <v>100022</v>
      </c>
      <c r="F84" s="123">
        <f t="shared" si="35"/>
        <v>100021</v>
      </c>
      <c r="G84" s="464">
        <f t="shared" si="44"/>
        <v>36</v>
      </c>
      <c r="H84" s="257">
        <f t="shared" si="42"/>
        <v>7.1443571428571433E-3</v>
      </c>
      <c r="I84" s="131">
        <f>IF(F84="","",SUM($F$56:$F84)/$F$55)</f>
        <v>0.70510814285714285</v>
      </c>
      <c r="J84" s="257"/>
      <c r="K84" s="101" t="s">
        <v>193</v>
      </c>
      <c r="L84" s="481">
        <v>306581013</v>
      </c>
      <c r="M84" s="463">
        <v>306581014</v>
      </c>
      <c r="N84" s="463">
        <v>306581015</v>
      </c>
      <c r="O84" s="123">
        <f t="shared" si="45"/>
        <v>306581014</v>
      </c>
      <c r="Q84" s="467">
        <f t="shared" si="46"/>
        <v>24</v>
      </c>
      <c r="R84" s="257">
        <f t="shared" si="47"/>
        <v>1.3329609304347826E-2</v>
      </c>
      <c r="S84" s="257"/>
      <c r="T84" s="257">
        <f>IF(O84="","",SUM($O$56:$O84)/$O$55)</f>
        <v>0.65326098686875012</v>
      </c>
      <c r="U84" s="257"/>
      <c r="V84" s="257">
        <f t="shared" si="50"/>
        <v>1.3329609304347826E-2</v>
      </c>
      <c r="W84" s="464">
        <f t="shared" si="48"/>
        <v>36</v>
      </c>
      <c r="X84" s="462" t="str">
        <f t="shared" si="49"/>
        <v>Ok</v>
      </c>
      <c r="AB84" s="480">
        <f t="shared" si="40"/>
        <v>1.9996000799826774E-5</v>
      </c>
      <c r="AC84" s="2">
        <f t="shared" si="41"/>
        <v>8</v>
      </c>
    </row>
    <row r="85" spans="2:29" s="2" customFormat="1" ht="13" x14ac:dyDescent="0.3">
      <c r="B85" s="101" t="s">
        <v>194</v>
      </c>
      <c r="C85" s="463">
        <v>100021</v>
      </c>
      <c r="D85" s="463">
        <v>100022</v>
      </c>
      <c r="E85" s="463">
        <v>100023</v>
      </c>
      <c r="F85" s="123">
        <f t="shared" si="35"/>
        <v>100022</v>
      </c>
      <c r="G85" s="464">
        <f t="shared" si="44"/>
        <v>35</v>
      </c>
      <c r="H85" s="257">
        <f t="shared" si="42"/>
        <v>7.1444285714285715E-3</v>
      </c>
      <c r="I85" s="131">
        <f>IF(F85="","",SUM($F$56:$F85)/$F$55)</f>
        <v>0.71225257142857146</v>
      </c>
      <c r="J85" s="257"/>
      <c r="K85" s="101" t="s">
        <v>194</v>
      </c>
      <c r="L85" s="481">
        <v>306581014</v>
      </c>
      <c r="M85" s="463">
        <v>306581015</v>
      </c>
      <c r="N85" s="463">
        <v>306581016</v>
      </c>
      <c r="O85" s="123">
        <f t="shared" si="45"/>
        <v>306581015</v>
      </c>
      <c r="Q85" s="467">
        <f t="shared" si="46"/>
        <v>23</v>
      </c>
      <c r="R85" s="257">
        <f t="shared" si="47"/>
        <v>1.3329609347826087E-2</v>
      </c>
      <c r="S85" s="257"/>
      <c r="T85" s="257">
        <f>IF(O85="","",SUM($O$56:$O85)/$O$55)</f>
        <v>0.66659059621657624</v>
      </c>
      <c r="U85" s="257"/>
      <c r="V85" s="257">
        <f t="shared" si="50"/>
        <v>1.3329609347826087E-2</v>
      </c>
      <c r="W85" s="464">
        <f t="shared" si="48"/>
        <v>35</v>
      </c>
      <c r="X85" s="462" t="str">
        <f t="shared" si="49"/>
        <v>Ok</v>
      </c>
      <c r="AB85" s="480">
        <f t="shared" si="40"/>
        <v>1.9995800881744685E-5</v>
      </c>
      <c r="AC85" s="2">
        <f t="shared" si="41"/>
        <v>9</v>
      </c>
    </row>
    <row r="86" spans="2:29" s="2" customFormat="1" ht="13" x14ac:dyDescent="0.3">
      <c r="B86" s="101" t="s">
        <v>195</v>
      </c>
      <c r="C86" s="463">
        <v>100022</v>
      </c>
      <c r="D86" s="463">
        <v>100023</v>
      </c>
      <c r="E86" s="463">
        <v>100024</v>
      </c>
      <c r="F86" s="123">
        <f t="shared" si="35"/>
        <v>100023</v>
      </c>
      <c r="G86" s="464">
        <f t="shared" si="44"/>
        <v>34</v>
      </c>
      <c r="H86" s="257">
        <f t="shared" si="42"/>
        <v>7.1444999999999998E-3</v>
      </c>
      <c r="I86" s="131">
        <f>IF(F86="","",SUM($F$56:$F86)/$F$55)</f>
        <v>0.71939707142857146</v>
      </c>
      <c r="J86" s="257"/>
      <c r="K86" s="101" t="s">
        <v>195</v>
      </c>
      <c r="L86" s="481">
        <v>306581015</v>
      </c>
      <c r="M86" s="463">
        <v>306581016</v>
      </c>
      <c r="N86" s="463">
        <v>306581017</v>
      </c>
      <c r="O86" s="123">
        <f t="shared" si="45"/>
        <v>306581016</v>
      </c>
      <c r="Q86" s="467">
        <f t="shared" si="46"/>
        <v>22</v>
      </c>
      <c r="R86" s="257">
        <f t="shared" si="47"/>
        <v>1.3329609391304348E-2</v>
      </c>
      <c r="S86" s="257"/>
      <c r="T86" s="257">
        <f>IF(O86="","",SUM($O$56:$O86)/$O$55)</f>
        <v>0.67992020560788058</v>
      </c>
      <c r="U86" s="257"/>
      <c r="V86" s="257">
        <f t="shared" si="50"/>
        <v>1.3329609391304348E-2</v>
      </c>
      <c r="W86" s="464">
        <f t="shared" si="48"/>
        <v>34</v>
      </c>
      <c r="X86" s="462" t="str">
        <f t="shared" si="49"/>
        <v>Ok</v>
      </c>
      <c r="AB86" s="480">
        <f t="shared" si="40"/>
        <v>1.9995600967881444E-5</v>
      </c>
      <c r="AC86" s="2">
        <f t="shared" si="41"/>
        <v>10</v>
      </c>
    </row>
    <row r="87" spans="2:29" s="2" customFormat="1" ht="13" x14ac:dyDescent="0.3">
      <c r="B87" s="101" t="s">
        <v>196</v>
      </c>
      <c r="C87" s="463">
        <v>100023</v>
      </c>
      <c r="D87" s="463">
        <v>100024</v>
      </c>
      <c r="E87" s="463">
        <v>100025</v>
      </c>
      <c r="F87" s="123">
        <f t="shared" si="35"/>
        <v>100024</v>
      </c>
      <c r="G87" s="464">
        <f t="shared" si="44"/>
        <v>33</v>
      </c>
      <c r="H87" s="257">
        <f t="shared" si="42"/>
        <v>7.1445714285714289E-3</v>
      </c>
      <c r="I87" s="131">
        <f>IF(F87="","",SUM($F$56:$F87)/$F$55)</f>
        <v>0.72654164285714284</v>
      </c>
      <c r="J87" s="257"/>
      <c r="K87" s="101" t="s">
        <v>196</v>
      </c>
      <c r="L87" s="481">
        <v>306581016</v>
      </c>
      <c r="M87" s="463">
        <v>306581017</v>
      </c>
      <c r="N87" s="463">
        <v>306581018</v>
      </c>
      <c r="O87" s="123">
        <f t="shared" si="45"/>
        <v>306581017</v>
      </c>
      <c r="Q87" s="467">
        <f t="shared" si="46"/>
        <v>21</v>
      </c>
      <c r="R87" s="257">
        <f t="shared" si="47"/>
        <v>1.3329609434782608E-2</v>
      </c>
      <c r="S87" s="257"/>
      <c r="T87" s="257">
        <f>IF(O87="","",SUM($O$56:$O87)/$O$55)</f>
        <v>0.69324981504266314</v>
      </c>
      <c r="U87" s="257"/>
      <c r="V87" s="257">
        <f t="shared" si="50"/>
        <v>1.3329609434782608E-2</v>
      </c>
      <c r="W87" s="464">
        <f t="shared" si="48"/>
        <v>33</v>
      </c>
      <c r="X87" s="462" t="str">
        <f t="shared" si="49"/>
        <v>Ok</v>
      </c>
      <c r="AB87" s="480">
        <f t="shared" si="40"/>
        <v>1.9995401057792961E-5</v>
      </c>
      <c r="AC87" s="2">
        <f t="shared" si="41"/>
        <v>11</v>
      </c>
    </row>
    <row r="88" spans="2:29" s="2" customFormat="1" ht="13" x14ac:dyDescent="0.3">
      <c r="B88" s="101" t="s">
        <v>197</v>
      </c>
      <c r="C88" s="463">
        <v>100024</v>
      </c>
      <c r="D88" s="463">
        <v>100025</v>
      </c>
      <c r="E88" s="463">
        <v>100026</v>
      </c>
      <c r="F88" s="123">
        <f t="shared" si="35"/>
        <v>100025</v>
      </c>
      <c r="G88" s="464">
        <f t="shared" si="44"/>
        <v>32</v>
      </c>
      <c r="H88" s="257">
        <f t="shared" si="42"/>
        <v>7.1446428571428572E-3</v>
      </c>
      <c r="I88" s="131">
        <f>IF(F88="","",SUM($F$56:$F88)/$F$55)</f>
        <v>0.73368628571428574</v>
      </c>
      <c r="J88" s="257"/>
      <c r="K88" s="101" t="s">
        <v>197</v>
      </c>
      <c r="L88" s="481">
        <v>306581017</v>
      </c>
      <c r="M88" s="463">
        <v>306581018</v>
      </c>
      <c r="N88" s="463">
        <v>306581019</v>
      </c>
      <c r="O88" s="123">
        <f t="shared" si="45"/>
        <v>306581018</v>
      </c>
      <c r="Q88" s="467">
        <f t="shared" si="46"/>
        <v>20</v>
      </c>
      <c r="R88" s="257">
        <f t="shared" si="47"/>
        <v>1.3329609478260869E-2</v>
      </c>
      <c r="S88" s="257"/>
      <c r="T88" s="257">
        <f>IF(O88="","",SUM($O$56:$O88)/$O$55)</f>
        <v>0.70657942452092404</v>
      </c>
      <c r="U88" s="257"/>
      <c r="V88" s="257">
        <f t="shared" si="50"/>
        <v>1.3329609478260869E-2</v>
      </c>
      <c r="W88" s="464">
        <f t="shared" si="48"/>
        <v>32</v>
      </c>
      <c r="X88" s="462" t="str">
        <f t="shared" si="49"/>
        <v>Ok</v>
      </c>
      <c r="AB88" s="480">
        <f t="shared" si="40"/>
        <v>1.9995201151701281E-5</v>
      </c>
      <c r="AC88" s="2">
        <f t="shared" si="41"/>
        <v>12</v>
      </c>
    </row>
    <row r="89" spans="2:29" s="2" customFormat="1" ht="13" x14ac:dyDescent="0.3">
      <c r="B89" s="101" t="s">
        <v>198</v>
      </c>
      <c r="C89" s="463">
        <v>100025</v>
      </c>
      <c r="D89" s="463">
        <v>100026</v>
      </c>
      <c r="E89" s="463">
        <v>100027</v>
      </c>
      <c r="F89" s="123">
        <f t="shared" si="35"/>
        <v>100026</v>
      </c>
      <c r="G89" s="464">
        <f t="shared" si="44"/>
        <v>31</v>
      </c>
      <c r="H89" s="257">
        <f t="shared" si="42"/>
        <v>7.1447142857142855E-3</v>
      </c>
      <c r="I89" s="131">
        <f>IF(F89="","",SUM($F$56:$F89)/$F$55)</f>
        <v>0.74083100000000002</v>
      </c>
      <c r="J89" s="257"/>
      <c r="K89" s="101" t="s">
        <v>198</v>
      </c>
      <c r="L89" s="481">
        <v>306581018</v>
      </c>
      <c r="M89" s="463">
        <v>306581019</v>
      </c>
      <c r="N89" s="463">
        <v>306581020</v>
      </c>
      <c r="O89" s="123">
        <f t="shared" si="45"/>
        <v>306581019</v>
      </c>
      <c r="Q89" s="467">
        <f t="shared" si="46"/>
        <v>19</v>
      </c>
      <c r="R89" s="257">
        <f t="shared" si="47"/>
        <v>1.332960952173913E-2</v>
      </c>
      <c r="S89" s="257"/>
      <c r="T89" s="257">
        <f>IF(O89="","",SUM($O$56:$O89)/$O$55)</f>
        <v>0.71990903404266315</v>
      </c>
      <c r="U89" s="257"/>
      <c r="V89" s="257">
        <f t="shared" si="50"/>
        <v>1.332960952173913E-2</v>
      </c>
      <c r="W89" s="464">
        <f t="shared" si="48"/>
        <v>31</v>
      </c>
      <c r="X89" s="462" t="str">
        <f t="shared" si="49"/>
        <v>Ok</v>
      </c>
      <c r="AB89" s="480">
        <f t="shared" si="40"/>
        <v>1.9995001249606403E-5</v>
      </c>
      <c r="AC89" s="2">
        <f t="shared" si="41"/>
        <v>13</v>
      </c>
    </row>
    <row r="90" spans="2:29" s="2" customFormat="1" ht="13" x14ac:dyDescent="0.3">
      <c r="B90" s="101" t="s">
        <v>199</v>
      </c>
      <c r="C90" s="463">
        <v>100026</v>
      </c>
      <c r="D90" s="463">
        <v>100027</v>
      </c>
      <c r="E90" s="463">
        <v>100028</v>
      </c>
      <c r="F90" s="123">
        <f t="shared" si="35"/>
        <v>100027</v>
      </c>
      <c r="G90" s="464">
        <f t="shared" si="44"/>
        <v>30</v>
      </c>
      <c r="H90" s="257">
        <f t="shared" si="42"/>
        <v>7.1447857142857146E-3</v>
      </c>
      <c r="I90" s="131">
        <f>IF(F90="","",SUM($F$56:$F90)/$F$55)</f>
        <v>0.74797578571428569</v>
      </c>
      <c r="J90" s="257"/>
      <c r="K90" s="101" t="s">
        <v>199</v>
      </c>
      <c r="L90" s="481">
        <v>306581019</v>
      </c>
      <c r="M90" s="463">
        <v>306581020</v>
      </c>
      <c r="N90" s="463">
        <v>306581021</v>
      </c>
      <c r="O90" s="123">
        <f t="shared" si="45"/>
        <v>306581020</v>
      </c>
      <c r="Q90" s="467">
        <f t="shared" si="46"/>
        <v>18</v>
      </c>
      <c r="R90" s="257">
        <f t="shared" si="47"/>
        <v>1.3329609565217391E-2</v>
      </c>
      <c r="S90" s="257"/>
      <c r="T90" s="257">
        <f>IF(O90="","",SUM($O$56:$O90)/$O$55)</f>
        <v>0.7332386436078806</v>
      </c>
      <c r="U90" s="257"/>
      <c r="V90" s="257">
        <f t="shared" si="50"/>
        <v>1.3329609565217391E-2</v>
      </c>
      <c r="W90" s="464">
        <f t="shared" si="48"/>
        <v>30</v>
      </c>
      <c r="X90" s="462" t="str">
        <f t="shared" si="49"/>
        <v>Ok</v>
      </c>
      <c r="AB90" s="480">
        <f t="shared" si="40"/>
        <v>1.9994801351730374E-5</v>
      </c>
      <c r="AC90" s="2">
        <f t="shared" si="41"/>
        <v>14</v>
      </c>
    </row>
    <row r="91" spans="2:29" s="2" customFormat="1" ht="13" x14ac:dyDescent="0.3">
      <c r="B91" s="101" t="s">
        <v>200</v>
      </c>
      <c r="C91" s="463">
        <v>100027</v>
      </c>
      <c r="D91" s="463">
        <v>100028</v>
      </c>
      <c r="E91" s="463">
        <v>100029</v>
      </c>
      <c r="F91" s="123">
        <f t="shared" si="35"/>
        <v>100028</v>
      </c>
      <c r="G91" s="464">
        <f t="shared" si="44"/>
        <v>29</v>
      </c>
      <c r="H91" s="257">
        <f t="shared" si="42"/>
        <v>7.1448571428571429E-3</v>
      </c>
      <c r="I91" s="131">
        <f>IF(F91="","",SUM($F$56:$F91)/$F$55)</f>
        <v>0.75512064285714287</v>
      </c>
      <c r="J91" s="257"/>
      <c r="K91" s="101" t="s">
        <v>200</v>
      </c>
      <c r="L91" s="481">
        <v>306581020</v>
      </c>
      <c r="M91" s="463">
        <v>306581021</v>
      </c>
      <c r="N91" s="463">
        <v>306581022</v>
      </c>
      <c r="O91" s="123">
        <f t="shared" si="45"/>
        <v>306581021</v>
      </c>
      <c r="Q91" s="467">
        <f t="shared" si="46"/>
        <v>17</v>
      </c>
      <c r="R91" s="257">
        <f t="shared" si="47"/>
        <v>1.3329609608695652E-2</v>
      </c>
      <c r="S91" s="257"/>
      <c r="T91" s="257">
        <f>IF(O91="","",SUM($O$56:$O91)/$O$55)</f>
        <v>0.74656825321657616</v>
      </c>
      <c r="U91" s="257"/>
      <c r="V91" s="257">
        <f t="shared" si="50"/>
        <v>1.3329609608695652E-2</v>
      </c>
      <c r="W91" s="464">
        <f t="shared" si="48"/>
        <v>29</v>
      </c>
      <c r="X91" s="462" t="str">
        <f t="shared" si="49"/>
        <v>Ok</v>
      </c>
      <c r="AB91" s="480">
        <f t="shared" si="40"/>
        <v>1.9994601457629102E-5</v>
      </c>
      <c r="AC91" s="2">
        <f t="shared" si="41"/>
        <v>15</v>
      </c>
    </row>
    <row r="92" spans="2:29" s="2" customFormat="1" ht="13" x14ac:dyDescent="0.3">
      <c r="B92" s="101" t="s">
        <v>201</v>
      </c>
      <c r="C92" s="463">
        <v>100028</v>
      </c>
      <c r="D92" s="463">
        <v>100029</v>
      </c>
      <c r="E92" s="463">
        <v>100030</v>
      </c>
      <c r="F92" s="123">
        <f t="shared" si="35"/>
        <v>100029</v>
      </c>
      <c r="G92" s="464">
        <f t="shared" si="44"/>
        <v>28</v>
      </c>
      <c r="H92" s="257">
        <f t="shared" si="42"/>
        <v>7.1449285714285712E-3</v>
      </c>
      <c r="I92" s="131">
        <f>IF(F92="","",SUM($F$56:$F92)/$F$55)</f>
        <v>0.76226557142857143</v>
      </c>
      <c r="J92" s="257"/>
      <c r="K92" s="101" t="s">
        <v>201</v>
      </c>
      <c r="L92" s="481">
        <v>306581021</v>
      </c>
      <c r="M92" s="463">
        <v>306581022</v>
      </c>
      <c r="N92" s="463">
        <v>306581023</v>
      </c>
      <c r="O92" s="123">
        <f t="shared" si="45"/>
        <v>306581022</v>
      </c>
      <c r="Q92" s="467">
        <f t="shared" si="46"/>
        <v>16</v>
      </c>
      <c r="R92" s="257">
        <f t="shared" si="47"/>
        <v>1.3329609652173913E-2</v>
      </c>
      <c r="S92" s="257"/>
      <c r="T92" s="257">
        <f>IF(O92="","",SUM($O$56:$O92)/$O$55)</f>
        <v>0.75989786286875016</v>
      </c>
      <c r="U92" s="257"/>
      <c r="V92" s="257">
        <f t="shared" si="50"/>
        <v>1.3329609652173913E-2</v>
      </c>
      <c r="W92" s="464">
        <f t="shared" si="48"/>
        <v>28</v>
      </c>
      <c r="X92" s="462" t="str">
        <f t="shared" si="49"/>
        <v>Ok</v>
      </c>
      <c r="AB92" s="480">
        <f t="shared" si="40"/>
        <v>1.9994401567524633E-5</v>
      </c>
      <c r="AC92" s="2">
        <f t="shared" si="41"/>
        <v>16</v>
      </c>
    </row>
    <row r="93" spans="2:29" s="2" customFormat="1" ht="13" x14ac:dyDescent="0.3">
      <c r="B93" s="101" t="s">
        <v>202</v>
      </c>
      <c r="C93" s="463">
        <v>100029</v>
      </c>
      <c r="D93" s="463">
        <v>100030</v>
      </c>
      <c r="E93" s="463">
        <v>100031</v>
      </c>
      <c r="F93" s="123">
        <f t="shared" si="35"/>
        <v>100030</v>
      </c>
      <c r="G93" s="464">
        <f t="shared" si="44"/>
        <v>27</v>
      </c>
      <c r="H93" s="257">
        <f t="shared" si="42"/>
        <v>7.1450000000000003E-3</v>
      </c>
      <c r="I93" s="131">
        <f>IF(F93="","",SUM($F$56:$F93)/$F$55)</f>
        <v>0.76941057142857139</v>
      </c>
      <c r="J93" s="257"/>
      <c r="K93" s="101" t="s">
        <v>202</v>
      </c>
      <c r="L93" s="481">
        <v>306581022</v>
      </c>
      <c r="M93" s="463">
        <v>306581023</v>
      </c>
      <c r="N93" s="463">
        <v>306581024</v>
      </c>
      <c r="O93" s="123">
        <f t="shared" si="45"/>
        <v>306581023</v>
      </c>
      <c r="Q93" s="467">
        <f t="shared" si="46"/>
        <v>15</v>
      </c>
      <c r="R93" s="257">
        <f t="shared" si="47"/>
        <v>1.3329609695652174E-2</v>
      </c>
      <c r="S93" s="257"/>
      <c r="T93" s="257">
        <f>IF(O93="","",SUM($O$56:$O93)/$O$55)</f>
        <v>0.77322747256440238</v>
      </c>
      <c r="U93" s="257"/>
      <c r="V93" s="257">
        <f t="shared" si="50"/>
        <v>1.3329609695652174E-2</v>
      </c>
      <c r="W93" s="464">
        <f t="shared" si="48"/>
        <v>27</v>
      </c>
      <c r="X93" s="462" t="str">
        <f t="shared" si="49"/>
        <v>Ok</v>
      </c>
      <c r="AB93" s="480">
        <f t="shared" si="40"/>
        <v>1.9994201681416968E-5</v>
      </c>
      <c r="AC93" s="2">
        <f t="shared" si="41"/>
        <v>17</v>
      </c>
    </row>
    <row r="94" spans="2:29" s="2" customFormat="1" ht="13" x14ac:dyDescent="0.3">
      <c r="B94" s="101" t="s">
        <v>203</v>
      </c>
      <c r="C94" s="463">
        <v>100030</v>
      </c>
      <c r="D94" s="463">
        <v>100031</v>
      </c>
      <c r="E94" s="463">
        <v>100032</v>
      </c>
      <c r="F94" s="123">
        <f t="shared" si="35"/>
        <v>100031</v>
      </c>
      <c r="G94" s="464">
        <f t="shared" si="44"/>
        <v>26</v>
      </c>
      <c r="H94" s="257">
        <f t="shared" si="42"/>
        <v>7.1450714285714286E-3</v>
      </c>
      <c r="I94" s="131">
        <f>IF(F94="","",SUM($F$56:$F94)/$F$55)</f>
        <v>0.77655564285714285</v>
      </c>
      <c r="J94" s="257"/>
      <c r="K94" s="101" t="s">
        <v>203</v>
      </c>
      <c r="L94" s="481">
        <v>306581023</v>
      </c>
      <c r="M94" s="463">
        <v>306581024</v>
      </c>
      <c r="N94" s="463">
        <v>306581025</v>
      </c>
      <c r="O94" s="123">
        <f t="shared" si="45"/>
        <v>306581024</v>
      </c>
      <c r="Q94" s="467">
        <f t="shared" si="46"/>
        <v>14</v>
      </c>
      <c r="R94" s="257">
        <f t="shared" si="47"/>
        <v>1.3329609739130435E-2</v>
      </c>
      <c r="S94" s="257"/>
      <c r="T94" s="257">
        <f>IF(O94="","",SUM($O$56:$O94)/$O$55)</f>
        <v>0.78655708230353283</v>
      </c>
      <c r="U94" s="257"/>
      <c r="V94" s="257">
        <f t="shared" si="50"/>
        <v>1.3329609739130435E-2</v>
      </c>
      <c r="W94" s="464">
        <f t="shared" si="48"/>
        <v>26</v>
      </c>
      <c r="X94" s="462" t="str">
        <f t="shared" si="49"/>
        <v>Ok</v>
      </c>
      <c r="AB94" s="480">
        <f t="shared" si="40"/>
        <v>1.9994001799528149E-5</v>
      </c>
      <c r="AC94" s="2">
        <f t="shared" si="41"/>
        <v>18</v>
      </c>
    </row>
    <row r="95" spans="2:29" s="2" customFormat="1" ht="13" x14ac:dyDescent="0.3">
      <c r="B95" s="101" t="s">
        <v>204</v>
      </c>
      <c r="C95" s="463">
        <v>100031</v>
      </c>
      <c r="D95" s="463">
        <v>100032</v>
      </c>
      <c r="E95" s="463">
        <v>100033</v>
      </c>
      <c r="F95" s="123">
        <f t="shared" si="35"/>
        <v>100032</v>
      </c>
      <c r="G95" s="464">
        <f t="shared" si="44"/>
        <v>25</v>
      </c>
      <c r="H95" s="257">
        <f t="shared" si="42"/>
        <v>7.1451428571428569E-3</v>
      </c>
      <c r="I95" s="131">
        <f>IF(F95="","",SUM($F$56:$F95)/$F$55)</f>
        <v>0.7837007857142857</v>
      </c>
      <c r="J95" s="257"/>
      <c r="K95" s="101" t="s">
        <v>204</v>
      </c>
      <c r="L95" s="481">
        <v>306581024</v>
      </c>
      <c r="M95" s="463">
        <v>306581025</v>
      </c>
      <c r="N95" s="463">
        <v>306581026</v>
      </c>
      <c r="O95" s="123">
        <f t="shared" si="45"/>
        <v>306581025</v>
      </c>
      <c r="Q95" s="467">
        <f t="shared" si="46"/>
        <v>13</v>
      </c>
      <c r="R95" s="257">
        <f t="shared" si="47"/>
        <v>1.3329609782608696E-2</v>
      </c>
      <c r="S95" s="257"/>
      <c r="T95" s="257">
        <f>IF(O95="","",SUM($O$56:$O95)/$O$55)</f>
        <v>0.79988669208614149</v>
      </c>
      <c r="U95" s="257"/>
      <c r="V95" s="257">
        <f t="shared" si="50"/>
        <v>1.3329609782608696E-2</v>
      </c>
      <c r="W95" s="464">
        <f t="shared" si="48"/>
        <v>25</v>
      </c>
      <c r="X95" s="462" t="str">
        <f t="shared" si="49"/>
        <v>Ok</v>
      </c>
      <c r="AB95" s="480">
        <f>IFERROR((IF(C95="",$E95/D95-1,$E95/C95-1)),"")</f>
        <v>1.9993801921414089E-5</v>
      </c>
      <c r="AC95" s="2">
        <f t="shared" si="41"/>
        <v>19</v>
      </c>
    </row>
    <row r="96" spans="2:29" s="2" customFormat="1" ht="13" x14ac:dyDescent="0.3">
      <c r="B96" s="101" t="s">
        <v>205</v>
      </c>
      <c r="C96" s="463">
        <v>100032</v>
      </c>
      <c r="D96" s="463">
        <v>100033</v>
      </c>
      <c r="E96" s="463">
        <v>100034</v>
      </c>
      <c r="F96" s="123">
        <f t="shared" si="35"/>
        <v>100033</v>
      </c>
      <c r="G96" s="464">
        <f t="shared" si="44"/>
        <v>24</v>
      </c>
      <c r="H96" s="257">
        <f t="shared" si="42"/>
        <v>7.145214285714286E-3</v>
      </c>
      <c r="I96" s="131">
        <f>IF(F96="","",SUM($F$56:$F96)/$F$55)</f>
        <v>0.79084600000000005</v>
      </c>
      <c r="J96" s="257"/>
      <c r="K96" s="101" t="s">
        <v>205</v>
      </c>
      <c r="L96" s="481">
        <v>306581025</v>
      </c>
      <c r="M96" s="463">
        <v>306581026</v>
      </c>
      <c r="N96" s="463">
        <v>306581027</v>
      </c>
      <c r="O96" s="123">
        <f t="shared" si="45"/>
        <v>306581026</v>
      </c>
      <c r="Q96" s="467">
        <f t="shared" si="46"/>
        <v>12</v>
      </c>
      <c r="R96" s="257">
        <f t="shared" si="47"/>
        <v>1.3329609826086957E-2</v>
      </c>
      <c r="S96" s="257"/>
      <c r="T96" s="257">
        <f>IF(O96="","",SUM($O$56:$O96)/$O$55)</f>
        <v>0.81321630191222849</v>
      </c>
      <c r="U96" s="257"/>
      <c r="V96" s="257">
        <f t="shared" si="50"/>
        <v>1.3329609826086957E-2</v>
      </c>
      <c r="W96" s="464">
        <f t="shared" si="48"/>
        <v>24</v>
      </c>
      <c r="X96" s="462" t="str">
        <f t="shared" si="49"/>
        <v>Ok</v>
      </c>
      <c r="AB96" s="480">
        <f t="shared" si="40"/>
        <v>1.9993602047296832E-5</v>
      </c>
      <c r="AC96" s="2">
        <f t="shared" si="41"/>
        <v>20</v>
      </c>
    </row>
    <row r="97" spans="2:29" s="2" customFormat="1" ht="13" x14ac:dyDescent="0.3">
      <c r="B97" s="101" t="s">
        <v>206</v>
      </c>
      <c r="C97" s="463">
        <v>100033</v>
      </c>
      <c r="D97" s="463">
        <v>100034</v>
      </c>
      <c r="E97" s="463">
        <v>100035</v>
      </c>
      <c r="F97" s="123">
        <f t="shared" si="35"/>
        <v>100034</v>
      </c>
      <c r="G97" s="464">
        <f>IFERROR(RANK($F97,$F$56:$F$98),"")</f>
        <v>23</v>
      </c>
      <c r="H97" s="257">
        <f t="shared" si="42"/>
        <v>7.1452857142857143E-3</v>
      </c>
      <c r="I97" s="131">
        <f>IF(F97="","",SUM($F$56:$F97)/$F$55)</f>
        <v>0.79799128571428568</v>
      </c>
      <c r="J97" s="257"/>
      <c r="K97" s="101" t="s">
        <v>206</v>
      </c>
      <c r="L97" s="481">
        <v>306581026</v>
      </c>
      <c r="M97" s="463">
        <v>306581027</v>
      </c>
      <c r="N97" s="463">
        <v>306581028</v>
      </c>
      <c r="O97" s="123">
        <f t="shared" si="45"/>
        <v>306581027</v>
      </c>
      <c r="Q97" s="467">
        <f t="shared" si="46"/>
        <v>11</v>
      </c>
      <c r="R97" s="257">
        <f t="shared" si="47"/>
        <v>1.3329609869565218E-2</v>
      </c>
      <c r="S97" s="257"/>
      <c r="T97" s="257">
        <f>IF(O97="","",SUM($O$56:$O97)/$O$55)</f>
        <v>0.82654591178179371</v>
      </c>
      <c r="U97" s="257"/>
      <c r="V97" s="257">
        <f t="shared" si="50"/>
        <v>1.3329609869565218E-2</v>
      </c>
      <c r="W97" s="464">
        <f t="shared" si="48"/>
        <v>23</v>
      </c>
      <c r="X97" s="462" t="str">
        <f t="shared" si="49"/>
        <v>Ok</v>
      </c>
      <c r="AB97" s="480">
        <f t="shared" si="40"/>
        <v>1.9993402177176378E-5</v>
      </c>
      <c r="AC97" s="2">
        <f t="shared" si="41"/>
        <v>21</v>
      </c>
    </row>
    <row r="98" spans="2:29" s="2" customFormat="1" ht="13" x14ac:dyDescent="0.3">
      <c r="B98" s="101" t="s">
        <v>207</v>
      </c>
      <c r="C98" s="463">
        <v>100034</v>
      </c>
      <c r="D98" s="463">
        <v>100035</v>
      </c>
      <c r="E98" s="463">
        <v>100036</v>
      </c>
      <c r="F98" s="123">
        <f t="shared" si="35"/>
        <v>100035</v>
      </c>
      <c r="G98" s="464">
        <f>IFERROR(RANK($F98,$F$56:$F$98),"")</f>
        <v>22</v>
      </c>
      <c r="H98" s="257">
        <f>IF(F98="","",F98/$F$55)</f>
        <v>7.1453571428571425E-3</v>
      </c>
      <c r="I98" s="131">
        <f>IF(F98="","",SUM($F$56:$F98)/$F$55)</f>
        <v>0.80513664285714281</v>
      </c>
      <c r="K98" s="101" t="s">
        <v>207</v>
      </c>
      <c r="L98" s="481">
        <v>306581027</v>
      </c>
      <c r="M98" s="463">
        <v>306581028</v>
      </c>
      <c r="N98" s="463">
        <v>306581029</v>
      </c>
      <c r="O98" s="123">
        <f t="shared" si="45"/>
        <v>306581028</v>
      </c>
      <c r="P98" s="462"/>
      <c r="Q98" s="467">
        <f t="shared" si="46"/>
        <v>10</v>
      </c>
      <c r="R98" s="257">
        <f t="shared" si="47"/>
        <v>1.3329609913043479E-2</v>
      </c>
      <c r="S98" s="257"/>
      <c r="T98" s="257">
        <f>IF(O98="","",SUM($O$56:$O98)/$O$55)</f>
        <v>0.83987552169483715</v>
      </c>
      <c r="U98" s="257"/>
      <c r="V98" s="257">
        <f t="shared" si="50"/>
        <v>1.3329609913043479E-2</v>
      </c>
      <c r="W98" s="464">
        <f t="shared" si="48"/>
        <v>22</v>
      </c>
      <c r="X98" s="462" t="str">
        <f t="shared" ref="X98" si="51">IF(K98=B98,"Ok","Error")</f>
        <v>Ok</v>
      </c>
      <c r="AB98" s="480">
        <f t="shared" si="40"/>
        <v>1.9993202311274771E-5</v>
      </c>
      <c r="AC98" s="2">
        <f t="shared" si="41"/>
        <v>22</v>
      </c>
    </row>
    <row r="99" spans="2:29" s="2" customFormat="1" ht="13" x14ac:dyDescent="0.3">
      <c r="B99" s="445" t="s">
        <v>208</v>
      </c>
      <c r="C99" s="454">
        <f>SUM(C56:C98)</f>
        <v>11271870</v>
      </c>
      <c r="D99" s="454">
        <f>SUM(D56:D98)</f>
        <v>11271913</v>
      </c>
      <c r="E99" s="454">
        <f>SUM(E56:E98)</f>
        <v>11271956</v>
      </c>
      <c r="F99" s="454">
        <f>SUM(F56:F98)</f>
        <v>11271913</v>
      </c>
      <c r="H99" s="454"/>
      <c r="K99" s="445" t="s">
        <v>208</v>
      </c>
      <c r="L99" s="454">
        <f>SUM(L56:L98)</f>
        <v>19317136956.647919</v>
      </c>
      <c r="M99" s="454">
        <f>SUM(M56:M98)</f>
        <v>19317137000.647919</v>
      </c>
      <c r="N99" s="454">
        <f>SUM(N56:N98)</f>
        <v>19317137039.647919</v>
      </c>
      <c r="O99" s="459">
        <f>AVERAGE(L99:N99)</f>
        <v>19317136998.981251</v>
      </c>
      <c r="P99" s="462"/>
    </row>
    <row r="100" spans="2:29" s="2" customFormat="1" ht="13" x14ac:dyDescent="0.3">
      <c r="B100" s="470"/>
      <c r="C100" s="482">
        <f>C99/C55</f>
        <v>0.80513357142857145</v>
      </c>
      <c r="D100" s="482">
        <f>D99/D55</f>
        <v>0.80513664285714281</v>
      </c>
      <c r="E100" s="482">
        <f>E99/E55</f>
        <v>0.80513971428571429</v>
      </c>
      <c r="F100" s="482">
        <f>F99/F55</f>
        <v>0.80513664285714281</v>
      </c>
      <c r="H100" s="483">
        <f>SUM(H56:H98)</f>
        <v>0.8051366428571427</v>
      </c>
      <c r="I100" s="484"/>
      <c r="L100" s="482">
        <f>L99/L55</f>
        <v>0.83987551985425735</v>
      </c>
      <c r="M100" s="482">
        <f>M99/M55</f>
        <v>0.83987552176730085</v>
      </c>
      <c r="N100" s="482">
        <f>N99/N55</f>
        <v>0.83987552346295302</v>
      </c>
      <c r="O100" s="482">
        <f>O99/O55</f>
        <v>0.83987552169483704</v>
      </c>
      <c r="P100" s="462"/>
      <c r="R100" s="257">
        <f>SUM(R56:R98)</f>
        <v>0.83987552169483704</v>
      </c>
      <c r="S100" s="257"/>
    </row>
    <row r="101" spans="2:29" s="2" customFormat="1" ht="13" x14ac:dyDescent="0.3">
      <c r="B101" s="101"/>
      <c r="C101" s="463"/>
      <c r="D101" s="463"/>
      <c r="E101" s="463"/>
      <c r="F101" s="463"/>
      <c r="G101" s="463"/>
      <c r="H101" s="473" t="s">
        <v>42</v>
      </c>
      <c r="I101" s="123" t="str">
        <f>IF(B101="","",AVERAGE(C101:H101))</f>
        <v/>
      </c>
      <c r="J101" s="467" t="str">
        <f>IFERROR(RANK($I101,$I$56:$I$102),"")</f>
        <v/>
      </c>
      <c r="M101" s="257"/>
      <c r="N101" s="101"/>
      <c r="O101" s="462"/>
      <c r="P101" s="462"/>
      <c r="Q101" s="131"/>
      <c r="R101" s="473" t="s">
        <v>42</v>
      </c>
      <c r="S101" s="462"/>
      <c r="V101" s="473"/>
    </row>
    <row r="102" spans="2:29" s="2" customFormat="1" ht="13" x14ac:dyDescent="0.3">
      <c r="B102" s="101"/>
      <c r="C102" s="485"/>
      <c r="D102" s="485"/>
      <c r="E102" s="485"/>
      <c r="F102" s="463"/>
      <c r="G102" s="463"/>
      <c r="H102" s="476" t="str">
        <f>IF($H$100=$F$100,"Ok","Error")</f>
        <v>Ok</v>
      </c>
      <c r="I102" s="123" t="str">
        <f>IF(B102="","",AVERAGE(C102:H102))</f>
        <v/>
      </c>
      <c r="J102" s="467" t="str">
        <f>IFERROR(RANK($I102,$I$56:$I$102),"")</f>
        <v/>
      </c>
      <c r="L102" s="408"/>
      <c r="M102" s="257"/>
      <c r="N102" s="101"/>
      <c r="Q102" s="131"/>
      <c r="R102" s="476" t="str">
        <f>IF($R$100=$O$100,"Ok","Error")</f>
        <v>Ok</v>
      </c>
      <c r="V102" s="476"/>
    </row>
    <row r="103" spans="2:29" s="18" customFormat="1" ht="15.65" customHeight="1" x14ac:dyDescent="0.25">
      <c r="B103" s="18" t="s">
        <v>209</v>
      </c>
    </row>
    <row r="105" spans="2:29" ht="13" x14ac:dyDescent="0.25">
      <c r="B105" s="429" t="s">
        <v>210</v>
      </c>
    </row>
    <row r="107" spans="2:29" ht="13" x14ac:dyDescent="0.25">
      <c r="B107" s="48" t="s">
        <v>211</v>
      </c>
      <c r="C107" s="105" t="s">
        <v>70</v>
      </c>
      <c r="D107" s="105" t="s">
        <v>72</v>
      </c>
      <c r="E107" s="105" t="s">
        <v>212</v>
      </c>
      <c r="F107" s="105" t="s">
        <v>94</v>
      </c>
      <c r="G107" s="105" t="s">
        <v>213</v>
      </c>
    </row>
    <row r="108" spans="2:29" x14ac:dyDescent="0.25">
      <c r="B108" s="184">
        <v>1</v>
      </c>
      <c r="C108" s="184" t="str">
        <f>C130</f>
        <v>Telcel Prepago 1</v>
      </c>
      <c r="D108" s="184" t="str">
        <f t="shared" ref="D108:D117" si="52">I130</f>
        <v>Telcel Pospago 1</v>
      </c>
      <c r="E108" s="184" t="str">
        <f>E148</f>
        <v>Monto 1</v>
      </c>
      <c r="F108" t="str">
        <f>C156</f>
        <v>Portabilidad 1</v>
      </c>
      <c r="G108" t="str" cm="1">
        <f t="array" ref="G108:G112">_xlfn.UNIQUE(J148:J152)</f>
        <v>Telcel Pospago 22</v>
      </c>
    </row>
    <row r="109" spans="2:29" x14ac:dyDescent="0.25">
      <c r="B109" s="184">
        <v>2</v>
      </c>
      <c r="C109" s="184" t="str">
        <f>IF(D130&lt;&gt;C130,D130,E131)</f>
        <v>Telcel Prepago 2</v>
      </c>
      <c r="D109" s="184" t="str">
        <f t="shared" si="52"/>
        <v>Telcel Pospago 5</v>
      </c>
      <c r="E109" s="184" t="str">
        <f>E149</f>
        <v>Monto 2</v>
      </c>
      <c r="F109" t="str">
        <f>C157</f>
        <v>Portabilidad 2</v>
      </c>
      <c r="G109" t="str">
        <v>Telcel Pospago 23</v>
      </c>
    </row>
    <row r="110" spans="2:29" x14ac:dyDescent="0.25">
      <c r="B110" s="184">
        <v>3</v>
      </c>
      <c r="C110" s="184" t="str">
        <f>IF(AND(D130&lt;&gt;C130,C130&lt;&gt;E131,D130&lt;&gt;E131),E131,E132)</f>
        <v>Telcel Prepago 3</v>
      </c>
      <c r="D110" s="184" t="str">
        <f t="shared" si="52"/>
        <v>Telcel Pospago 3</v>
      </c>
      <c r="E110" s="184" t="str">
        <f>E150</f>
        <v>Monto 3</v>
      </c>
      <c r="G110" t="str">
        <v>Telcel Pospago 24</v>
      </c>
    </row>
    <row r="111" spans="2:29" x14ac:dyDescent="0.25">
      <c r="B111" s="184">
        <v>4</v>
      </c>
      <c r="C111" s="184"/>
      <c r="D111" s="184" t="str">
        <f t="shared" si="52"/>
        <v>Telcel Pospago 4</v>
      </c>
      <c r="G111" t="str">
        <v>Telcel Pospago 25</v>
      </c>
    </row>
    <row r="112" spans="2:29" x14ac:dyDescent="0.25">
      <c r="B112" s="184">
        <v>5</v>
      </c>
      <c r="C112" s="184"/>
      <c r="D112" s="184" t="str">
        <f t="shared" si="52"/>
        <v>Telcel Pospago 2</v>
      </c>
      <c r="G112" t="str">
        <v>Telcel Pospago 26</v>
      </c>
    </row>
    <row r="113" spans="2:9" x14ac:dyDescent="0.25">
      <c r="B113" s="184">
        <v>6</v>
      </c>
      <c r="C113" s="184"/>
      <c r="D113" s="184" t="str">
        <f t="shared" si="52"/>
        <v>Telcel Pospago 6</v>
      </c>
    </row>
    <row r="114" spans="2:9" x14ac:dyDescent="0.25">
      <c r="B114" s="184">
        <v>7</v>
      </c>
      <c r="C114" s="184"/>
      <c r="D114" s="184" t="str">
        <f t="shared" si="52"/>
        <v>Telcel Pospago 7</v>
      </c>
    </row>
    <row r="115" spans="2:9" x14ac:dyDescent="0.25">
      <c r="B115" s="184">
        <v>8</v>
      </c>
      <c r="C115" s="184"/>
      <c r="D115" s="184" t="str">
        <f t="shared" si="52"/>
        <v>Telcel Pospago 9</v>
      </c>
    </row>
    <row r="116" spans="2:9" x14ac:dyDescent="0.25">
      <c r="B116" s="184">
        <v>9</v>
      </c>
      <c r="C116" s="184"/>
      <c r="D116" s="184" t="str">
        <f t="shared" si="52"/>
        <v>Telcel Pospago 8</v>
      </c>
    </row>
    <row r="117" spans="2:9" x14ac:dyDescent="0.25">
      <c r="B117" s="184">
        <v>10</v>
      </c>
      <c r="C117" s="184"/>
      <c r="D117" s="184" t="str">
        <f t="shared" si="52"/>
        <v>Telcel Pospago 19</v>
      </c>
    </row>
    <row r="118" spans="2:9" x14ac:dyDescent="0.25">
      <c r="C118" s="184"/>
    </row>
    <row r="119" spans="2:9" x14ac:dyDescent="0.25">
      <c r="C119" s="184"/>
    </row>
    <row r="120" spans="2:9" x14ac:dyDescent="0.25">
      <c r="C120" s="184"/>
    </row>
    <row r="121" spans="2:9" x14ac:dyDescent="0.25">
      <c r="C121" s="184"/>
    </row>
    <row r="122" spans="2:9" x14ac:dyDescent="0.25">
      <c r="C122" s="184"/>
    </row>
    <row r="123" spans="2:9" x14ac:dyDescent="0.25">
      <c r="C123" s="184"/>
    </row>
    <row r="124" spans="2:9" x14ac:dyDescent="0.25">
      <c r="C124" s="184"/>
    </row>
    <row r="125" spans="2:9" ht="13" x14ac:dyDescent="0.25">
      <c r="B125" s="429" t="s">
        <v>210</v>
      </c>
    </row>
    <row r="126" spans="2:9" x14ac:dyDescent="0.25">
      <c r="C126" s="184"/>
    </row>
    <row r="127" spans="2:9" x14ac:dyDescent="0.25">
      <c r="C127" s="184"/>
    </row>
    <row r="128" spans="2:9" ht="13" x14ac:dyDescent="0.25">
      <c r="B128" s="526" t="s">
        <v>214</v>
      </c>
      <c r="C128" s="524" t="s">
        <v>70</v>
      </c>
      <c r="D128" s="524"/>
      <c r="E128" s="525"/>
      <c r="F128" s="526" t="s">
        <v>214</v>
      </c>
      <c r="G128" s="524" t="s">
        <v>72</v>
      </c>
      <c r="H128" s="524"/>
      <c r="I128" s="525"/>
    </row>
    <row r="129" spans="2:9" ht="13" x14ac:dyDescent="0.3">
      <c r="B129" s="519"/>
      <c r="C129" s="226" t="s">
        <v>113</v>
      </c>
      <c r="D129" s="226" t="s">
        <v>129</v>
      </c>
      <c r="E129" s="226" t="s">
        <v>130</v>
      </c>
      <c r="F129" s="519"/>
      <c r="G129" s="226" t="s">
        <v>113</v>
      </c>
      <c r="H129" s="226" t="s">
        <v>129</v>
      </c>
      <c r="I129" s="295" t="s">
        <v>130</v>
      </c>
    </row>
    <row r="130" spans="2:9" x14ac:dyDescent="0.25">
      <c r="B130" s="294">
        <v>1</v>
      </c>
      <c r="C130" t="str">
        <f>IFERROR(INDEX($B$17:$W$22,MATCH($B130,$G$17:$G$22,0),1),"")</f>
        <v>Telcel Prepago 1</v>
      </c>
      <c r="D130" t="str">
        <f>IFERROR(INDEX($B$17:$W$22,MATCH($B130,$Q$17:$Q$22,0),1),"")</f>
        <v>Telcel Prepago 1</v>
      </c>
      <c r="E130" t="str">
        <f>IFERROR(INDEX($B$17:$W$22,MATCH($B130,$W$17:$W$22,0),1),"")</f>
        <v>Telcel Prepago 1</v>
      </c>
      <c r="F130" s="294">
        <v>1</v>
      </c>
      <c r="G130" t="str">
        <f t="shared" ref="G130:G144" si="53">IFERROR(INDEX($B$56:$O$98,MATCH($F130,$G$56:$G$98,0),1),"")</f>
        <v>Telcel Pospago 1</v>
      </c>
      <c r="H130" t="str">
        <f>IFERROR(INDEX($B$56:$O$98,MATCH($F130,$Q$56:$Q$98,0),1),"")</f>
        <v>Telcel Pospago 5</v>
      </c>
      <c r="I130" s="296" t="str">
        <f>IFERROR(INDEX($B$56:$O$98,MATCH($F130,$W$56:$W$98,0),1),"")</f>
        <v>Telcel Pospago 1</v>
      </c>
    </row>
    <row r="131" spans="2:9" x14ac:dyDescent="0.25">
      <c r="B131" s="294">
        <v>2</v>
      </c>
      <c r="C131" t="str">
        <f t="shared" ref="C131:C144" si="54">IFERROR(INDEX($B$17:$W$22,MATCH($B131,$G$17:$G$22,0),1),"")</f>
        <v>Telcel Prepago 2</v>
      </c>
      <c r="D131" t="str">
        <f t="shared" ref="D131:D144" si="55">IFERROR(INDEX($B$17:$W$22,MATCH($B131,$Q$17:$Q$22,0),1),"")</f>
        <v>Telcel Prepago 2</v>
      </c>
      <c r="E131" t="str">
        <f t="shared" ref="E131:E144" si="56">IFERROR(INDEX($B$17:$W$22,MATCH($B131,$W$17:$W$22,0),1),"")</f>
        <v>Telcel Prepago 2</v>
      </c>
      <c r="F131" s="294">
        <v>2</v>
      </c>
      <c r="G131" t="str">
        <f t="shared" si="53"/>
        <v>Telcel Pospago 3</v>
      </c>
      <c r="H131" t="str">
        <f t="shared" ref="H131:H144" si="57">IFERROR(INDEX($B$56:$O$98,MATCH($F131,$Q$56:$Q$98,0),1),"")</f>
        <v>Telcel Pospago 2</v>
      </c>
      <c r="I131" s="296" t="str">
        <f t="shared" ref="I131:I144" si="58">IFERROR(INDEX($B$56:$O$98,MATCH($F131,$W$56:$W$98,0),1),"")</f>
        <v>Telcel Pospago 5</v>
      </c>
    </row>
    <row r="132" spans="2:9" x14ac:dyDescent="0.25">
      <c r="B132" s="294">
        <v>3</v>
      </c>
      <c r="C132" t="str">
        <f t="shared" si="54"/>
        <v>Telcel Prepago 3</v>
      </c>
      <c r="D132" t="str">
        <f t="shared" si="55"/>
        <v>Telcel Prepago 3</v>
      </c>
      <c r="E132" t="str">
        <f t="shared" si="56"/>
        <v>Telcel Prepago 3</v>
      </c>
      <c r="F132" s="294">
        <v>3</v>
      </c>
      <c r="G132" t="str">
        <f t="shared" si="53"/>
        <v>Telcel Pospago 4</v>
      </c>
      <c r="H132" t="str">
        <f t="shared" si="57"/>
        <v>Telcel Pospago 4</v>
      </c>
      <c r="I132" s="296" t="str">
        <f t="shared" si="58"/>
        <v>Telcel Pospago 3</v>
      </c>
    </row>
    <row r="133" spans="2:9" x14ac:dyDescent="0.25">
      <c r="B133" s="294">
        <v>4</v>
      </c>
      <c r="C133" t="str">
        <f t="shared" si="54"/>
        <v/>
      </c>
      <c r="D133" t="str">
        <f t="shared" si="55"/>
        <v/>
      </c>
      <c r="E133" t="str">
        <f t="shared" si="56"/>
        <v/>
      </c>
      <c r="F133" s="294">
        <v>4</v>
      </c>
      <c r="G133" t="str">
        <f t="shared" si="53"/>
        <v>Telcel Pospago 2</v>
      </c>
      <c r="H133" t="str">
        <f t="shared" si="57"/>
        <v>Telcel Pospago 3</v>
      </c>
      <c r="I133" s="296" t="str">
        <f t="shared" si="58"/>
        <v>Telcel Pospago 4</v>
      </c>
    </row>
    <row r="134" spans="2:9" x14ac:dyDescent="0.25">
      <c r="B134" s="294">
        <v>5</v>
      </c>
      <c r="C134" t="str">
        <f t="shared" si="54"/>
        <v/>
      </c>
      <c r="D134" t="str">
        <f t="shared" si="55"/>
        <v/>
      </c>
      <c r="E134" t="str">
        <f t="shared" si="56"/>
        <v/>
      </c>
      <c r="F134" s="294">
        <v>5</v>
      </c>
      <c r="G134" t="str">
        <f t="shared" si="53"/>
        <v>Telcel Pospago 7</v>
      </c>
      <c r="H134" t="str">
        <f t="shared" si="57"/>
        <v>Telcel Pospago 6</v>
      </c>
      <c r="I134" s="296" t="str">
        <f t="shared" si="58"/>
        <v>Telcel Pospago 2</v>
      </c>
    </row>
    <row r="135" spans="2:9" x14ac:dyDescent="0.25">
      <c r="B135" s="294">
        <v>6</v>
      </c>
      <c r="C135" t="str">
        <f t="shared" si="54"/>
        <v/>
      </c>
      <c r="D135" t="str">
        <f t="shared" si="55"/>
        <v/>
      </c>
      <c r="E135" t="str">
        <f t="shared" si="56"/>
        <v/>
      </c>
      <c r="F135" s="294">
        <v>6</v>
      </c>
      <c r="G135" t="str">
        <f t="shared" si="53"/>
        <v>Telcel Pospago 5</v>
      </c>
      <c r="H135" t="str">
        <f t="shared" si="57"/>
        <v>Telcel Pospago 1</v>
      </c>
      <c r="I135" s="296" t="str">
        <f t="shared" si="58"/>
        <v>Telcel Pospago 6</v>
      </c>
    </row>
    <row r="136" spans="2:9" x14ac:dyDescent="0.25">
      <c r="B136" s="294">
        <v>7</v>
      </c>
      <c r="C136" t="str">
        <f t="shared" si="54"/>
        <v/>
      </c>
      <c r="D136" t="str">
        <f t="shared" si="55"/>
        <v/>
      </c>
      <c r="E136" t="str">
        <f t="shared" si="56"/>
        <v/>
      </c>
      <c r="F136" s="294">
        <v>7</v>
      </c>
      <c r="G136" t="str">
        <f t="shared" si="53"/>
        <v>Telcel Pospago 9</v>
      </c>
      <c r="H136" t="str">
        <f t="shared" si="57"/>
        <v>Telcel Pospago 7</v>
      </c>
      <c r="I136" s="296" t="str">
        <f t="shared" si="58"/>
        <v>Telcel Pospago 7</v>
      </c>
    </row>
    <row r="137" spans="2:9" x14ac:dyDescent="0.25">
      <c r="B137" s="294">
        <v>8</v>
      </c>
      <c r="C137" t="str">
        <f t="shared" si="54"/>
        <v/>
      </c>
      <c r="D137" t="str">
        <f t="shared" si="55"/>
        <v/>
      </c>
      <c r="E137" t="str">
        <f t="shared" si="56"/>
        <v/>
      </c>
      <c r="F137" s="294">
        <v>8</v>
      </c>
      <c r="G137" t="str">
        <f t="shared" si="53"/>
        <v>Telcel Pospago 8</v>
      </c>
      <c r="H137" s="15" t="str">
        <f>IFERROR(INDEX($B$56:$O$98,MATCH($F137,$Q$56:$Q$98,0),1),"")</f>
        <v>Telcel Pospago 19</v>
      </c>
      <c r="I137" s="296" t="str">
        <f t="shared" si="58"/>
        <v>Telcel Pospago 9</v>
      </c>
    </row>
    <row r="138" spans="2:9" x14ac:dyDescent="0.25">
      <c r="B138" s="294">
        <v>9</v>
      </c>
      <c r="C138" t="str">
        <f t="shared" si="54"/>
        <v/>
      </c>
      <c r="D138" t="str">
        <f t="shared" si="55"/>
        <v/>
      </c>
      <c r="E138" t="str">
        <f t="shared" si="56"/>
        <v/>
      </c>
      <c r="F138" s="294">
        <v>9</v>
      </c>
      <c r="G138" t="str">
        <f t="shared" si="53"/>
        <v>Telcel Pospago 21</v>
      </c>
      <c r="H138" t="str">
        <f t="shared" si="57"/>
        <v>Telcel Pospago 12</v>
      </c>
      <c r="I138" s="296" t="str">
        <f t="shared" si="58"/>
        <v>Telcel Pospago 8</v>
      </c>
    </row>
    <row r="139" spans="2:9" x14ac:dyDescent="0.25">
      <c r="B139" s="294">
        <v>10</v>
      </c>
      <c r="C139" t="str">
        <f t="shared" si="54"/>
        <v/>
      </c>
      <c r="D139" t="str">
        <f t="shared" si="55"/>
        <v/>
      </c>
      <c r="E139" t="str">
        <f t="shared" si="56"/>
        <v/>
      </c>
      <c r="F139" s="294">
        <v>10</v>
      </c>
      <c r="G139" t="str">
        <f t="shared" si="53"/>
        <v>Telcel Pospago 20</v>
      </c>
      <c r="H139" t="str">
        <f t="shared" si="57"/>
        <v>Telcel Pospago 43</v>
      </c>
      <c r="I139" s="296" t="str">
        <f t="shared" si="58"/>
        <v>Telcel Pospago 19</v>
      </c>
    </row>
    <row r="140" spans="2:9" x14ac:dyDescent="0.25">
      <c r="B140" s="294">
        <v>11</v>
      </c>
      <c r="C140" t="str">
        <f t="shared" si="54"/>
        <v/>
      </c>
      <c r="D140" t="str">
        <f t="shared" si="55"/>
        <v/>
      </c>
      <c r="E140" t="str">
        <f t="shared" si="56"/>
        <v/>
      </c>
      <c r="F140" s="294">
        <v>11</v>
      </c>
      <c r="G140" t="str">
        <f t="shared" si="53"/>
        <v>Telcel Pospago 19</v>
      </c>
      <c r="H140" t="str">
        <f t="shared" si="57"/>
        <v>Telcel Pospago 42</v>
      </c>
      <c r="I140" s="296" t="str">
        <f t="shared" si="58"/>
        <v>Telcel Pospago 12</v>
      </c>
    </row>
    <row r="141" spans="2:9" x14ac:dyDescent="0.25">
      <c r="B141" s="294">
        <v>12</v>
      </c>
      <c r="C141" t="str">
        <f t="shared" si="54"/>
        <v/>
      </c>
      <c r="D141" t="str">
        <f t="shared" si="55"/>
        <v/>
      </c>
      <c r="E141" t="str">
        <f t="shared" si="56"/>
        <v/>
      </c>
      <c r="F141" s="294">
        <v>12</v>
      </c>
      <c r="G141" t="str">
        <f t="shared" si="53"/>
        <v>Telcel Pospago 18</v>
      </c>
      <c r="H141" t="str">
        <f t="shared" si="57"/>
        <v>Telcel Pospago 41</v>
      </c>
      <c r="I141" s="296" t="str">
        <f t="shared" si="58"/>
        <v>Telcel Pospago 21</v>
      </c>
    </row>
    <row r="142" spans="2:9" x14ac:dyDescent="0.25">
      <c r="B142" s="294">
        <v>13</v>
      </c>
      <c r="C142" t="str">
        <f t="shared" si="54"/>
        <v/>
      </c>
      <c r="D142" t="str">
        <f t="shared" si="55"/>
        <v/>
      </c>
      <c r="E142" t="str">
        <f t="shared" si="56"/>
        <v/>
      </c>
      <c r="F142" s="294">
        <v>13</v>
      </c>
      <c r="G142" t="str">
        <f t="shared" si="53"/>
        <v>Telcel Pospago 17</v>
      </c>
      <c r="H142" t="str">
        <f t="shared" si="57"/>
        <v>Telcel Pospago 40</v>
      </c>
      <c r="I142" s="296" t="str">
        <f t="shared" si="58"/>
        <v>Telcel Pospago 20</v>
      </c>
    </row>
    <row r="143" spans="2:9" x14ac:dyDescent="0.25">
      <c r="B143" s="294">
        <v>14</v>
      </c>
      <c r="C143" t="str">
        <f t="shared" si="54"/>
        <v/>
      </c>
      <c r="D143" t="str">
        <f t="shared" si="55"/>
        <v/>
      </c>
      <c r="E143" t="str">
        <f t="shared" si="56"/>
        <v/>
      </c>
      <c r="F143" s="294">
        <v>14</v>
      </c>
      <c r="G143" t="str">
        <f t="shared" si="53"/>
        <v>Telcel Pospago 16</v>
      </c>
      <c r="H143" t="str">
        <f t="shared" si="57"/>
        <v>Telcel Pospago 39</v>
      </c>
      <c r="I143" s="296" t="str">
        <f t="shared" si="58"/>
        <v>Telcel Pospago 18</v>
      </c>
    </row>
    <row r="144" spans="2:9" x14ac:dyDescent="0.25">
      <c r="B144" s="297">
        <v>15</v>
      </c>
      <c r="C144" s="208" t="str">
        <f t="shared" si="54"/>
        <v/>
      </c>
      <c r="D144" s="208" t="str">
        <f t="shared" si="55"/>
        <v/>
      </c>
      <c r="E144" s="208" t="str">
        <f t="shared" si="56"/>
        <v/>
      </c>
      <c r="F144" s="297">
        <v>15</v>
      </c>
      <c r="G144" s="208" t="str">
        <f t="shared" si="53"/>
        <v>Telcel Pospago 15</v>
      </c>
      <c r="H144" s="208" t="str">
        <f t="shared" si="57"/>
        <v>Telcel Pospago 38</v>
      </c>
      <c r="I144" s="298" t="str">
        <f t="shared" si="58"/>
        <v>Telcel Pospago 17</v>
      </c>
    </row>
    <row r="146" spans="2:10" ht="13" x14ac:dyDescent="0.25">
      <c r="B146" s="518" t="s">
        <v>214</v>
      </c>
      <c r="C146" s="516" t="s">
        <v>215</v>
      </c>
      <c r="D146" s="516"/>
      <c r="E146" s="517"/>
      <c r="F146" s="518" t="s">
        <v>214</v>
      </c>
      <c r="G146" s="516" t="s">
        <v>213</v>
      </c>
      <c r="H146" s="516"/>
      <c r="I146" s="517"/>
      <c r="J146" s="430"/>
    </row>
    <row r="147" spans="2:10" ht="13" x14ac:dyDescent="0.3">
      <c r="B147" s="519"/>
      <c r="C147" s="226" t="s">
        <v>113</v>
      </c>
      <c r="D147" s="226" t="s">
        <v>129</v>
      </c>
      <c r="E147" s="295" t="s">
        <v>130</v>
      </c>
      <c r="F147" s="519"/>
      <c r="G147" s="226" t="s">
        <v>213</v>
      </c>
      <c r="H147" s="226" t="s">
        <v>130</v>
      </c>
      <c r="I147" s="295" t="s">
        <v>216</v>
      </c>
      <c r="J147" s="433" t="s">
        <v>210</v>
      </c>
    </row>
    <row r="148" spans="2:10" x14ac:dyDescent="0.25">
      <c r="B148" s="294">
        <v>1</v>
      </c>
      <c r="C148" t="str">
        <f>IFERROR(INDEX($B$28:$W$34,MATCH($B148,$G$28:$G$34,0),1),"")</f>
        <v>Monto 1</v>
      </c>
      <c r="D148" t="str">
        <f>IFERROR(INDEX($B$28:$W$34,MATCH($B148,$Q$28:$Q$34,0),1),"")</f>
        <v>Monto 1</v>
      </c>
      <c r="E148" s="296" t="str">
        <f>IFERROR(INDEX($B$28:$W$34,MATCH($B148,$W$28:$W$34,0),1),"")</f>
        <v>Monto 1</v>
      </c>
      <c r="F148" s="294">
        <v>1</v>
      </c>
      <c r="G148" t="str">
        <f>IFERROR(INDEX($B$56:$H$98,MATCH($F148,$AC$56:$AC$98,0),1),"")</f>
        <v>Telcel Pospago 22</v>
      </c>
      <c r="H148" t="str">
        <f>I130</f>
        <v>Telcel Pospago 1</v>
      </c>
      <c r="I148" s="296" t="str">
        <f t="shared" ref="I148:I153" si="59">IFERROR(VLOOKUP(G148,$H$148:$H$157,1,FALSE),"No Encontrado")</f>
        <v>No Encontrado</v>
      </c>
      <c r="J148" s="431" t="str" cm="1">
        <f t="array" ref="J148">_xlfn.IFS(I148="No encontrado",G148,I149="No encontrado",G149,I150="No encontrado",G150,I151="No encontrado",G151,I152="No encontrado",G152,I152&lt;&gt;"No encontrado","")</f>
        <v>Telcel Pospago 22</v>
      </c>
    </row>
    <row r="149" spans="2:10" x14ac:dyDescent="0.25">
      <c r="B149" s="294">
        <v>2</v>
      </c>
      <c r="C149" t="str">
        <f>IFERROR(INDEX($B$28:$W$34,MATCH($B149,$G$28:$G$34,0),1),"")</f>
        <v>Monto 2</v>
      </c>
      <c r="D149" t="str">
        <f>IFERROR(INDEX($B$28:$W$34,MATCH($B149,$Q$28:$Q$34,0),1),"")</f>
        <v>Monto 2</v>
      </c>
      <c r="E149" s="296" t="str">
        <f>IFERROR(INDEX($B$28:$W$34,MATCH($B149,$W$28:$W$34,0),1),"")</f>
        <v>Monto 2</v>
      </c>
      <c r="F149" s="294">
        <v>2</v>
      </c>
      <c r="G149" t="str">
        <f>IFERROR(INDEX($B$56:$H$98,MATCH($F149,$AC$56:$AC$98,0),1),"")</f>
        <v>Telcel Pospago 23</v>
      </c>
      <c r="H149" t="str">
        <f t="shared" ref="H149:H157" si="60">I131</f>
        <v>Telcel Pospago 5</v>
      </c>
      <c r="I149" s="296" t="str">
        <f t="shared" si="59"/>
        <v>No Encontrado</v>
      </c>
      <c r="J149" s="431" t="str" cm="1">
        <f t="array" ref="J149">_xlfn.IFS(I149="No encontrado",G149,I150="No encontrado",G150,I151="No encontrado",G151,I152="No encontrado",G152,I152&lt;&gt;"No encontrado","")</f>
        <v>Telcel Pospago 23</v>
      </c>
    </row>
    <row r="150" spans="2:10" x14ac:dyDescent="0.25">
      <c r="B150" s="294">
        <v>3</v>
      </c>
      <c r="C150" t="str">
        <f>IFERROR(INDEX($B$28:$W$34,MATCH($B150,$G$28:$G$34,0),1),"")</f>
        <v>Monto 3</v>
      </c>
      <c r="D150" t="str">
        <f>IFERROR(INDEX($B$28:$W$34,MATCH($B150,$Q$28:$Q$34,0),1),"")</f>
        <v>Monto 3</v>
      </c>
      <c r="E150" s="296" t="str">
        <f>IFERROR(INDEX($B$28:$W$34,MATCH($B150,$W$28:$W$34,0),1),"")</f>
        <v>Monto 3</v>
      </c>
      <c r="F150" s="294">
        <v>3</v>
      </c>
      <c r="G150" t="str">
        <f>IFERROR(INDEX($B$56:$H$98,MATCH($F150,$AC$56:$AC$98,0),1),"")</f>
        <v>Telcel Pospago 24</v>
      </c>
      <c r="H150" t="str">
        <f t="shared" si="60"/>
        <v>Telcel Pospago 3</v>
      </c>
      <c r="I150" s="296" t="str">
        <f t="shared" si="59"/>
        <v>No Encontrado</v>
      </c>
      <c r="J150" s="431" t="str" cm="1">
        <f t="array" ref="J150">_xlfn.IFS(I150="No encontrado",G150,I151="No encontrado",G151,I152="No encontrado",G152,I152&lt;&gt;"No encontrado","")</f>
        <v>Telcel Pospago 24</v>
      </c>
    </row>
    <row r="151" spans="2:10" x14ac:dyDescent="0.25">
      <c r="B151" s="294">
        <v>4</v>
      </c>
      <c r="C151" t="str">
        <f>IFERROR(INDEX($B$28:$W$34,MATCH($B151,$G$28:$G$34,0),1),"")</f>
        <v>Monto 4</v>
      </c>
      <c r="D151" t="str">
        <f>IFERROR(INDEX($B$28:$W$34,MATCH($B151,$Q$28:$Q$34,0),1),"")</f>
        <v>Monto 4</v>
      </c>
      <c r="E151" s="296" t="str">
        <f>IFERROR(INDEX($B$28:$W$34,MATCH($B151,$W$28:$W$34,0),1),"")</f>
        <v>Monto 4</v>
      </c>
      <c r="F151" s="294">
        <v>4</v>
      </c>
      <c r="G151" t="str">
        <f>IFERROR(INDEX($B$56:$H$98,MATCH($F151,$AC$56:$AC$98,0),1),"")</f>
        <v>Telcel Pospago 25</v>
      </c>
      <c r="H151" t="str">
        <f t="shared" si="60"/>
        <v>Telcel Pospago 4</v>
      </c>
      <c r="I151" s="296" t="str">
        <f t="shared" si="59"/>
        <v>No Encontrado</v>
      </c>
      <c r="J151" s="431" t="str" cm="1">
        <f t="array" ref="J151">_xlfn.IFS(I151="No encontrado",G151,I152="No encontrado",G152,I152&lt;&gt;"No encontrado","")</f>
        <v>Telcel Pospago 25</v>
      </c>
    </row>
    <row r="152" spans="2:10" x14ac:dyDescent="0.25">
      <c r="B152" s="297">
        <v>5</v>
      </c>
      <c r="C152" s="208" t="str">
        <f>IFERROR(INDEX($B$28:$W$34,MATCH($B152,$G$28:$G$34,0),1),"")</f>
        <v>Monto 5</v>
      </c>
      <c r="D152" s="208" t="str">
        <f>IFERROR(INDEX($B$28:$W$34,MATCH($B152,$Q$28:$Q$34,0),1),"")</f>
        <v>Monto 5</v>
      </c>
      <c r="E152" s="298" t="str">
        <f>IFERROR(INDEX($B$28:$W$34,MATCH($B152,$W$28:$W$34,0),1),"")</f>
        <v>Monto 5</v>
      </c>
      <c r="F152" s="294">
        <v>5</v>
      </c>
      <c r="G152" t="str">
        <f>IFERROR(INDEX($B$56:$H$98,MATCH($F152,$AC$56:$AC$98,0),1),"")</f>
        <v>Telcel Pospago 26</v>
      </c>
      <c r="H152" t="str">
        <f t="shared" si="60"/>
        <v>Telcel Pospago 2</v>
      </c>
      <c r="I152" s="296" t="str">
        <f t="shared" si="59"/>
        <v>No Encontrado</v>
      </c>
      <c r="J152" s="431" t="str" cm="1">
        <f t="array" ref="J152">_xlfn.IFS(I152="No encontrado",G152,I152&lt;&gt;"No encontrado","")</f>
        <v>Telcel Pospago 26</v>
      </c>
    </row>
    <row r="153" spans="2:10" x14ac:dyDescent="0.25">
      <c r="F153" s="294">
        <v>6</v>
      </c>
      <c r="H153" t="str">
        <f t="shared" si="60"/>
        <v>Telcel Pospago 6</v>
      </c>
      <c r="I153" s="296" t="str">
        <f t="shared" si="59"/>
        <v>No Encontrado</v>
      </c>
      <c r="J153" s="431"/>
    </row>
    <row r="154" spans="2:10" ht="13" x14ac:dyDescent="0.25">
      <c r="B154" s="518" t="s">
        <v>214</v>
      </c>
      <c r="C154" s="516" t="s">
        <v>94</v>
      </c>
      <c r="D154" s="516"/>
      <c r="E154" s="517"/>
      <c r="F154" s="294">
        <v>7</v>
      </c>
      <c r="H154" t="str">
        <f t="shared" si="60"/>
        <v>Telcel Pospago 7</v>
      </c>
      <c r="I154" s="296"/>
      <c r="J154" s="431"/>
    </row>
    <row r="155" spans="2:10" ht="13" x14ac:dyDescent="0.3">
      <c r="B155" s="519"/>
      <c r="C155" s="226" t="s">
        <v>113</v>
      </c>
      <c r="D155" s="226"/>
      <c r="E155" s="295"/>
      <c r="F155" s="294">
        <v>8</v>
      </c>
      <c r="H155" t="str">
        <f t="shared" si="60"/>
        <v>Telcel Pospago 9</v>
      </c>
      <c r="I155" s="296"/>
      <c r="J155" s="431"/>
    </row>
    <row r="156" spans="2:10" x14ac:dyDescent="0.25">
      <c r="B156" s="294">
        <v>1</v>
      </c>
      <c r="C156" t="str">
        <f>IFERROR(INDEX($B$42:$G$48,MATCH($B156,$G$42:$G$48,0),1),"")</f>
        <v>Portabilidad 1</v>
      </c>
      <c r="E156" s="296"/>
      <c r="F156" s="294">
        <v>9</v>
      </c>
      <c r="H156" t="str">
        <f t="shared" si="60"/>
        <v>Telcel Pospago 8</v>
      </c>
      <c r="I156" s="296"/>
      <c r="J156" s="431"/>
    </row>
    <row r="157" spans="2:10" x14ac:dyDescent="0.25">
      <c r="B157" s="294">
        <v>2</v>
      </c>
      <c r="C157" t="str">
        <f>IFERROR(INDEX($B$42:$G$48,MATCH($B157,$G$42:$G$48,0),1),"")</f>
        <v>Portabilidad 2</v>
      </c>
      <c r="E157" s="296"/>
      <c r="F157" s="294">
        <v>10</v>
      </c>
      <c r="H157" t="str">
        <f t="shared" si="60"/>
        <v>Telcel Pospago 19</v>
      </c>
      <c r="I157" s="296"/>
      <c r="J157" s="431"/>
    </row>
    <row r="158" spans="2:10" x14ac:dyDescent="0.25">
      <c r="B158" s="294">
        <v>3</v>
      </c>
      <c r="C158" t="str">
        <f>IFERROR(INDEX($B$42:$G$48,MATCH($B158,$G$42:$G$48,0),1),"")</f>
        <v>Portabilidad 3</v>
      </c>
      <c r="E158" s="296"/>
      <c r="F158" s="294"/>
      <c r="I158" s="296"/>
      <c r="J158" s="431"/>
    </row>
    <row r="159" spans="2:10" x14ac:dyDescent="0.25">
      <c r="B159" s="294">
        <v>4</v>
      </c>
      <c r="C159" t="str">
        <f>IFERROR(INDEX($B$42:$G$48,MATCH($B159,$G$42:$G$48,0),1),"")</f>
        <v>Portabilidad 4</v>
      </c>
      <c r="E159" s="296"/>
      <c r="F159" s="294"/>
      <c r="I159" s="296"/>
      <c r="J159" s="431"/>
    </row>
    <row r="160" spans="2:10" x14ac:dyDescent="0.25">
      <c r="B160" s="297">
        <v>5</v>
      </c>
      <c r="C160" s="208" t="str">
        <f>IFERROR(INDEX($B$42:$G$48,MATCH($B160,$G$42:$G$48,0),1),"")</f>
        <v>Portabilidad 5</v>
      </c>
      <c r="D160" s="208"/>
      <c r="E160" s="298"/>
      <c r="F160" s="294"/>
      <c r="I160" s="296"/>
      <c r="J160" s="431"/>
    </row>
    <row r="161" spans="6:10" x14ac:dyDescent="0.25">
      <c r="F161" s="294"/>
      <c r="I161" s="296"/>
      <c r="J161" s="431"/>
    </row>
    <row r="162" spans="6:10" x14ac:dyDescent="0.25">
      <c r="F162" s="297"/>
      <c r="G162" s="208"/>
      <c r="H162" s="208"/>
      <c r="I162" s="298"/>
      <c r="J162" s="432"/>
    </row>
  </sheetData>
  <mergeCells count="15">
    <mergeCell ref="AB8:AD8"/>
    <mergeCell ref="K8:T8"/>
    <mergeCell ref="V8:X8"/>
    <mergeCell ref="B6:F6"/>
    <mergeCell ref="C128:E128"/>
    <mergeCell ref="B128:B129"/>
    <mergeCell ref="G128:I128"/>
    <mergeCell ref="F128:F129"/>
    <mergeCell ref="B8:H8"/>
    <mergeCell ref="G146:I146"/>
    <mergeCell ref="B146:B147"/>
    <mergeCell ref="C146:E146"/>
    <mergeCell ref="B154:B155"/>
    <mergeCell ref="C154:E154"/>
    <mergeCell ref="F146:F147"/>
  </mergeCells>
  <phoneticPr fontId="64" type="noConversion"/>
  <conditionalFormatting sqref="H26">
    <cfRule type="containsText" dxfId="44" priority="4" operator="containsText" text="Error">
      <formula>NOT(ISERROR(SEARCH("Error",H26)))</formula>
    </cfRule>
    <cfRule type="containsText" dxfId="43" priority="5" operator="containsText" text="Ok">
      <formula>NOT(ISERROR(SEARCH("Ok",H26)))</formula>
    </cfRule>
    <cfRule type="expression" dxfId="42" priority="6">
      <formula>"Ok"</formula>
    </cfRule>
  </conditionalFormatting>
  <conditionalFormatting sqref="H39:H40 H53 R102 V102">
    <cfRule type="containsText" dxfId="41" priority="34" operator="containsText" text="Ok">
      <formula>NOT(ISERROR(SEARCH("Ok",H39)))</formula>
    </cfRule>
    <cfRule type="expression" dxfId="40" priority="35">
      <formula>"Ok"</formula>
    </cfRule>
  </conditionalFormatting>
  <conditionalFormatting sqref="H102">
    <cfRule type="containsText" dxfId="39" priority="15" operator="containsText" text="Error">
      <formula>NOT(ISERROR(SEARCH("Error",H102)))</formula>
    </cfRule>
    <cfRule type="containsText" dxfId="38" priority="16" operator="containsText" text="Ok">
      <formula>NOT(ISERROR(SEARCH("Ok",H102)))</formula>
    </cfRule>
    <cfRule type="expression" dxfId="37" priority="17">
      <formula>"Ok"</formula>
    </cfRule>
  </conditionalFormatting>
  <conditionalFormatting sqref="I12">
    <cfRule type="containsText" dxfId="36" priority="18" operator="containsText" text="Error">
      <formula>NOT(ISERROR(SEARCH("Error",I12)))</formula>
    </cfRule>
    <cfRule type="containsText" dxfId="35" priority="19" operator="containsText" text="Ok">
      <formula>NOT(ISERROR(SEARCH("Ok",I12)))</formula>
    </cfRule>
    <cfRule type="expression" dxfId="34" priority="20">
      <formula>"Ok"</formula>
    </cfRule>
  </conditionalFormatting>
  <conditionalFormatting sqref="Q17:X22 Q23:W23 Q24:X26 Q28:S35 U28:X35 Q36 S36 U36:W36 Q37:X40 Q42:X49 Q50 S50 U50:W50 Q51:X97 P98:X98 M99:N99 P99:P100 R100:S100 O101:S102 V101:V102">
    <cfRule type="containsText" dxfId="33" priority="13" operator="containsText" text="Ok">
      <formula>NOT(ISERROR(SEARCH("Ok",M17)))</formula>
    </cfRule>
  </conditionalFormatting>
  <conditionalFormatting sqref="Q24:X26 Q17:X22 Q23:W23 Q28:S35 U28:X35 Q36 S36 U36:W36 Q37:X40 Q42:X49 Q50 S50 U50:W50 Q51:X97 P98:X98 M99:N99 P99:P100 R100:S100 O101:S102 V101:V102">
    <cfRule type="containsText" dxfId="32" priority="12" operator="containsText" text="Error">
      <formula>NOT(ISERROR(SEARCH("Error",M17)))</formula>
    </cfRule>
  </conditionalFormatting>
  <conditionalFormatting sqref="R102 V102 H39:H40 H53">
    <cfRule type="containsText" dxfId="31" priority="33" operator="containsText" text="Error">
      <formula>NOT(ISERROR(SEARCH("Error",H39)))</formula>
    </cfRule>
  </conditionalFormatting>
  <conditionalFormatting sqref="R26:S26">
    <cfRule type="containsText" dxfId="30" priority="1" operator="containsText" text="Error">
      <formula>NOT(ISERROR(SEARCH("Error",R26)))</formula>
    </cfRule>
    <cfRule type="containsText" dxfId="29" priority="2" operator="containsText" text="Ok">
      <formula>NOT(ISERROR(SEARCH("Ok",R26)))</formula>
    </cfRule>
    <cfRule type="expression" dxfId="28" priority="3">
      <formula>"Ok"</formula>
    </cfRule>
  </conditionalFormatting>
  <conditionalFormatting sqref="R39:S40 R53:S53">
    <cfRule type="containsText" dxfId="27" priority="27" operator="containsText" text="Error">
      <formula>NOT(ISERROR(SEARCH("Error",R39)))</formula>
    </cfRule>
    <cfRule type="containsText" dxfId="26" priority="28" operator="containsText" text="Ok">
      <formula>NOT(ISERROR(SEARCH("Ok",R39)))</formula>
    </cfRule>
    <cfRule type="expression" dxfId="25" priority="29">
      <formula>"Ok"</formula>
    </cfRule>
  </conditionalFormatting>
  <conditionalFormatting sqref="X12">
    <cfRule type="containsText" dxfId="24" priority="21" operator="containsText" text="Error">
      <formula>NOT(ISERROR(SEARCH("Error",X12)))</formula>
    </cfRule>
    <cfRule type="containsText" dxfId="23" priority="22" operator="containsText" text="Ok">
      <formula>NOT(ISERROR(SEARCH("Ok",X12)))</formula>
    </cfRule>
    <cfRule type="expression" dxfId="22" priority="23">
      <formula>"Ok"</formula>
    </cfRule>
  </conditionalFormatting>
  <pageMargins left="0.7" right="0.7" top="0.75" bottom="0.75" header="0.3" footer="0.3"/>
  <pageSetup paperSize="9"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3">
    <tabColor theme="7" tint="0.79998168889431442"/>
  </sheetPr>
  <dimension ref="B1:AE188"/>
  <sheetViews>
    <sheetView showGridLines="0" topLeftCell="B86" zoomScale="50" zoomScaleNormal="50" workbookViewId="0">
      <selection activeCell="I93" sqref="I93"/>
    </sheetView>
  </sheetViews>
  <sheetFormatPr baseColWidth="10" defaultColWidth="8.81640625" defaultRowHeight="12.5" x14ac:dyDescent="0.25"/>
  <cols>
    <col min="1" max="1" width="1.81640625" customWidth="1"/>
    <col min="2" max="2" width="31.54296875" customWidth="1"/>
    <col min="3" max="3" width="47.1796875" customWidth="1"/>
    <col min="4" max="4" width="22.54296875" customWidth="1"/>
    <col min="5" max="5" width="4.1796875" customWidth="1"/>
    <col min="6" max="6" width="28.1796875" customWidth="1"/>
    <col min="7" max="8" width="24.54296875" customWidth="1"/>
    <col min="9" max="9" width="22.7265625" customWidth="1"/>
    <col min="10" max="10" width="21.1796875" customWidth="1"/>
    <col min="11" max="16" width="22.1796875" customWidth="1"/>
    <col min="17" max="17" width="36.81640625" bestFit="1" customWidth="1"/>
    <col min="18" max="18" width="34.81640625" bestFit="1" customWidth="1"/>
    <col min="19" max="31" width="29.54296875" bestFit="1" customWidth="1"/>
  </cols>
  <sheetData>
    <row r="1" spans="2:31" s="427" customFormat="1" ht="20" x14ac:dyDescent="0.4">
      <c r="B1" s="427" t="s">
        <v>217</v>
      </c>
    </row>
    <row r="3" spans="2:31" ht="20.149999999999999" customHeight="1" x14ac:dyDescent="0.25">
      <c r="C3" s="14" t="s">
        <v>90</v>
      </c>
      <c r="D3" s="62"/>
      <c r="E3" s="62"/>
    </row>
    <row r="4" spans="2:31" x14ac:dyDescent="0.25">
      <c r="D4" s="2"/>
      <c r="E4" s="2"/>
      <c r="H4" s="537" t="s">
        <v>218</v>
      </c>
      <c r="I4" s="538"/>
      <c r="J4" s="538"/>
      <c r="K4" s="538"/>
      <c r="L4" s="538"/>
      <c r="M4" s="538"/>
      <c r="N4" s="538"/>
      <c r="O4" s="538"/>
      <c r="P4" s="538"/>
      <c r="Q4" s="538"/>
      <c r="R4" s="539"/>
    </row>
    <row r="5" spans="2:31" ht="13" x14ac:dyDescent="0.3">
      <c r="C5" s="16" t="s">
        <v>63</v>
      </c>
      <c r="D5" s="88" t="s">
        <v>64</v>
      </c>
      <c r="E5" s="88"/>
      <c r="F5" s="88" t="s">
        <v>65</v>
      </c>
      <c r="H5" s="540"/>
      <c r="I5" s="541"/>
      <c r="J5" s="541"/>
      <c r="K5" s="541"/>
      <c r="L5" s="541"/>
      <c r="M5" s="541"/>
      <c r="N5" s="541"/>
      <c r="O5" s="541"/>
      <c r="P5" s="541"/>
      <c r="Q5" s="541"/>
      <c r="R5" s="542"/>
    </row>
    <row r="6" spans="2:31" x14ac:dyDescent="0.25">
      <c r="D6" s="85">
        <f>Supuestos!$C$5</f>
        <v>45658</v>
      </c>
      <c r="E6" s="89"/>
      <c r="F6" s="85">
        <f>Supuestos!$C$6</f>
        <v>45747</v>
      </c>
      <c r="H6" s="543"/>
      <c r="I6" s="544"/>
      <c r="J6" s="544"/>
      <c r="K6" s="544"/>
      <c r="L6" s="544"/>
      <c r="M6" s="544"/>
      <c r="N6" s="544"/>
      <c r="O6" s="544"/>
      <c r="P6" s="544"/>
      <c r="Q6" s="544"/>
      <c r="R6" s="545"/>
    </row>
    <row r="8" spans="2:31" s="18" customFormat="1" ht="15.65" customHeight="1" x14ac:dyDescent="0.25">
      <c r="B8" s="18" t="s">
        <v>129</v>
      </c>
    </row>
    <row r="9" spans="2:31" s="46" customFormat="1" ht="15.65" customHeight="1" x14ac:dyDescent="0.25">
      <c r="P9" s="100"/>
    </row>
    <row r="10" spans="2:31" s="46" customFormat="1" ht="27.65" customHeight="1" x14ac:dyDescent="0.3">
      <c r="C10" s="444" t="str">
        <f>CONCATENATE("De ",TEXT($D$6,"dd/mm/aaaa")," a ",TEXT($F$6,"dd/mm/aaaa"))</f>
        <v>De 01/01/2025 a 31/03/2025</v>
      </c>
      <c r="I10" s="531" t="s">
        <v>92</v>
      </c>
      <c r="J10" s="532"/>
      <c r="K10" s="533"/>
      <c r="L10" s="531" t="s">
        <v>93</v>
      </c>
      <c r="M10" s="532"/>
      <c r="N10" s="533"/>
      <c r="O10" s="531" t="s">
        <v>94</v>
      </c>
      <c r="P10" s="532"/>
      <c r="Q10" s="531" t="s">
        <v>95</v>
      </c>
      <c r="R10" s="532"/>
      <c r="S10" s="532"/>
      <c r="T10" s="532"/>
      <c r="U10" s="532"/>
      <c r="V10" s="532"/>
      <c r="W10" s="532"/>
      <c r="X10" s="532"/>
      <c r="Y10" s="532"/>
      <c r="Z10" s="532"/>
      <c r="AA10" s="531" t="s">
        <v>96</v>
      </c>
      <c r="AB10" s="532"/>
      <c r="AC10" s="532"/>
      <c r="AD10" s="532"/>
      <c r="AE10" s="533"/>
    </row>
    <row r="11" spans="2:31" s="2" customFormat="1" ht="39.65" customHeight="1" x14ac:dyDescent="0.25">
      <c r="C11" s="40" t="s">
        <v>84</v>
      </c>
      <c r="D11" s="40" t="s">
        <v>219</v>
      </c>
      <c r="E11" s="40"/>
      <c r="F11" s="117" t="str">
        <f>Supuestos!B$75</f>
        <v>Todos los segmentos</v>
      </c>
      <c r="G11" s="117" t="str">
        <f>Supuestos!B$76</f>
        <v>Segmento Prepago</v>
      </c>
      <c r="H11" s="117" t="str">
        <f>Supuestos!B$77</f>
        <v>Segmento Pospago</v>
      </c>
      <c r="I11" s="117" t="str">
        <f>Supuestos!B$78</f>
        <v>Telcel Prepago 1</v>
      </c>
      <c r="J11" s="117" t="str">
        <f>Supuestos!B$79</f>
        <v>Telcel Prepago 2</v>
      </c>
      <c r="K11" s="117" t="str">
        <f>Supuestos!B$80</f>
        <v>Telcel Prepago 3</v>
      </c>
      <c r="L11" s="117" t="str">
        <f>Supuestos!B91</f>
        <v>Monto 1</v>
      </c>
      <c r="M11" s="117" t="str">
        <f>Supuestos!B92</f>
        <v>Monto 2</v>
      </c>
      <c r="N11" s="117" t="str">
        <f>Supuestos!B93</f>
        <v>Monto 3</v>
      </c>
      <c r="O11" s="117" t="str">
        <f>Supuestos!B94</f>
        <v>Portabilidad 1</v>
      </c>
      <c r="P11" s="117" t="str">
        <f>Supuestos!B95</f>
        <v>Portabilidad 2</v>
      </c>
      <c r="Q11" s="117" t="str">
        <f>Supuestos!$B81</f>
        <v>Telcel Pospago 1</v>
      </c>
      <c r="R11" s="117" t="str">
        <f>Supuestos!$B82</f>
        <v>Telcel Pospago 5</v>
      </c>
      <c r="S11" s="117" t="str">
        <f>Supuestos!$B83</f>
        <v>Telcel Pospago 3</v>
      </c>
      <c r="T11" s="117" t="str">
        <f>Supuestos!$B84</f>
        <v>Telcel Pospago 4</v>
      </c>
      <c r="U11" s="117" t="str">
        <f>Supuestos!$B85</f>
        <v>Telcel Pospago 2</v>
      </c>
      <c r="V11" s="117" t="str">
        <f>Supuestos!$B86</f>
        <v>Telcel Pospago 6</v>
      </c>
      <c r="W11" s="117" t="str">
        <f>Supuestos!$B87</f>
        <v>Telcel Pospago 7</v>
      </c>
      <c r="X11" s="117" t="str">
        <f>Supuestos!$B88</f>
        <v>Telcel Pospago 9</v>
      </c>
      <c r="Y11" s="117" t="str">
        <f>Supuestos!$B89</f>
        <v>Telcel Pospago 8</v>
      </c>
      <c r="Z11" s="117" t="str">
        <f>Supuestos!$B90</f>
        <v>Telcel Pospago 19</v>
      </c>
      <c r="AA11" s="117" t="str">
        <f>IF(ISBLANK(Supuestos!$B96),"No aplica",Supuestos!$B96)</f>
        <v>Telcel Pospago 22</v>
      </c>
      <c r="AB11" s="117" t="str">
        <f>IF(ISBLANK(Supuestos!$B97),"No aplica",Supuestos!$B97)</f>
        <v>Telcel Pospago 23</v>
      </c>
      <c r="AC11" s="117" t="str">
        <f>IF(ISBLANK(Supuestos!$B98),"No aplica",Supuestos!$B98)</f>
        <v>Telcel Pospago 24</v>
      </c>
      <c r="AD11" s="117" t="str">
        <f>IF(ISBLANK(Supuestos!$B99),"No aplica",Supuestos!$B99)</f>
        <v>Telcel Pospago 25</v>
      </c>
      <c r="AE11" s="117" t="str">
        <f>IF(ISBLANK(Supuestos!$B100),"No aplica",Supuestos!$B100)</f>
        <v>Telcel Pospago 26</v>
      </c>
    </row>
    <row r="12" spans="2:31" s="2" customFormat="1" ht="15.65" customHeight="1" x14ac:dyDescent="0.25">
      <c r="C12" s="445" t="s">
        <v>220</v>
      </c>
      <c r="D12" s="446" t="s">
        <v>221</v>
      </c>
      <c r="E12" s="446"/>
      <c r="F12" s="447">
        <f>G12+H12</f>
        <v>20750000000</v>
      </c>
      <c r="G12" s="447">
        <f t="shared" ref="G12:AE12" si="0">SUM(G13:G22)</f>
        <v>12100000000</v>
      </c>
      <c r="H12" s="447">
        <f t="shared" si="0"/>
        <v>8650000000</v>
      </c>
      <c r="I12" s="447">
        <f t="shared" si="0"/>
        <v>4449999999.9999971</v>
      </c>
      <c r="J12" s="447">
        <f t="shared" si="0"/>
        <v>4449999999.9999971</v>
      </c>
      <c r="K12" s="447">
        <f t="shared" si="0"/>
        <v>4449999999.9999971</v>
      </c>
      <c r="L12" s="447">
        <f t="shared" si="0"/>
        <v>1500000000</v>
      </c>
      <c r="M12" s="447">
        <f t="shared" si="0"/>
        <v>1200000000</v>
      </c>
      <c r="N12" s="447">
        <f t="shared" si="0"/>
        <v>1000000000</v>
      </c>
      <c r="O12" s="447">
        <f t="shared" si="0"/>
        <v>250000000</v>
      </c>
      <c r="P12" s="447">
        <f t="shared" si="0"/>
        <v>200000000</v>
      </c>
      <c r="Q12" s="447">
        <f t="shared" si="0"/>
        <v>2716666666.666667</v>
      </c>
      <c r="R12" s="447">
        <f t="shared" si="0"/>
        <v>1816666666.6666632</v>
      </c>
      <c r="S12" s="447">
        <f t="shared" si="0"/>
        <v>1816666666.6666632</v>
      </c>
      <c r="T12" s="447">
        <f t="shared" si="0"/>
        <v>2716666667.333334</v>
      </c>
      <c r="U12" s="447">
        <f t="shared" si="0"/>
        <v>2716666667.333334</v>
      </c>
      <c r="V12" s="447">
        <f t="shared" si="0"/>
        <v>2716666667.333334</v>
      </c>
      <c r="W12" s="447">
        <f t="shared" si="0"/>
        <v>2716666667.333334</v>
      </c>
      <c r="X12" s="447">
        <f t="shared" si="0"/>
        <v>2716666667.333334</v>
      </c>
      <c r="Y12" s="447">
        <f t="shared" si="0"/>
        <v>2716666667.333334</v>
      </c>
      <c r="Z12" s="447">
        <f t="shared" si="0"/>
        <v>2716666667.333334</v>
      </c>
      <c r="AA12" s="447">
        <f t="shared" si="0"/>
        <v>2716666667.333334</v>
      </c>
      <c r="AB12" s="447">
        <f t="shared" si="0"/>
        <v>2716666667.333334</v>
      </c>
      <c r="AC12" s="447">
        <f t="shared" si="0"/>
        <v>2716666667.333334</v>
      </c>
      <c r="AD12" s="447">
        <f t="shared" si="0"/>
        <v>2716666667.333334</v>
      </c>
      <c r="AE12" s="447">
        <f t="shared" si="0"/>
        <v>2716666667.333334</v>
      </c>
    </row>
    <row r="13" spans="2:31" s="2" customFormat="1" x14ac:dyDescent="0.25">
      <c r="C13" s="448" t="s">
        <v>222</v>
      </c>
      <c r="D13" s="47" t="s">
        <v>221</v>
      </c>
      <c r="E13" s="47"/>
      <c r="F13" s="449">
        <v>20000000</v>
      </c>
      <c r="G13" s="449">
        <v>0</v>
      </c>
      <c r="H13" s="449">
        <v>20000000</v>
      </c>
      <c r="I13" s="449">
        <v>0</v>
      </c>
      <c r="J13" s="449">
        <v>0</v>
      </c>
      <c r="K13" s="449">
        <v>0</v>
      </c>
      <c r="L13" s="449">
        <v>0</v>
      </c>
      <c r="M13" s="449">
        <v>0</v>
      </c>
      <c r="N13" s="449">
        <v>0</v>
      </c>
      <c r="O13" s="449">
        <v>0</v>
      </c>
      <c r="P13" s="449">
        <v>0</v>
      </c>
      <c r="Q13" s="449">
        <v>6666666.666666667</v>
      </c>
      <c r="R13" s="449">
        <v>6666666.666666667</v>
      </c>
      <c r="S13" s="449">
        <v>6666666.666666667</v>
      </c>
      <c r="T13" s="449">
        <v>6666666.666666667</v>
      </c>
      <c r="U13" s="449">
        <v>6666666.666666667</v>
      </c>
      <c r="V13" s="449">
        <v>6666666.666666667</v>
      </c>
      <c r="W13" s="449">
        <v>6666666.666666667</v>
      </c>
      <c r="X13" s="449">
        <v>6666666.666666667</v>
      </c>
      <c r="Y13" s="449">
        <v>6666666.666666667</v>
      </c>
      <c r="Z13" s="449">
        <v>6666666.666666667</v>
      </c>
      <c r="AA13" s="449">
        <v>6666666.666666667</v>
      </c>
      <c r="AB13" s="449">
        <v>6666666.666666667</v>
      </c>
      <c r="AC13" s="449">
        <v>6666666.666666667</v>
      </c>
      <c r="AD13" s="449">
        <v>6666666.666666667</v>
      </c>
      <c r="AE13" s="449">
        <v>6666666.666666667</v>
      </c>
    </row>
    <row r="14" spans="2:31" s="2" customFormat="1" x14ac:dyDescent="0.25">
      <c r="C14" s="448" t="s">
        <v>97</v>
      </c>
      <c r="D14" s="47" t="s">
        <v>221</v>
      </c>
      <c r="E14" s="47"/>
      <c r="F14" s="449">
        <v>4500000000</v>
      </c>
      <c r="G14" s="449">
        <v>2500000000</v>
      </c>
      <c r="H14" s="449">
        <v>2000000000</v>
      </c>
      <c r="I14" s="449">
        <v>1000000000</v>
      </c>
      <c r="J14" s="449">
        <v>1000000000</v>
      </c>
      <c r="K14" s="449">
        <v>1000000000</v>
      </c>
      <c r="L14" s="449">
        <v>1000000000</v>
      </c>
      <c r="M14" s="449">
        <v>1000000000</v>
      </c>
      <c r="N14" s="449">
        <v>500000000</v>
      </c>
      <c r="O14" s="449">
        <v>120000000</v>
      </c>
      <c r="P14" s="449">
        <v>90000000</v>
      </c>
      <c r="Q14" s="449">
        <v>300000000</v>
      </c>
      <c r="R14" s="449">
        <v>100000000</v>
      </c>
      <c r="S14" s="449">
        <v>100000000</v>
      </c>
      <c r="T14" s="449">
        <v>0</v>
      </c>
      <c r="U14" s="449">
        <v>0</v>
      </c>
      <c r="V14" s="449">
        <v>0</v>
      </c>
      <c r="W14" s="449">
        <v>0</v>
      </c>
      <c r="X14" s="449">
        <v>0</v>
      </c>
      <c r="Y14" s="449">
        <v>0</v>
      </c>
      <c r="Z14" s="449">
        <v>0</v>
      </c>
      <c r="AA14" s="449">
        <v>0</v>
      </c>
      <c r="AB14" s="449">
        <v>0</v>
      </c>
      <c r="AC14" s="449">
        <v>0</v>
      </c>
      <c r="AD14" s="449">
        <v>0</v>
      </c>
      <c r="AE14" s="449">
        <v>0</v>
      </c>
    </row>
    <row r="15" spans="2:31" s="2" customFormat="1" x14ac:dyDescent="0.25">
      <c r="C15" s="448" t="s">
        <v>98</v>
      </c>
      <c r="D15" s="47" t="s">
        <v>221</v>
      </c>
      <c r="E15" s="47"/>
      <c r="F15" s="449">
        <v>2250000000</v>
      </c>
      <c r="G15" s="449">
        <v>1250000000</v>
      </c>
      <c r="H15" s="449">
        <v>1000000000</v>
      </c>
      <c r="I15" s="449">
        <v>500000000</v>
      </c>
      <c r="J15" s="449">
        <v>500000000</v>
      </c>
      <c r="K15" s="449">
        <v>500000000</v>
      </c>
      <c r="L15" s="449">
        <v>500000000</v>
      </c>
      <c r="M15" s="449">
        <v>200000000</v>
      </c>
      <c r="N15" s="449">
        <v>500000000</v>
      </c>
      <c r="O15" s="449">
        <v>120000000</v>
      </c>
      <c r="P15" s="449">
        <v>100000000</v>
      </c>
      <c r="Q15" s="449">
        <v>0</v>
      </c>
      <c r="R15" s="449">
        <v>0</v>
      </c>
      <c r="S15" s="449">
        <v>0</v>
      </c>
      <c r="T15" s="449">
        <v>100000000</v>
      </c>
      <c r="U15" s="449">
        <v>100000000</v>
      </c>
      <c r="V15" s="449">
        <v>100000000</v>
      </c>
      <c r="W15" s="449">
        <v>100000000</v>
      </c>
      <c r="X15" s="449">
        <v>100000000</v>
      </c>
      <c r="Y15" s="449">
        <v>100000000</v>
      </c>
      <c r="Z15" s="449">
        <v>100000000</v>
      </c>
      <c r="AA15" s="449">
        <v>100000000</v>
      </c>
      <c r="AB15" s="449">
        <v>100000000</v>
      </c>
      <c r="AC15" s="449">
        <v>100000000</v>
      </c>
      <c r="AD15" s="449">
        <v>100000000</v>
      </c>
      <c r="AE15" s="449">
        <v>100000000</v>
      </c>
    </row>
    <row r="16" spans="2:31" s="2" customFormat="1" x14ac:dyDescent="0.25">
      <c r="B16" s="527" t="s">
        <v>223</v>
      </c>
      <c r="C16" s="448" t="s">
        <v>224</v>
      </c>
      <c r="D16" s="47" t="s">
        <v>221</v>
      </c>
      <c r="E16" s="47"/>
      <c r="F16" s="449">
        <v>1080000000</v>
      </c>
      <c r="G16" s="449">
        <v>1000000000</v>
      </c>
      <c r="H16" s="449">
        <v>80000000</v>
      </c>
      <c r="I16" s="449">
        <v>333333333.33333331</v>
      </c>
      <c r="J16" s="449">
        <v>333333333.33333331</v>
      </c>
      <c r="K16" s="449">
        <v>333333333.33333331</v>
      </c>
      <c r="L16" s="449">
        <v>0</v>
      </c>
      <c r="M16" s="449">
        <v>0</v>
      </c>
      <c r="N16" s="449">
        <v>0</v>
      </c>
      <c r="O16" s="449">
        <v>0</v>
      </c>
      <c r="P16" s="449">
        <v>0</v>
      </c>
      <c r="Q16" s="449">
        <v>26666666.666666668</v>
      </c>
      <c r="R16" s="449">
        <v>26666666.666666668</v>
      </c>
      <c r="S16" s="449">
        <v>26666666.666666668</v>
      </c>
      <c r="T16" s="449">
        <v>26666666.666666668</v>
      </c>
      <c r="U16" s="449">
        <v>26666666.666666668</v>
      </c>
      <c r="V16" s="449">
        <v>26666666.666666668</v>
      </c>
      <c r="W16" s="449">
        <v>26666666.666666668</v>
      </c>
      <c r="X16" s="449">
        <v>26666666.666666668</v>
      </c>
      <c r="Y16" s="449">
        <v>26666666.666666668</v>
      </c>
      <c r="Z16" s="449">
        <v>26666666.666666668</v>
      </c>
      <c r="AA16" s="449">
        <v>26666666.666666668</v>
      </c>
      <c r="AB16" s="449">
        <v>26666666.666666668</v>
      </c>
      <c r="AC16" s="449">
        <v>26666666.666666668</v>
      </c>
      <c r="AD16" s="449">
        <v>26666666.666666668</v>
      </c>
      <c r="AE16" s="449">
        <v>26666666.666666668</v>
      </c>
    </row>
    <row r="17" spans="2:31" s="2" customFormat="1" x14ac:dyDescent="0.25">
      <c r="B17" s="527"/>
      <c r="C17" s="448" t="s">
        <v>225</v>
      </c>
      <c r="D17" s="47" t="s">
        <v>221</v>
      </c>
      <c r="E17" s="47"/>
      <c r="F17" s="449">
        <v>1000000000</v>
      </c>
      <c r="G17" s="449">
        <v>500000000</v>
      </c>
      <c r="H17" s="449">
        <v>500000000</v>
      </c>
      <c r="I17" s="449">
        <v>333333333.33332998</v>
      </c>
      <c r="J17" s="449">
        <v>333333333.33332998</v>
      </c>
      <c r="K17" s="449">
        <v>333333333.33332998</v>
      </c>
      <c r="L17" s="449">
        <v>0</v>
      </c>
      <c r="M17" s="449">
        <v>0</v>
      </c>
      <c r="N17" s="449">
        <v>0</v>
      </c>
      <c r="O17" s="449">
        <v>0</v>
      </c>
      <c r="P17" s="449">
        <v>0</v>
      </c>
      <c r="Q17" s="449">
        <v>1000000000</v>
      </c>
      <c r="R17" s="449">
        <v>1000000000</v>
      </c>
      <c r="S17" s="449">
        <v>1000000000</v>
      </c>
      <c r="T17" s="449">
        <v>900000000</v>
      </c>
      <c r="U17" s="449">
        <v>900000000</v>
      </c>
      <c r="V17" s="449">
        <v>900000000</v>
      </c>
      <c r="W17" s="449">
        <v>900000000</v>
      </c>
      <c r="X17" s="449">
        <v>900000000</v>
      </c>
      <c r="Y17" s="449">
        <v>900000000</v>
      </c>
      <c r="Z17" s="449">
        <v>900000000</v>
      </c>
      <c r="AA17" s="449">
        <v>900000000</v>
      </c>
      <c r="AB17" s="449">
        <v>900000000</v>
      </c>
      <c r="AC17" s="449">
        <v>900000000</v>
      </c>
      <c r="AD17" s="449">
        <v>900000000</v>
      </c>
      <c r="AE17" s="449">
        <v>900000000</v>
      </c>
    </row>
    <row r="18" spans="2:31" s="2" customFormat="1" x14ac:dyDescent="0.25">
      <c r="B18" s="527"/>
      <c r="C18" s="448" t="s">
        <v>226</v>
      </c>
      <c r="D18" s="47" t="s">
        <v>221</v>
      </c>
      <c r="E18" s="47"/>
      <c r="F18" s="449">
        <v>700000000</v>
      </c>
      <c r="G18" s="449">
        <v>600000000</v>
      </c>
      <c r="H18" s="449">
        <v>50000000</v>
      </c>
      <c r="I18" s="449">
        <v>166666666.66666701</v>
      </c>
      <c r="J18" s="449">
        <v>166666666.66666701</v>
      </c>
      <c r="K18" s="449">
        <v>166666666.66666701</v>
      </c>
      <c r="L18" s="449">
        <v>0</v>
      </c>
      <c r="M18" s="449">
        <v>0</v>
      </c>
      <c r="N18" s="449">
        <v>0</v>
      </c>
      <c r="O18" s="449">
        <v>0</v>
      </c>
      <c r="P18" s="449">
        <v>0</v>
      </c>
      <c r="Q18" s="449">
        <v>33333333.333333332</v>
      </c>
      <c r="R18" s="449">
        <v>33333333.333333332</v>
      </c>
      <c r="S18" s="449">
        <v>33333333.333333332</v>
      </c>
      <c r="T18" s="449">
        <v>33333333.333333332</v>
      </c>
      <c r="U18" s="449">
        <v>33333333.333333332</v>
      </c>
      <c r="V18" s="449">
        <v>33333333.333333332</v>
      </c>
      <c r="W18" s="449">
        <v>33333333.333333332</v>
      </c>
      <c r="X18" s="449">
        <v>33333333.333333332</v>
      </c>
      <c r="Y18" s="449">
        <v>33333333.333333332</v>
      </c>
      <c r="Z18" s="449">
        <v>33333333.333333332</v>
      </c>
      <c r="AA18" s="449">
        <v>33333333.333333332</v>
      </c>
      <c r="AB18" s="449">
        <v>33333333.333333332</v>
      </c>
      <c r="AC18" s="449">
        <v>33333333.333333332</v>
      </c>
      <c r="AD18" s="449">
        <v>33333333.333333332</v>
      </c>
      <c r="AE18" s="449">
        <v>33333333.333333332</v>
      </c>
    </row>
    <row r="19" spans="2:31" s="2" customFormat="1" x14ac:dyDescent="0.25">
      <c r="C19" s="448" t="s">
        <v>227</v>
      </c>
      <c r="D19" s="47" t="s">
        <v>221</v>
      </c>
      <c r="E19" s="47"/>
      <c r="F19" s="449">
        <v>100000000</v>
      </c>
      <c r="G19" s="449">
        <v>100000000</v>
      </c>
      <c r="H19" s="449">
        <v>25000000</v>
      </c>
      <c r="I19" s="449">
        <v>50000000</v>
      </c>
      <c r="J19" s="449">
        <v>50000000</v>
      </c>
      <c r="K19" s="449">
        <v>50000000</v>
      </c>
      <c r="L19" s="449">
        <v>0</v>
      </c>
      <c r="M19" s="449">
        <v>0</v>
      </c>
      <c r="N19" s="449">
        <v>0</v>
      </c>
      <c r="O19" s="449">
        <v>10000000</v>
      </c>
      <c r="P19" s="449">
        <v>10000000</v>
      </c>
      <c r="Q19" s="449">
        <v>0</v>
      </c>
      <c r="R19" s="449">
        <v>0</v>
      </c>
      <c r="S19" s="449">
        <v>0</v>
      </c>
      <c r="T19" s="449">
        <v>0</v>
      </c>
      <c r="U19" s="449">
        <v>0</v>
      </c>
      <c r="V19" s="449">
        <v>0</v>
      </c>
      <c r="W19" s="449">
        <v>0</v>
      </c>
      <c r="X19" s="449">
        <v>0</v>
      </c>
      <c r="Y19" s="449">
        <v>0</v>
      </c>
      <c r="Z19" s="449">
        <v>0</v>
      </c>
      <c r="AA19" s="449">
        <v>0</v>
      </c>
      <c r="AB19" s="449">
        <v>0</v>
      </c>
      <c r="AC19" s="449">
        <v>0</v>
      </c>
      <c r="AD19" s="449">
        <v>0</v>
      </c>
      <c r="AE19" s="449">
        <v>0</v>
      </c>
    </row>
    <row r="20" spans="2:31" s="2" customFormat="1" x14ac:dyDescent="0.25">
      <c r="C20" s="448" t="s">
        <v>228</v>
      </c>
      <c r="D20" s="47" t="s">
        <v>221</v>
      </c>
      <c r="E20" s="47"/>
      <c r="F20" s="449">
        <v>100000000</v>
      </c>
      <c r="G20" s="449">
        <v>100000000</v>
      </c>
      <c r="H20" s="449">
        <v>25000000</v>
      </c>
      <c r="I20" s="449">
        <v>50000000</v>
      </c>
      <c r="J20" s="449">
        <v>50000000</v>
      </c>
      <c r="K20" s="449">
        <v>50000000</v>
      </c>
      <c r="L20" s="449">
        <v>0</v>
      </c>
      <c r="M20" s="449">
        <v>0</v>
      </c>
      <c r="N20" s="449">
        <v>0</v>
      </c>
      <c r="O20" s="449">
        <v>0</v>
      </c>
      <c r="P20" s="449">
        <v>0</v>
      </c>
      <c r="Q20" s="449">
        <v>0</v>
      </c>
      <c r="R20" s="449">
        <v>0</v>
      </c>
      <c r="S20" s="449">
        <v>0</v>
      </c>
      <c r="T20" s="449">
        <v>16666666.666666999</v>
      </c>
      <c r="U20" s="449">
        <v>16666666.666666999</v>
      </c>
      <c r="V20" s="449">
        <v>16666666.666666999</v>
      </c>
      <c r="W20" s="449">
        <v>16666666.666666999</v>
      </c>
      <c r="X20" s="449">
        <v>16666666.666666999</v>
      </c>
      <c r="Y20" s="449">
        <v>16666666.666666999</v>
      </c>
      <c r="Z20" s="449">
        <v>16666666.666666999</v>
      </c>
      <c r="AA20" s="449">
        <v>16666666.666666999</v>
      </c>
      <c r="AB20" s="449">
        <v>16666666.666666999</v>
      </c>
      <c r="AC20" s="449">
        <v>16666666.666666999</v>
      </c>
      <c r="AD20" s="449">
        <v>16666666.666666999</v>
      </c>
      <c r="AE20" s="449">
        <v>16666666.666666999</v>
      </c>
    </row>
    <row r="21" spans="2:31" s="2" customFormat="1" x14ac:dyDescent="0.25">
      <c r="C21" s="448" t="s">
        <v>229</v>
      </c>
      <c r="D21" s="47" t="s">
        <v>221</v>
      </c>
      <c r="E21" s="47"/>
      <c r="F21" s="449">
        <v>10000000000</v>
      </c>
      <c r="G21" s="449">
        <v>6000000000</v>
      </c>
      <c r="H21" s="449">
        <v>4000000000</v>
      </c>
      <c r="I21" s="449">
        <v>2000000000</v>
      </c>
      <c r="J21" s="449">
        <v>2000000000</v>
      </c>
      <c r="K21" s="449">
        <v>2000000000</v>
      </c>
      <c r="L21" s="449">
        <v>0</v>
      </c>
      <c r="M21" s="449">
        <v>0</v>
      </c>
      <c r="N21" s="449">
        <v>0</v>
      </c>
      <c r="O21" s="449">
        <v>0</v>
      </c>
      <c r="P21" s="449">
        <v>0</v>
      </c>
      <c r="Q21" s="449">
        <v>1333333333.3333333</v>
      </c>
      <c r="R21" s="449">
        <v>333333333.33332998</v>
      </c>
      <c r="S21" s="449">
        <v>333333333.33332998</v>
      </c>
      <c r="T21" s="449">
        <v>1333333333.3333333</v>
      </c>
      <c r="U21" s="449">
        <v>1333333333.3333333</v>
      </c>
      <c r="V21" s="449">
        <v>1333333333.3333333</v>
      </c>
      <c r="W21" s="449">
        <v>1333333333.3333333</v>
      </c>
      <c r="X21" s="449">
        <v>1333333333.3333333</v>
      </c>
      <c r="Y21" s="449">
        <v>1333333333.3333333</v>
      </c>
      <c r="Z21" s="449">
        <v>1333333333.3333333</v>
      </c>
      <c r="AA21" s="449">
        <v>1333333333.3333333</v>
      </c>
      <c r="AB21" s="449">
        <v>1333333333.3333333</v>
      </c>
      <c r="AC21" s="449">
        <v>1333333333.3333333</v>
      </c>
      <c r="AD21" s="449">
        <v>1333333333.3333333</v>
      </c>
      <c r="AE21" s="449">
        <v>1333333333.3333333</v>
      </c>
    </row>
    <row r="22" spans="2:31" s="2" customFormat="1" x14ac:dyDescent="0.25">
      <c r="C22" s="448" t="s">
        <v>230</v>
      </c>
      <c r="D22" s="47" t="s">
        <v>221</v>
      </c>
      <c r="E22" s="47"/>
      <c r="F22" s="449">
        <v>1000000000</v>
      </c>
      <c r="G22" s="449">
        <v>50000000</v>
      </c>
      <c r="H22" s="449">
        <v>950000000</v>
      </c>
      <c r="I22" s="449">
        <v>16666666.666666666</v>
      </c>
      <c r="J22" s="449">
        <v>16666666.666666666</v>
      </c>
      <c r="K22" s="449">
        <v>16666666.666666666</v>
      </c>
      <c r="L22" s="449">
        <v>0</v>
      </c>
      <c r="M22" s="449">
        <v>0</v>
      </c>
      <c r="N22" s="449">
        <v>0</v>
      </c>
      <c r="O22" s="449">
        <v>0</v>
      </c>
      <c r="P22" s="449">
        <v>0</v>
      </c>
      <c r="Q22" s="449">
        <v>16666666.666666999</v>
      </c>
      <c r="R22" s="449">
        <v>316666666.66666669</v>
      </c>
      <c r="S22" s="449">
        <v>316666666.66666669</v>
      </c>
      <c r="T22" s="449">
        <v>300000000.66666698</v>
      </c>
      <c r="U22" s="449">
        <v>300000000.66666698</v>
      </c>
      <c r="V22" s="449">
        <v>300000000.66666698</v>
      </c>
      <c r="W22" s="449">
        <v>300000000.66666698</v>
      </c>
      <c r="X22" s="449">
        <v>300000000.66666698</v>
      </c>
      <c r="Y22" s="449">
        <v>300000000.66666698</v>
      </c>
      <c r="Z22" s="449">
        <v>300000000.66666698</v>
      </c>
      <c r="AA22" s="449">
        <v>300000000.66666698</v>
      </c>
      <c r="AB22" s="449">
        <v>300000000.66666698</v>
      </c>
      <c r="AC22" s="449">
        <v>300000000.66666698</v>
      </c>
      <c r="AD22" s="449">
        <v>300000000.66666698</v>
      </c>
      <c r="AE22" s="449">
        <v>300000000.66666698</v>
      </c>
    </row>
    <row r="23" spans="2:31" x14ac:dyDescent="0.25">
      <c r="I23" s="393"/>
    </row>
    <row r="24" spans="2:31" ht="13" x14ac:dyDescent="0.3">
      <c r="C24" s="37" t="s">
        <v>42</v>
      </c>
      <c r="D24" s="37"/>
      <c r="E24" s="37"/>
      <c r="F24" s="38" t="str">
        <f>IF(F12=SUM(F13:F22),"Ok","Error")</f>
        <v>Ok</v>
      </c>
      <c r="H24" s="81"/>
    </row>
    <row r="25" spans="2:31" ht="13" x14ac:dyDescent="0.3">
      <c r="C25" s="37"/>
      <c r="D25" s="37"/>
      <c r="E25" s="37"/>
      <c r="F25" s="38"/>
    </row>
    <row r="26" spans="2:31" s="18" customFormat="1" ht="15.65" customHeight="1" x14ac:dyDescent="0.25">
      <c r="B26" s="18" t="s">
        <v>113</v>
      </c>
    </row>
    <row r="28" spans="2:31" ht="13" x14ac:dyDescent="0.3">
      <c r="C28" s="84" t="str">
        <f>CONCATENATE("De ",TEXT($D$6,"dd/mm/aaaa")," a ",TEXT($F$6,"dd/mm/aaaa"))</f>
        <v>De 01/01/2025 a 31/03/2025</v>
      </c>
      <c r="D28" s="15"/>
      <c r="E28" s="15"/>
      <c r="I28" s="393"/>
    </row>
    <row r="29" spans="2:31" x14ac:dyDescent="0.25">
      <c r="C29" s="15"/>
      <c r="D29" s="15"/>
      <c r="E29" s="15"/>
      <c r="I29" s="393"/>
    </row>
    <row r="30" spans="2:31" ht="13" x14ac:dyDescent="0.3">
      <c r="C30" s="19" t="s">
        <v>84</v>
      </c>
      <c r="D30" s="40" t="s">
        <v>219</v>
      </c>
      <c r="E30" s="40"/>
      <c r="F30" s="41">
        <f>$D$6</f>
        <v>45658</v>
      </c>
      <c r="G30" s="41">
        <f>F6</f>
        <v>45747</v>
      </c>
      <c r="H30" s="41" t="s">
        <v>132</v>
      </c>
      <c r="I30" s="393"/>
    </row>
    <row r="31" spans="2:31" ht="13" x14ac:dyDescent="0.25">
      <c r="C31" s="33" t="str">
        <f>Supuestos!$B$75</f>
        <v>Todos los segmentos</v>
      </c>
      <c r="D31" s="33" t="s">
        <v>231</v>
      </c>
      <c r="E31" s="33"/>
      <c r="F31" s="45">
        <f>+F33+F35+F37</f>
        <v>80000000</v>
      </c>
      <c r="G31" s="45">
        <f>+G33+G35+G37</f>
        <v>80000000</v>
      </c>
      <c r="H31" s="45">
        <f>AVERAGE(F31:G31)</f>
        <v>80000000</v>
      </c>
      <c r="I31" s="393"/>
    </row>
    <row r="32" spans="2:31" ht="13" x14ac:dyDescent="0.25">
      <c r="C32" s="254" t="s">
        <v>232</v>
      </c>
      <c r="D32" s="247"/>
      <c r="E32" s="247"/>
      <c r="F32" s="44"/>
      <c r="G32" s="44"/>
      <c r="H32" s="44"/>
      <c r="I32" s="393"/>
    </row>
    <row r="33" spans="3:9" ht="13" x14ac:dyDescent="0.3">
      <c r="C33" s="20" t="str">
        <f>Supuestos!B76</f>
        <v>Segmento Prepago</v>
      </c>
      <c r="D33" s="17" t="s">
        <v>231</v>
      </c>
      <c r="E33" s="17"/>
      <c r="F33" s="413">
        <v>66000000</v>
      </c>
      <c r="G33" s="413">
        <v>66000000</v>
      </c>
      <c r="H33" s="434">
        <f t="shared" ref="H33:H64" si="1">AVERAGE(F33:G33)</f>
        <v>66000000</v>
      </c>
      <c r="I33" s="393"/>
    </row>
    <row r="34" spans="3:9" x14ac:dyDescent="0.25">
      <c r="C34" s="254" t="s">
        <v>232</v>
      </c>
      <c r="D34" s="200"/>
      <c r="E34" s="200"/>
      <c r="F34" s="43">
        <v>0</v>
      </c>
      <c r="G34" s="43">
        <v>0</v>
      </c>
      <c r="H34" s="44">
        <f t="shared" si="1"/>
        <v>0</v>
      </c>
      <c r="I34" s="393"/>
    </row>
    <row r="35" spans="3:9" ht="13" x14ac:dyDescent="0.3">
      <c r="C35" s="20" t="str">
        <f>Supuestos!$B$77</f>
        <v>Segmento Pospago</v>
      </c>
      <c r="D35" s="200" t="s">
        <v>231</v>
      </c>
      <c r="E35" s="200"/>
      <c r="F35" s="413">
        <v>10000000</v>
      </c>
      <c r="G35" s="413">
        <v>10000000</v>
      </c>
      <c r="H35" s="434">
        <f t="shared" si="1"/>
        <v>10000000</v>
      </c>
      <c r="I35" s="393"/>
    </row>
    <row r="36" spans="3:9" x14ac:dyDescent="0.25">
      <c r="C36" s="254" t="s">
        <v>232</v>
      </c>
      <c r="D36" s="200"/>
      <c r="E36" s="200"/>
      <c r="F36" s="43">
        <v>0</v>
      </c>
      <c r="G36" s="43">
        <v>0</v>
      </c>
      <c r="H36" s="44">
        <f t="shared" si="1"/>
        <v>0</v>
      </c>
    </row>
    <row r="37" spans="3:9" ht="13" x14ac:dyDescent="0.3">
      <c r="C37" s="20" t="s">
        <v>137</v>
      </c>
      <c r="D37" s="200" t="s">
        <v>231</v>
      </c>
      <c r="E37" s="200"/>
      <c r="F37" s="413">
        <v>4000000</v>
      </c>
      <c r="G37" s="413">
        <v>4000000</v>
      </c>
      <c r="H37" s="434">
        <f t="shared" si="1"/>
        <v>4000000</v>
      </c>
    </row>
    <row r="38" spans="3:9" x14ac:dyDescent="0.25">
      <c r="C38" s="254" t="s">
        <v>232</v>
      </c>
      <c r="D38" s="200"/>
      <c r="E38" s="200"/>
      <c r="F38" s="43">
        <v>0</v>
      </c>
      <c r="G38" s="43">
        <v>0</v>
      </c>
      <c r="H38" s="44">
        <f t="shared" si="1"/>
        <v>0</v>
      </c>
    </row>
    <row r="39" spans="3:9" ht="13" x14ac:dyDescent="0.3">
      <c r="C39" s="20" t="str">
        <f>Supuestos!B78</f>
        <v>Telcel Prepago 1</v>
      </c>
      <c r="D39" s="200" t="s">
        <v>231</v>
      </c>
      <c r="E39" s="200"/>
      <c r="F39" s="413">
        <v>55000000</v>
      </c>
      <c r="G39" s="399">
        <v>55000000</v>
      </c>
      <c r="H39" s="434">
        <f t="shared" si="1"/>
        <v>55000000</v>
      </c>
    </row>
    <row r="40" spans="3:9" x14ac:dyDescent="0.25">
      <c r="C40" s="254" t="s">
        <v>232</v>
      </c>
      <c r="D40" s="200"/>
      <c r="E40" s="200"/>
      <c r="F40" s="43">
        <v>0</v>
      </c>
      <c r="G40" s="43">
        <v>0</v>
      </c>
      <c r="H40" s="44">
        <f t="shared" si="1"/>
        <v>0</v>
      </c>
    </row>
    <row r="41" spans="3:9" ht="13" x14ac:dyDescent="0.3">
      <c r="C41" s="20" t="str">
        <f>Supuestos!B79</f>
        <v>Telcel Prepago 2</v>
      </c>
      <c r="D41" s="200" t="s">
        <v>231</v>
      </c>
      <c r="E41" s="200"/>
      <c r="F41" s="413">
        <v>1500000</v>
      </c>
      <c r="G41" s="399">
        <v>1500000</v>
      </c>
      <c r="H41" s="434">
        <f t="shared" si="1"/>
        <v>1500000</v>
      </c>
    </row>
    <row r="42" spans="3:9" x14ac:dyDescent="0.25">
      <c r="C42" s="254" t="s">
        <v>232</v>
      </c>
      <c r="D42" s="17"/>
      <c r="E42" s="17"/>
      <c r="F42" s="43">
        <v>0</v>
      </c>
      <c r="G42" s="43">
        <v>0</v>
      </c>
      <c r="H42" s="44">
        <f t="shared" si="1"/>
        <v>0</v>
      </c>
    </row>
    <row r="43" spans="3:9" ht="13" x14ac:dyDescent="0.3">
      <c r="C43" s="20" t="str">
        <f>Supuestos!B80</f>
        <v>Telcel Prepago 3</v>
      </c>
      <c r="D43" s="17" t="s">
        <v>231</v>
      </c>
      <c r="E43" s="17"/>
      <c r="F43" s="413">
        <v>500000</v>
      </c>
      <c r="G43" s="399">
        <v>500000</v>
      </c>
      <c r="H43" s="434">
        <f t="shared" si="1"/>
        <v>500000</v>
      </c>
    </row>
    <row r="44" spans="3:9" x14ac:dyDescent="0.25">
      <c r="C44" s="254" t="s">
        <v>232</v>
      </c>
      <c r="D44" s="17"/>
      <c r="E44" s="17"/>
      <c r="F44" s="43">
        <v>0</v>
      </c>
      <c r="G44" s="43">
        <v>0</v>
      </c>
      <c r="H44" s="44">
        <f t="shared" si="1"/>
        <v>0</v>
      </c>
    </row>
    <row r="45" spans="3:9" ht="13" x14ac:dyDescent="0.3">
      <c r="C45" s="20" t="str">
        <f>Supuestos!B91</f>
        <v>Monto 1</v>
      </c>
      <c r="D45" s="200" t="s">
        <v>231</v>
      </c>
      <c r="E45" s="200"/>
      <c r="F45" s="413">
        <v>55000000</v>
      </c>
      <c r="G45" s="399">
        <v>55000000</v>
      </c>
      <c r="H45" s="434">
        <f t="shared" si="1"/>
        <v>55000000</v>
      </c>
    </row>
    <row r="46" spans="3:9" x14ac:dyDescent="0.25">
      <c r="C46" s="254" t="s">
        <v>232</v>
      </c>
      <c r="D46" s="200"/>
      <c r="E46" s="200"/>
      <c r="F46" s="43">
        <v>0</v>
      </c>
      <c r="G46" s="43">
        <v>0</v>
      </c>
      <c r="H46" s="44">
        <f t="shared" si="1"/>
        <v>0</v>
      </c>
    </row>
    <row r="47" spans="3:9" ht="13" x14ac:dyDescent="0.3">
      <c r="C47" s="20" t="str">
        <f>Supuestos!B92</f>
        <v>Monto 2</v>
      </c>
      <c r="D47" s="200" t="s">
        <v>231</v>
      </c>
      <c r="E47" s="200"/>
      <c r="F47" s="413">
        <v>1500000</v>
      </c>
      <c r="G47" s="399">
        <v>1500000</v>
      </c>
      <c r="H47" s="434">
        <f t="shared" si="1"/>
        <v>1500000</v>
      </c>
    </row>
    <row r="48" spans="3:9" x14ac:dyDescent="0.25">
      <c r="C48" s="254" t="s">
        <v>232</v>
      </c>
      <c r="D48" s="17"/>
      <c r="E48" s="17"/>
      <c r="F48" s="43">
        <v>0</v>
      </c>
      <c r="G48" s="43">
        <v>0</v>
      </c>
      <c r="H48" s="44">
        <f t="shared" si="1"/>
        <v>0</v>
      </c>
    </row>
    <row r="49" spans="3:8" ht="13" x14ac:dyDescent="0.3">
      <c r="C49" s="20" t="str">
        <f>Supuestos!B93</f>
        <v>Monto 3</v>
      </c>
      <c r="D49" s="17" t="s">
        <v>231</v>
      </c>
      <c r="E49" s="17"/>
      <c r="F49" s="413">
        <v>500000</v>
      </c>
      <c r="G49" s="399">
        <v>500000</v>
      </c>
      <c r="H49" s="434">
        <f t="shared" si="1"/>
        <v>500000</v>
      </c>
    </row>
    <row r="50" spans="3:8" x14ac:dyDescent="0.25">
      <c r="C50" s="254" t="s">
        <v>232</v>
      </c>
      <c r="D50" s="17"/>
      <c r="E50" s="17"/>
      <c r="F50" s="43">
        <v>0</v>
      </c>
      <c r="G50" s="43">
        <v>0</v>
      </c>
      <c r="H50" s="44">
        <f t="shared" si="1"/>
        <v>0</v>
      </c>
    </row>
    <row r="51" spans="3:8" ht="13" x14ac:dyDescent="0.3">
      <c r="C51" s="20" t="str">
        <f>Supuestos!B94</f>
        <v>Portabilidad 1</v>
      </c>
      <c r="D51" s="17" t="s">
        <v>231</v>
      </c>
      <c r="E51" s="17"/>
      <c r="F51" s="413">
        <v>500000</v>
      </c>
      <c r="G51" s="399">
        <v>500000</v>
      </c>
      <c r="H51" s="434">
        <f t="shared" si="1"/>
        <v>500000</v>
      </c>
    </row>
    <row r="52" spans="3:8" x14ac:dyDescent="0.25">
      <c r="C52" s="254" t="s">
        <v>232</v>
      </c>
      <c r="D52" s="17"/>
      <c r="E52" s="17"/>
      <c r="F52" s="43">
        <v>0</v>
      </c>
      <c r="G52" s="43">
        <v>0</v>
      </c>
      <c r="H52" s="44">
        <f t="shared" si="1"/>
        <v>0</v>
      </c>
    </row>
    <row r="53" spans="3:8" ht="13" x14ac:dyDescent="0.3">
      <c r="C53" s="20" t="str">
        <f>Supuestos!B95</f>
        <v>Portabilidad 2</v>
      </c>
      <c r="D53" s="17" t="s">
        <v>231</v>
      </c>
      <c r="E53" s="17"/>
      <c r="F53" s="413">
        <v>500000</v>
      </c>
      <c r="G53" s="399">
        <v>500000</v>
      </c>
      <c r="H53" s="434">
        <f t="shared" si="1"/>
        <v>500000</v>
      </c>
    </row>
    <row r="54" spans="3:8" x14ac:dyDescent="0.25">
      <c r="C54" s="254" t="s">
        <v>232</v>
      </c>
      <c r="D54" s="17"/>
      <c r="E54" s="17"/>
      <c r="F54" s="43">
        <v>0</v>
      </c>
      <c r="G54" s="43">
        <v>0</v>
      </c>
      <c r="H54" s="44">
        <f t="shared" si="1"/>
        <v>0</v>
      </c>
    </row>
    <row r="55" spans="3:8" ht="13" x14ac:dyDescent="0.3">
      <c r="C55" s="20" t="str">
        <f>Supuestos!B81</f>
        <v>Telcel Pospago 1</v>
      </c>
      <c r="D55" s="17" t="s">
        <v>231</v>
      </c>
      <c r="E55" s="17"/>
      <c r="F55" s="413">
        <v>1500000</v>
      </c>
      <c r="G55" s="413">
        <v>1500000</v>
      </c>
      <c r="H55" s="434">
        <f t="shared" si="1"/>
        <v>1500000</v>
      </c>
    </row>
    <row r="56" spans="3:8" x14ac:dyDescent="0.25">
      <c r="C56" s="254" t="s">
        <v>232</v>
      </c>
      <c r="D56" s="17"/>
      <c r="E56" s="17"/>
      <c r="F56" s="43">
        <v>0</v>
      </c>
      <c r="G56" s="43">
        <v>0</v>
      </c>
      <c r="H56" s="44">
        <f t="shared" si="1"/>
        <v>0</v>
      </c>
    </row>
    <row r="57" spans="3:8" ht="13" x14ac:dyDescent="0.3">
      <c r="C57" s="20" t="str">
        <f>Supuestos!$B$82</f>
        <v>Telcel Pospago 5</v>
      </c>
      <c r="D57" s="17" t="s">
        <v>231</v>
      </c>
      <c r="E57" s="17"/>
      <c r="F57" s="413">
        <v>574040</v>
      </c>
      <c r="G57" s="413">
        <v>574040</v>
      </c>
      <c r="H57" s="434">
        <f t="shared" si="1"/>
        <v>574040</v>
      </c>
    </row>
    <row r="58" spans="3:8" x14ac:dyDescent="0.25">
      <c r="C58" s="254" t="s">
        <v>232</v>
      </c>
      <c r="D58" s="17"/>
      <c r="E58" s="17"/>
      <c r="F58" s="399">
        <v>0</v>
      </c>
      <c r="G58" s="399">
        <v>0</v>
      </c>
      <c r="H58" s="44">
        <f t="shared" si="1"/>
        <v>0</v>
      </c>
    </row>
    <row r="59" spans="3:8" ht="13" x14ac:dyDescent="0.3">
      <c r="C59" s="20" t="str">
        <f>Supuestos!B83</f>
        <v>Telcel Pospago 3</v>
      </c>
      <c r="D59" s="17" t="s">
        <v>231</v>
      </c>
      <c r="E59" s="17"/>
      <c r="F59" s="413">
        <v>971639</v>
      </c>
      <c r="G59" s="413">
        <v>971639</v>
      </c>
      <c r="H59" s="434">
        <f t="shared" si="1"/>
        <v>971639</v>
      </c>
    </row>
    <row r="60" spans="3:8" x14ac:dyDescent="0.25">
      <c r="C60" s="254" t="s">
        <v>232</v>
      </c>
      <c r="D60" s="17"/>
      <c r="E60" s="17"/>
      <c r="F60" s="43">
        <v>0</v>
      </c>
      <c r="G60" s="43">
        <v>0</v>
      </c>
      <c r="H60" s="44">
        <f t="shared" si="1"/>
        <v>0</v>
      </c>
    </row>
    <row r="61" spans="3:8" ht="13" x14ac:dyDescent="0.3">
      <c r="C61" s="20" t="str">
        <f>Supuestos!B84</f>
        <v>Telcel Pospago 4</v>
      </c>
      <c r="D61" s="17" t="s">
        <v>231</v>
      </c>
      <c r="E61" s="17"/>
      <c r="F61" s="413">
        <v>1500000</v>
      </c>
      <c r="G61" s="413">
        <v>1500000</v>
      </c>
      <c r="H61" s="434">
        <f t="shared" si="1"/>
        <v>1500000</v>
      </c>
    </row>
    <row r="62" spans="3:8" x14ac:dyDescent="0.25">
      <c r="C62" s="254" t="s">
        <v>232</v>
      </c>
      <c r="D62" s="17"/>
      <c r="E62" s="17"/>
      <c r="F62" s="43">
        <v>0</v>
      </c>
      <c r="G62" s="43">
        <v>0</v>
      </c>
      <c r="H62" s="44">
        <f t="shared" si="1"/>
        <v>0</v>
      </c>
    </row>
    <row r="63" spans="3:8" ht="13" x14ac:dyDescent="0.3">
      <c r="C63" s="20" t="str">
        <f>Supuestos!$B$85</f>
        <v>Telcel Pospago 2</v>
      </c>
      <c r="D63" s="17" t="s">
        <v>231</v>
      </c>
      <c r="E63" s="17"/>
      <c r="F63" s="413">
        <v>574040</v>
      </c>
      <c r="G63" s="413">
        <v>574040</v>
      </c>
      <c r="H63" s="434">
        <f t="shared" si="1"/>
        <v>574040</v>
      </c>
    </row>
    <row r="64" spans="3:8" x14ac:dyDescent="0.25">
      <c r="C64" s="254" t="s">
        <v>232</v>
      </c>
      <c r="D64" s="17"/>
      <c r="E64" s="17"/>
      <c r="F64" s="399">
        <v>0</v>
      </c>
      <c r="G64" s="399">
        <v>0</v>
      </c>
      <c r="H64" s="44">
        <f t="shared" si="1"/>
        <v>0</v>
      </c>
    </row>
    <row r="65" spans="3:8" ht="13" x14ac:dyDescent="0.3">
      <c r="C65" s="20" t="str">
        <f>Supuestos!B86</f>
        <v>Telcel Pospago 6</v>
      </c>
      <c r="D65" s="17" t="s">
        <v>231</v>
      </c>
      <c r="E65" s="17"/>
      <c r="F65" s="413">
        <v>971639</v>
      </c>
      <c r="G65" s="413">
        <v>971639</v>
      </c>
      <c r="H65" s="434">
        <f t="shared" ref="H65:H84" si="2">AVERAGE(F65:G65)</f>
        <v>971639</v>
      </c>
    </row>
    <row r="66" spans="3:8" x14ac:dyDescent="0.25">
      <c r="C66" s="254" t="s">
        <v>232</v>
      </c>
      <c r="D66" s="17"/>
      <c r="E66" s="17"/>
      <c r="F66" s="43">
        <v>0</v>
      </c>
      <c r="G66" s="43">
        <v>0</v>
      </c>
      <c r="H66" s="44">
        <f t="shared" si="2"/>
        <v>0</v>
      </c>
    </row>
    <row r="67" spans="3:8" ht="13" x14ac:dyDescent="0.3">
      <c r="C67" s="20" t="str">
        <f>Supuestos!B87</f>
        <v>Telcel Pospago 7</v>
      </c>
      <c r="D67" s="17" t="s">
        <v>231</v>
      </c>
      <c r="E67" s="17"/>
      <c r="F67" s="413">
        <v>1500000</v>
      </c>
      <c r="G67" s="413">
        <v>1500000</v>
      </c>
      <c r="H67" s="434">
        <f t="shared" si="2"/>
        <v>1500000</v>
      </c>
    </row>
    <row r="68" spans="3:8" x14ac:dyDescent="0.25">
      <c r="C68" s="254" t="s">
        <v>232</v>
      </c>
      <c r="D68" s="17"/>
      <c r="E68" s="17"/>
      <c r="F68" s="43">
        <v>0</v>
      </c>
      <c r="G68" s="43">
        <v>0</v>
      </c>
      <c r="H68" s="44">
        <f t="shared" si="2"/>
        <v>0</v>
      </c>
    </row>
    <row r="69" spans="3:8" ht="13" x14ac:dyDescent="0.3">
      <c r="C69" s="20" t="str">
        <f>Supuestos!$B$88</f>
        <v>Telcel Pospago 9</v>
      </c>
      <c r="D69" s="17" t="s">
        <v>231</v>
      </c>
      <c r="E69" s="17"/>
      <c r="F69" s="413">
        <v>574040</v>
      </c>
      <c r="G69" s="413">
        <v>574040</v>
      </c>
      <c r="H69" s="434">
        <f t="shared" si="2"/>
        <v>574040</v>
      </c>
    </row>
    <row r="70" spans="3:8" x14ac:dyDescent="0.25">
      <c r="C70" s="254" t="s">
        <v>232</v>
      </c>
      <c r="D70" s="17"/>
      <c r="E70" s="17"/>
      <c r="F70" s="399">
        <v>0</v>
      </c>
      <c r="G70" s="399">
        <v>0</v>
      </c>
      <c r="H70" s="44">
        <f t="shared" si="2"/>
        <v>0</v>
      </c>
    </row>
    <row r="71" spans="3:8" ht="13" x14ac:dyDescent="0.3">
      <c r="C71" s="20" t="str">
        <f>Supuestos!B89</f>
        <v>Telcel Pospago 8</v>
      </c>
      <c r="D71" s="17" t="s">
        <v>231</v>
      </c>
      <c r="E71" s="17"/>
      <c r="F71" s="413">
        <v>971639</v>
      </c>
      <c r="G71" s="413">
        <v>971639</v>
      </c>
      <c r="H71" s="434">
        <f t="shared" si="2"/>
        <v>971639</v>
      </c>
    </row>
    <row r="72" spans="3:8" x14ac:dyDescent="0.25">
      <c r="C72" s="254" t="s">
        <v>232</v>
      </c>
      <c r="D72" s="17"/>
      <c r="E72" s="17"/>
      <c r="F72" s="43">
        <v>0</v>
      </c>
      <c r="G72" s="43">
        <v>0</v>
      </c>
      <c r="H72" s="44">
        <f t="shared" si="2"/>
        <v>0</v>
      </c>
    </row>
    <row r="73" spans="3:8" ht="13" x14ac:dyDescent="0.3">
      <c r="C73" s="20" t="str">
        <f>Supuestos!B90</f>
        <v>Telcel Pospago 19</v>
      </c>
      <c r="D73" s="17" t="s">
        <v>231</v>
      </c>
      <c r="E73" s="17"/>
      <c r="F73" s="413">
        <v>1500000</v>
      </c>
      <c r="G73" s="413">
        <v>1500000</v>
      </c>
      <c r="H73" s="434">
        <f t="shared" si="2"/>
        <v>1500000</v>
      </c>
    </row>
    <row r="74" spans="3:8" x14ac:dyDescent="0.25">
      <c r="C74" s="254" t="s">
        <v>232</v>
      </c>
      <c r="D74" s="17"/>
      <c r="E74" s="17"/>
      <c r="F74" s="43">
        <v>0</v>
      </c>
      <c r="G74" s="43">
        <v>0</v>
      </c>
      <c r="H74" s="44">
        <f t="shared" si="2"/>
        <v>0</v>
      </c>
    </row>
    <row r="75" spans="3:8" ht="13" x14ac:dyDescent="0.3">
      <c r="C75" s="20" t="str">
        <f>Supuestos!B96</f>
        <v>Telcel Pospago 22</v>
      </c>
      <c r="D75" s="17" t="s">
        <v>231</v>
      </c>
      <c r="E75" s="17"/>
      <c r="F75" s="413">
        <v>1500000</v>
      </c>
      <c r="G75" s="413">
        <v>1500000</v>
      </c>
      <c r="H75" s="434">
        <f t="shared" si="2"/>
        <v>1500000</v>
      </c>
    </row>
    <row r="76" spans="3:8" x14ac:dyDescent="0.25">
      <c r="C76" s="254" t="s">
        <v>232</v>
      </c>
      <c r="D76" s="17"/>
      <c r="E76" s="17"/>
      <c r="F76" s="43">
        <v>0</v>
      </c>
      <c r="G76" s="43">
        <v>0</v>
      </c>
      <c r="H76" s="44">
        <f t="shared" si="2"/>
        <v>0</v>
      </c>
    </row>
    <row r="77" spans="3:8" ht="13" x14ac:dyDescent="0.3">
      <c r="C77" s="20" t="str">
        <f>Supuestos!$B$97</f>
        <v>Telcel Pospago 23</v>
      </c>
      <c r="D77" s="17" t="s">
        <v>231</v>
      </c>
      <c r="E77" s="17"/>
      <c r="F77" s="413">
        <v>574040</v>
      </c>
      <c r="G77" s="413">
        <v>574040</v>
      </c>
      <c r="H77" s="434">
        <f t="shared" si="2"/>
        <v>574040</v>
      </c>
    </row>
    <row r="78" spans="3:8" x14ac:dyDescent="0.25">
      <c r="C78" s="254" t="s">
        <v>232</v>
      </c>
      <c r="D78" s="17"/>
      <c r="E78" s="17"/>
      <c r="F78" s="399">
        <v>0</v>
      </c>
      <c r="G78" s="399">
        <v>0</v>
      </c>
      <c r="H78" s="44">
        <f t="shared" si="2"/>
        <v>0</v>
      </c>
    </row>
    <row r="79" spans="3:8" ht="13" x14ac:dyDescent="0.3">
      <c r="C79" s="20" t="str">
        <f>Supuestos!B98</f>
        <v>Telcel Pospago 24</v>
      </c>
      <c r="D79" s="17" t="s">
        <v>231</v>
      </c>
      <c r="E79" s="17"/>
      <c r="F79" s="413">
        <v>971639</v>
      </c>
      <c r="G79" s="413">
        <v>971639</v>
      </c>
      <c r="H79" s="434">
        <f t="shared" si="2"/>
        <v>971639</v>
      </c>
    </row>
    <row r="80" spans="3:8" x14ac:dyDescent="0.25">
      <c r="C80" s="254" t="s">
        <v>232</v>
      </c>
      <c r="D80" s="17"/>
      <c r="E80" s="17"/>
      <c r="F80" s="43">
        <v>0</v>
      </c>
      <c r="G80" s="43">
        <v>0</v>
      </c>
      <c r="H80" s="44">
        <f t="shared" si="2"/>
        <v>0</v>
      </c>
    </row>
    <row r="81" spans="2:31" ht="13" x14ac:dyDescent="0.3">
      <c r="C81" s="20" t="str">
        <f>Supuestos!B99</f>
        <v>Telcel Pospago 25</v>
      </c>
      <c r="D81" s="17" t="s">
        <v>231</v>
      </c>
      <c r="E81" s="17"/>
      <c r="F81" s="413">
        <v>1500000</v>
      </c>
      <c r="G81" s="413">
        <v>1500000</v>
      </c>
      <c r="H81" s="434">
        <f t="shared" si="2"/>
        <v>1500000</v>
      </c>
    </row>
    <row r="82" spans="2:31" x14ac:dyDescent="0.25">
      <c r="C82" s="254" t="s">
        <v>232</v>
      </c>
      <c r="D82" s="17"/>
      <c r="E82" s="17"/>
      <c r="F82" s="43">
        <v>0</v>
      </c>
      <c r="G82" s="43">
        <v>0</v>
      </c>
      <c r="H82" s="44">
        <f t="shared" si="2"/>
        <v>0</v>
      </c>
    </row>
    <row r="83" spans="2:31" ht="13" x14ac:dyDescent="0.3">
      <c r="C83" s="20" t="str">
        <f>Supuestos!$B$100</f>
        <v>Telcel Pospago 26</v>
      </c>
      <c r="D83" s="17" t="s">
        <v>231</v>
      </c>
      <c r="E83" s="17"/>
      <c r="F83" s="413">
        <v>574040</v>
      </c>
      <c r="G83" s="413">
        <v>574040</v>
      </c>
      <c r="H83" s="434">
        <f t="shared" si="2"/>
        <v>574040</v>
      </c>
    </row>
    <row r="84" spans="2:31" x14ac:dyDescent="0.25">
      <c r="C84" s="254" t="s">
        <v>232</v>
      </c>
      <c r="D84" s="17"/>
      <c r="E84" s="17"/>
      <c r="F84" s="399">
        <v>0</v>
      </c>
      <c r="G84" s="399">
        <v>0</v>
      </c>
      <c r="H84" s="44">
        <f t="shared" si="2"/>
        <v>0</v>
      </c>
    </row>
    <row r="85" spans="2:31" x14ac:dyDescent="0.25">
      <c r="C85" s="15"/>
      <c r="D85" s="15"/>
      <c r="E85" s="15"/>
    </row>
    <row r="86" spans="2:31" s="18" customFormat="1" ht="15.65" customHeight="1" x14ac:dyDescent="0.25">
      <c r="B86" s="18" t="s">
        <v>233</v>
      </c>
    </row>
    <row r="87" spans="2:31" x14ac:dyDescent="0.25">
      <c r="C87" s="15"/>
      <c r="D87" s="15"/>
      <c r="E87" s="15"/>
    </row>
    <row r="88" spans="2:31" s="2" customFormat="1" ht="13" x14ac:dyDescent="0.3">
      <c r="C88" s="444" t="str">
        <f>CONCATENATE("De ",TEXT($D$6,"dd/mm/aaaa")," a ",TEXT($F$6,"dd/mm/aaaa"))</f>
        <v>De 01/01/2025 a 31/03/2025</v>
      </c>
      <c r="D88" s="3"/>
      <c r="E88" s="3"/>
      <c r="I88" s="528" t="s">
        <v>92</v>
      </c>
      <c r="J88" s="529"/>
      <c r="K88" s="530"/>
      <c r="L88" s="531" t="s">
        <v>93</v>
      </c>
      <c r="M88" s="532"/>
      <c r="N88" s="533"/>
      <c r="O88" s="531" t="s">
        <v>94</v>
      </c>
      <c r="P88" s="532"/>
      <c r="Q88" s="531" t="s">
        <v>95</v>
      </c>
      <c r="R88" s="532"/>
      <c r="S88" s="532"/>
      <c r="T88" s="532"/>
      <c r="U88" s="532"/>
      <c r="V88" s="532"/>
      <c r="W88" s="532"/>
      <c r="X88" s="532"/>
      <c r="Y88" s="532"/>
      <c r="Z88" s="532"/>
      <c r="AA88" s="531" t="s">
        <v>96</v>
      </c>
      <c r="AB88" s="532"/>
      <c r="AC88" s="532"/>
      <c r="AD88" s="532"/>
      <c r="AE88" s="533"/>
    </row>
    <row r="89" spans="2:31" s="2" customFormat="1" ht="13" x14ac:dyDescent="0.3">
      <c r="C89" s="19" t="s">
        <v>84</v>
      </c>
      <c r="D89" s="227" t="s">
        <v>219</v>
      </c>
      <c r="E89" s="227"/>
      <c r="F89" s="450" t="str">
        <f>Supuestos!B$75</f>
        <v>Todos los segmentos</v>
      </c>
      <c r="G89" s="228" t="str">
        <f>Supuestos!$B$76</f>
        <v>Segmento Prepago</v>
      </c>
      <c r="H89" s="228" t="str">
        <f>Supuestos!$B$77</f>
        <v>Segmento Pospago</v>
      </c>
      <c r="I89" s="450" t="str">
        <f>Supuestos!B$78</f>
        <v>Telcel Prepago 1</v>
      </c>
      <c r="J89" s="450" t="str">
        <f>Supuestos!B$79</f>
        <v>Telcel Prepago 2</v>
      </c>
      <c r="K89" s="450" t="str">
        <f>Supuestos!B$80</f>
        <v>Telcel Prepago 3</v>
      </c>
      <c r="L89" s="450" t="str">
        <f>Supuestos!B91</f>
        <v>Monto 1</v>
      </c>
      <c r="M89" s="450" t="str">
        <f>Supuestos!B92</f>
        <v>Monto 2</v>
      </c>
      <c r="N89" s="450" t="str">
        <f>Supuestos!B93</f>
        <v>Monto 3</v>
      </c>
      <c r="O89" s="450" t="str">
        <f>Supuestos!B94</f>
        <v>Portabilidad 1</v>
      </c>
      <c r="P89" s="450" t="str">
        <f>Supuestos!B95</f>
        <v>Portabilidad 2</v>
      </c>
      <c r="Q89" s="450" t="str">
        <f>Supuestos!B$81</f>
        <v>Telcel Pospago 1</v>
      </c>
      <c r="R89" s="450" t="str">
        <f>Supuestos!B$82</f>
        <v>Telcel Pospago 5</v>
      </c>
      <c r="S89" s="228" t="str">
        <f>Supuestos!$B$83</f>
        <v>Telcel Pospago 3</v>
      </c>
      <c r="T89" s="228" t="str">
        <f>Supuestos!$B$84</f>
        <v>Telcel Pospago 4</v>
      </c>
      <c r="U89" s="228" t="str">
        <f>Supuestos!$B$85</f>
        <v>Telcel Pospago 2</v>
      </c>
      <c r="V89" s="228" t="str">
        <f>Supuestos!$B$86</f>
        <v>Telcel Pospago 6</v>
      </c>
      <c r="W89" s="228" t="str">
        <f>Supuestos!$B$87</f>
        <v>Telcel Pospago 7</v>
      </c>
      <c r="X89" s="228" t="str">
        <f>Supuestos!$B$88</f>
        <v>Telcel Pospago 9</v>
      </c>
      <c r="Y89" s="228" t="str">
        <f>Supuestos!$B$89</f>
        <v>Telcel Pospago 8</v>
      </c>
      <c r="Z89" s="228" t="str">
        <f>Supuestos!$B$90</f>
        <v>Telcel Pospago 19</v>
      </c>
      <c r="AA89" s="228" t="str">
        <f>IF(ISBLANK(Supuestos!$B96),"No aplica",Supuestos!$B96)</f>
        <v>Telcel Pospago 22</v>
      </c>
      <c r="AB89" s="228" t="str">
        <f>IF(ISBLANK(Supuestos!$B97),"No aplica",Supuestos!$B97)</f>
        <v>Telcel Pospago 23</v>
      </c>
      <c r="AC89" s="228" t="str">
        <f>IF(ISBLANK(Supuestos!$B98),"No aplica",Supuestos!$B98)</f>
        <v>Telcel Pospago 24</v>
      </c>
      <c r="AD89" s="228" t="str">
        <f>IF(ISBLANK(Supuestos!$B99),"No aplica",Supuestos!$B99)</f>
        <v>Telcel Pospago 25</v>
      </c>
      <c r="AE89" s="228" t="str">
        <f>IF(ISBLANK(Supuestos!$B100),"No aplica",Supuestos!$B100)</f>
        <v>Telcel Pospago 26</v>
      </c>
    </row>
    <row r="90" spans="2:31" x14ac:dyDescent="0.25">
      <c r="B90" t="s">
        <v>234</v>
      </c>
      <c r="C90" s="155" t="str">
        <f>IF(Supuestos!B48="","",Supuestos!B48)</f>
        <v>Datos</v>
      </c>
      <c r="D90" s="17" t="s">
        <v>235</v>
      </c>
      <c r="E90" s="17"/>
      <c r="F90" s="43">
        <v>100000000000</v>
      </c>
      <c r="G90" s="43">
        <v>30000000000</v>
      </c>
      <c r="H90" s="43">
        <v>70000000000</v>
      </c>
      <c r="I90" s="43">
        <v>10000000000</v>
      </c>
      <c r="J90" s="43">
        <v>48649927456.636688</v>
      </c>
      <c r="K90" s="43">
        <v>10000000000</v>
      </c>
      <c r="L90" s="43">
        <v>10000000001</v>
      </c>
      <c r="M90" s="43">
        <v>10000000002</v>
      </c>
      <c r="N90" s="43">
        <v>10000000003</v>
      </c>
      <c r="O90" s="43">
        <v>10000000004</v>
      </c>
      <c r="P90" s="43">
        <v>10000000005</v>
      </c>
      <c r="Q90" s="43">
        <v>23333333333.333332</v>
      </c>
      <c r="R90" s="43">
        <v>23333333333.333332</v>
      </c>
      <c r="S90" s="43">
        <v>23333333333.333332</v>
      </c>
      <c r="T90" s="43">
        <v>23333333333.333332</v>
      </c>
      <c r="U90" s="43">
        <v>23333333333.333332</v>
      </c>
      <c r="V90" s="43">
        <v>23333333333.333332</v>
      </c>
      <c r="W90" s="43">
        <v>23333333333.333332</v>
      </c>
      <c r="X90" s="43">
        <v>23333333333.333332</v>
      </c>
      <c r="Y90" s="43">
        <v>23333333333.333332</v>
      </c>
      <c r="Z90" s="43">
        <v>23333333333.333332</v>
      </c>
      <c r="AA90" s="43">
        <v>23333333333.333332</v>
      </c>
      <c r="AB90" s="43">
        <v>23333333333.333332</v>
      </c>
      <c r="AC90" s="43">
        <v>23333333333.333332</v>
      </c>
      <c r="AD90" s="43">
        <v>23333333333.333332</v>
      </c>
      <c r="AE90" s="43">
        <v>23333333333.333332</v>
      </c>
    </row>
    <row r="91" spans="2:31" x14ac:dyDescent="0.25">
      <c r="B91" t="s">
        <v>236</v>
      </c>
      <c r="C91" s="22" t="str">
        <f>IF(Supuestos!B49="","",Supuestos!B49)</f>
        <v>Originación voz on-net local</v>
      </c>
      <c r="D91" s="17" t="s">
        <v>237</v>
      </c>
      <c r="E91" s="17"/>
      <c r="F91" s="43">
        <v>10000000000</v>
      </c>
      <c r="G91" s="43">
        <v>3000000000</v>
      </c>
      <c r="H91" s="43">
        <v>7000000000</v>
      </c>
      <c r="I91" s="43">
        <v>1000000000</v>
      </c>
      <c r="J91" s="43">
        <v>1038005098.6499982</v>
      </c>
      <c r="K91" s="43">
        <v>1000000000</v>
      </c>
      <c r="L91" s="43">
        <v>1000000001</v>
      </c>
      <c r="M91" s="43">
        <v>1000000002</v>
      </c>
      <c r="N91" s="43">
        <v>1000000003</v>
      </c>
      <c r="O91" s="43">
        <v>1000000004</v>
      </c>
      <c r="P91" s="43">
        <v>1000000005</v>
      </c>
      <c r="Q91" s="43">
        <v>2333333333.3333335</v>
      </c>
      <c r="R91" s="43">
        <v>2333333333.3333335</v>
      </c>
      <c r="S91" s="43">
        <v>2333333333.3333335</v>
      </c>
      <c r="T91" s="43">
        <v>2333333333.3333335</v>
      </c>
      <c r="U91" s="43">
        <v>2333333333.3333335</v>
      </c>
      <c r="V91" s="43">
        <v>2333333333.3333335</v>
      </c>
      <c r="W91" s="43">
        <v>2333333333.3333335</v>
      </c>
      <c r="X91" s="43">
        <v>2333333333.3333335</v>
      </c>
      <c r="Y91" s="43">
        <v>2333333333.3333335</v>
      </c>
      <c r="Z91" s="43">
        <v>2333333333.3333335</v>
      </c>
      <c r="AA91" s="43">
        <v>2333333333.3333335</v>
      </c>
      <c r="AB91" s="43">
        <v>2333333333.3333335</v>
      </c>
      <c r="AC91" s="43">
        <v>2333333333.3333335</v>
      </c>
      <c r="AD91" s="43">
        <v>2333333333.3333335</v>
      </c>
      <c r="AE91" s="43">
        <v>2333333333.3333335</v>
      </c>
    </row>
    <row r="92" spans="2:31" x14ac:dyDescent="0.25">
      <c r="C92" s="22" t="str">
        <f>IF(Supuestos!B50="","",Supuestos!B50)</f>
        <v>Originación voz off-net móvil local</v>
      </c>
      <c r="D92" s="17" t="s">
        <v>237</v>
      </c>
      <c r="E92" s="17"/>
      <c r="F92" s="43">
        <v>2000000000</v>
      </c>
      <c r="G92" s="43">
        <v>600000000</v>
      </c>
      <c r="H92" s="43">
        <v>1400000000</v>
      </c>
      <c r="I92" s="43">
        <v>200000000</v>
      </c>
      <c r="J92" s="43">
        <v>158144235.66666651</v>
      </c>
      <c r="K92" s="43">
        <v>200000000</v>
      </c>
      <c r="L92" s="43">
        <v>200000001</v>
      </c>
      <c r="M92" s="43">
        <v>200000002</v>
      </c>
      <c r="N92" s="43">
        <v>200000003</v>
      </c>
      <c r="O92" s="43">
        <v>200000004</v>
      </c>
      <c r="P92" s="43">
        <v>200000005</v>
      </c>
      <c r="Q92" s="43">
        <v>466666666.66666669</v>
      </c>
      <c r="R92" s="43">
        <v>466666666.66666669</v>
      </c>
      <c r="S92" s="43">
        <v>466666666.66666669</v>
      </c>
      <c r="T92" s="43">
        <v>466666666.66666669</v>
      </c>
      <c r="U92" s="43">
        <v>466666666.66666669</v>
      </c>
      <c r="V92" s="43">
        <v>466666666.66666669</v>
      </c>
      <c r="W92" s="43">
        <v>466666666.66666669</v>
      </c>
      <c r="X92" s="43">
        <v>466666666.66666669</v>
      </c>
      <c r="Y92" s="43">
        <v>466666666.66666669</v>
      </c>
      <c r="Z92" s="43">
        <v>466666666.66666669</v>
      </c>
      <c r="AA92" s="43">
        <v>466666666.66666669</v>
      </c>
      <c r="AB92" s="43">
        <v>466666666.66666669</v>
      </c>
      <c r="AC92" s="43">
        <v>466666666.66666669</v>
      </c>
      <c r="AD92" s="43">
        <v>466666666.66666669</v>
      </c>
      <c r="AE92" s="43">
        <v>466666666.66666669</v>
      </c>
    </row>
    <row r="93" spans="2:31" x14ac:dyDescent="0.25">
      <c r="C93" s="22" t="str">
        <f>IF(Supuestos!B51="","",Supuestos!B51)</f>
        <v>Originación voz off-net fijo local</v>
      </c>
      <c r="D93" s="17" t="s">
        <v>237</v>
      </c>
      <c r="E93" s="17"/>
      <c r="F93" s="43">
        <v>1000000000</v>
      </c>
      <c r="G93" s="43">
        <v>300000000</v>
      </c>
      <c r="H93" s="43">
        <v>700000000</v>
      </c>
      <c r="I93" s="43">
        <v>100000000</v>
      </c>
      <c r="J93" s="43">
        <v>79734089.249999732</v>
      </c>
      <c r="K93" s="43">
        <v>100000000</v>
      </c>
      <c r="L93" s="43">
        <v>100000001</v>
      </c>
      <c r="M93" s="43">
        <v>100000002</v>
      </c>
      <c r="N93" s="43">
        <v>100000003</v>
      </c>
      <c r="O93" s="43">
        <v>100000004</v>
      </c>
      <c r="P93" s="43">
        <v>100000005</v>
      </c>
      <c r="Q93" s="43">
        <v>233333333.33333334</v>
      </c>
      <c r="R93" s="43">
        <v>233333333.33333334</v>
      </c>
      <c r="S93" s="43">
        <v>233333333.33333334</v>
      </c>
      <c r="T93" s="43">
        <v>233333333.33333334</v>
      </c>
      <c r="U93" s="43">
        <v>233333333.33333334</v>
      </c>
      <c r="V93" s="43">
        <v>233333333.33333334</v>
      </c>
      <c r="W93" s="43">
        <v>233333333.33333334</v>
      </c>
      <c r="X93" s="43">
        <v>233333333.33333334</v>
      </c>
      <c r="Y93" s="43">
        <v>233333333.33333334</v>
      </c>
      <c r="Z93" s="43">
        <v>233333333.33333334</v>
      </c>
      <c r="AA93" s="43">
        <v>233333333.33333334</v>
      </c>
      <c r="AB93" s="43">
        <v>233333333.33333334</v>
      </c>
      <c r="AC93" s="43">
        <v>233333333.33333334</v>
      </c>
      <c r="AD93" s="43">
        <v>233333333.33333334</v>
      </c>
      <c r="AE93" s="43">
        <v>233333333.33333334</v>
      </c>
    </row>
    <row r="94" spans="2:31" x14ac:dyDescent="0.25">
      <c r="C94" s="22" t="str">
        <f>IF(Supuestos!B52="","",Supuestos!B52)</f>
        <v>Originación voz on-net LDN</v>
      </c>
      <c r="D94" s="17" t="s">
        <v>237</v>
      </c>
      <c r="E94" s="17"/>
      <c r="F94" s="43">
        <v>15000000000</v>
      </c>
      <c r="G94" s="43">
        <v>4500000000</v>
      </c>
      <c r="H94" s="43">
        <v>10500000000</v>
      </c>
      <c r="I94" s="43">
        <v>1500000000</v>
      </c>
      <c r="J94" s="43">
        <v>584174063.7499994</v>
      </c>
      <c r="K94" s="43">
        <v>1500000000</v>
      </c>
      <c r="L94" s="43">
        <v>1500000001</v>
      </c>
      <c r="M94" s="43">
        <v>1500000002</v>
      </c>
      <c r="N94" s="43">
        <v>1500000003</v>
      </c>
      <c r="O94" s="43">
        <v>1500000004</v>
      </c>
      <c r="P94" s="43">
        <v>1500000005</v>
      </c>
      <c r="Q94" s="43">
        <v>3500000000</v>
      </c>
      <c r="R94" s="43">
        <v>3500000000</v>
      </c>
      <c r="S94" s="43">
        <v>3500000000</v>
      </c>
      <c r="T94" s="43">
        <v>3500000000</v>
      </c>
      <c r="U94" s="43">
        <v>3500000000</v>
      </c>
      <c r="V94" s="43">
        <v>3500000000</v>
      </c>
      <c r="W94" s="43">
        <v>3500000000</v>
      </c>
      <c r="X94" s="43">
        <v>3500000000</v>
      </c>
      <c r="Y94" s="43">
        <v>3500000000</v>
      </c>
      <c r="Z94" s="43">
        <v>3500000000</v>
      </c>
      <c r="AA94" s="43">
        <v>3500000000</v>
      </c>
      <c r="AB94" s="43">
        <v>3500000000</v>
      </c>
      <c r="AC94" s="43">
        <v>3500000000</v>
      </c>
      <c r="AD94" s="43">
        <v>3500000000</v>
      </c>
      <c r="AE94" s="43">
        <v>3500000000</v>
      </c>
    </row>
    <row r="95" spans="2:31" x14ac:dyDescent="0.25">
      <c r="C95" s="22" t="str">
        <f>IF(Supuestos!B53="","",Supuestos!B53)</f>
        <v>Originación voz off-net móvil LDN</v>
      </c>
      <c r="D95" s="17" t="s">
        <v>237</v>
      </c>
      <c r="E95" s="17"/>
      <c r="F95" s="43">
        <v>1500000000</v>
      </c>
      <c r="G95" s="43">
        <v>450000000</v>
      </c>
      <c r="H95" s="43">
        <v>1049999999.9999999</v>
      </c>
      <c r="I95" s="43">
        <v>150000000</v>
      </c>
      <c r="J95" s="43">
        <v>111638113.11666635</v>
      </c>
      <c r="K95" s="43">
        <v>150000000</v>
      </c>
      <c r="L95" s="43">
        <v>150000001</v>
      </c>
      <c r="M95" s="43">
        <v>150000002</v>
      </c>
      <c r="N95" s="43">
        <v>150000003</v>
      </c>
      <c r="O95" s="43">
        <v>150000004</v>
      </c>
      <c r="P95" s="43">
        <v>150000005</v>
      </c>
      <c r="Q95" s="43">
        <v>349999999.99999994</v>
      </c>
      <c r="R95" s="43">
        <v>349999999.99999994</v>
      </c>
      <c r="S95" s="43">
        <v>349999999.99999994</v>
      </c>
      <c r="T95" s="43">
        <v>349999999.99999994</v>
      </c>
      <c r="U95" s="43">
        <v>349999999.99999994</v>
      </c>
      <c r="V95" s="43">
        <v>349999999.99999994</v>
      </c>
      <c r="W95" s="43">
        <v>349999999.99999994</v>
      </c>
      <c r="X95" s="43">
        <v>349999999.99999994</v>
      </c>
      <c r="Y95" s="43">
        <v>349999999.99999994</v>
      </c>
      <c r="Z95" s="43">
        <v>349999999.99999994</v>
      </c>
      <c r="AA95" s="43">
        <v>349999999.99999994</v>
      </c>
      <c r="AB95" s="43">
        <v>349999999.99999994</v>
      </c>
      <c r="AC95" s="43">
        <v>349999999.99999994</v>
      </c>
      <c r="AD95" s="43">
        <v>349999999.99999994</v>
      </c>
      <c r="AE95" s="43">
        <v>349999999.99999994</v>
      </c>
    </row>
    <row r="96" spans="2:31" x14ac:dyDescent="0.25">
      <c r="C96" s="156" t="str">
        <f>IF(Supuestos!B54="","",Supuestos!B54)</f>
        <v>Originación voz off-net fijo LDN</v>
      </c>
      <c r="D96" s="17" t="s">
        <v>237</v>
      </c>
      <c r="E96" s="17"/>
      <c r="F96" s="43">
        <v>500000000</v>
      </c>
      <c r="G96" s="43">
        <v>150000000</v>
      </c>
      <c r="H96" s="43">
        <v>350000000</v>
      </c>
      <c r="I96" s="43">
        <v>50000000</v>
      </c>
      <c r="J96" s="43">
        <v>58591627.299999923</v>
      </c>
      <c r="K96" s="43">
        <v>50000000</v>
      </c>
      <c r="L96" s="43">
        <v>50000001</v>
      </c>
      <c r="M96" s="43">
        <v>50000002</v>
      </c>
      <c r="N96" s="43">
        <v>50000003</v>
      </c>
      <c r="O96" s="43">
        <v>50000004</v>
      </c>
      <c r="P96" s="43">
        <v>50000005</v>
      </c>
      <c r="Q96" s="43">
        <v>116666666.66666667</v>
      </c>
      <c r="R96" s="43">
        <v>116666666.66666667</v>
      </c>
      <c r="S96" s="43">
        <v>116666666.66666667</v>
      </c>
      <c r="T96" s="43">
        <v>116666666.66666667</v>
      </c>
      <c r="U96" s="43">
        <v>116666666.66666667</v>
      </c>
      <c r="V96" s="43">
        <v>116666666.66666667</v>
      </c>
      <c r="W96" s="43">
        <v>116666666.66666667</v>
      </c>
      <c r="X96" s="43">
        <v>116666666.66666667</v>
      </c>
      <c r="Y96" s="43">
        <v>116666666.66666667</v>
      </c>
      <c r="Z96" s="43">
        <v>116666666.66666667</v>
      </c>
      <c r="AA96" s="43">
        <v>116666666.66666667</v>
      </c>
      <c r="AB96" s="43">
        <v>116666666.66666667</v>
      </c>
      <c r="AC96" s="43">
        <v>116666666.66666667</v>
      </c>
      <c r="AD96" s="43">
        <v>116666666.66666667</v>
      </c>
      <c r="AE96" s="43">
        <v>116666666.66666667</v>
      </c>
    </row>
    <row r="97" spans="3:31" x14ac:dyDescent="0.25">
      <c r="C97" s="22" t="str">
        <f>IF(Supuestos!B55="","",Supuestos!B55)</f>
        <v>Originación voz internacional USA-Canadá</v>
      </c>
      <c r="D97" s="17" t="s">
        <v>237</v>
      </c>
      <c r="E97" s="17"/>
      <c r="F97" s="43">
        <v>1300000000</v>
      </c>
      <c r="G97" s="43">
        <v>390000000</v>
      </c>
      <c r="H97" s="43">
        <v>910000000</v>
      </c>
      <c r="I97" s="43">
        <v>130000000</v>
      </c>
      <c r="J97" s="43">
        <v>70164023.699999839</v>
      </c>
      <c r="K97" s="43">
        <v>130000000</v>
      </c>
      <c r="L97" s="43">
        <v>130000001</v>
      </c>
      <c r="M97" s="43">
        <v>130000002</v>
      </c>
      <c r="N97" s="43">
        <v>130000003</v>
      </c>
      <c r="O97" s="43">
        <v>130000004</v>
      </c>
      <c r="P97" s="43">
        <v>130000005</v>
      </c>
      <c r="Q97" s="43">
        <v>303333333.33333331</v>
      </c>
      <c r="R97" s="43">
        <v>303333333.33333331</v>
      </c>
      <c r="S97" s="43">
        <v>303333333.33333331</v>
      </c>
      <c r="T97" s="43">
        <v>303333333.33333331</v>
      </c>
      <c r="U97" s="43">
        <v>303333333.33333331</v>
      </c>
      <c r="V97" s="43">
        <v>303333333.33333331</v>
      </c>
      <c r="W97" s="43">
        <v>303333333.33333331</v>
      </c>
      <c r="X97" s="43">
        <v>303333333.33333331</v>
      </c>
      <c r="Y97" s="43">
        <v>303333333.33333331</v>
      </c>
      <c r="Z97" s="43">
        <v>303333333.33333331</v>
      </c>
      <c r="AA97" s="43">
        <v>303333333.33333331</v>
      </c>
      <c r="AB97" s="43">
        <v>303333333.33333331</v>
      </c>
      <c r="AC97" s="43">
        <v>303333333.33333331</v>
      </c>
      <c r="AD97" s="43">
        <v>303333333.33333331</v>
      </c>
      <c r="AE97" s="43">
        <v>303333333.33333331</v>
      </c>
    </row>
    <row r="98" spans="3:31" x14ac:dyDescent="0.25">
      <c r="C98" s="22" t="str">
        <f>IF(Supuestos!B56="","",Supuestos!B56)</f>
        <v>Originación voz internacional Mundial Centroamérica</v>
      </c>
      <c r="D98" s="17" t="s">
        <v>237</v>
      </c>
      <c r="E98" s="17"/>
      <c r="F98" s="43">
        <v>3000000</v>
      </c>
      <c r="G98" s="43">
        <v>900000</v>
      </c>
      <c r="H98" s="43">
        <v>2100000</v>
      </c>
      <c r="I98" s="43">
        <v>300000</v>
      </c>
      <c r="J98" s="43">
        <v>29092.13333333304</v>
      </c>
      <c r="K98" s="43">
        <v>300000</v>
      </c>
      <c r="L98" s="43">
        <v>300001</v>
      </c>
      <c r="M98" s="43">
        <v>300002</v>
      </c>
      <c r="N98" s="43">
        <v>300003</v>
      </c>
      <c r="O98" s="43">
        <v>300004</v>
      </c>
      <c r="P98" s="43">
        <v>300005</v>
      </c>
      <c r="Q98" s="43">
        <v>700000</v>
      </c>
      <c r="R98" s="43">
        <v>700000</v>
      </c>
      <c r="S98" s="43">
        <v>700000</v>
      </c>
      <c r="T98" s="43">
        <v>700000</v>
      </c>
      <c r="U98" s="43">
        <v>700000</v>
      </c>
      <c r="V98" s="43">
        <v>700000</v>
      </c>
      <c r="W98" s="43">
        <v>700000</v>
      </c>
      <c r="X98" s="43">
        <v>700000</v>
      </c>
      <c r="Y98" s="43">
        <v>700000</v>
      </c>
      <c r="Z98" s="43">
        <v>700000</v>
      </c>
      <c r="AA98" s="43">
        <v>700000</v>
      </c>
      <c r="AB98" s="43">
        <v>700000</v>
      </c>
      <c r="AC98" s="43">
        <v>700000</v>
      </c>
      <c r="AD98" s="43">
        <v>700000</v>
      </c>
      <c r="AE98" s="43">
        <v>700000</v>
      </c>
    </row>
    <row r="99" spans="3:31" x14ac:dyDescent="0.25">
      <c r="C99" s="156" t="str">
        <f>IF(Supuestos!B57="","",Supuestos!B57)</f>
        <v>Originación voz internacional Mundial LATAM y Caribe</v>
      </c>
      <c r="D99" s="17" t="s">
        <v>237</v>
      </c>
      <c r="E99" s="17"/>
      <c r="F99" s="43">
        <v>200000</v>
      </c>
      <c r="G99" s="43">
        <v>60000</v>
      </c>
      <c r="H99" s="43">
        <v>140000</v>
      </c>
      <c r="I99" s="43">
        <v>20000</v>
      </c>
      <c r="J99" s="43">
        <v>25844.833333332877</v>
      </c>
      <c r="K99" s="43">
        <v>20000</v>
      </c>
      <c r="L99" s="43">
        <v>20001</v>
      </c>
      <c r="M99" s="43">
        <v>20002</v>
      </c>
      <c r="N99" s="43">
        <v>20003</v>
      </c>
      <c r="O99" s="43">
        <v>20004</v>
      </c>
      <c r="P99" s="43">
        <v>20005</v>
      </c>
      <c r="Q99" s="43">
        <v>46666.666666666664</v>
      </c>
      <c r="R99" s="43">
        <v>46666.666666666664</v>
      </c>
      <c r="S99" s="43">
        <v>46666.666666666664</v>
      </c>
      <c r="T99" s="43">
        <v>46666.666666666664</v>
      </c>
      <c r="U99" s="43">
        <v>46666.666666666664</v>
      </c>
      <c r="V99" s="43">
        <v>46666.666666666664</v>
      </c>
      <c r="W99" s="43">
        <v>46666.666666666664</v>
      </c>
      <c r="X99" s="43">
        <v>46666.666666666664</v>
      </c>
      <c r="Y99" s="43">
        <v>46666.666666666664</v>
      </c>
      <c r="Z99" s="43">
        <v>46666.666666666664</v>
      </c>
      <c r="AA99" s="43">
        <v>46666.666666666664</v>
      </c>
      <c r="AB99" s="43">
        <v>46666.666666666664</v>
      </c>
      <c r="AC99" s="43">
        <v>46666.666666666664</v>
      </c>
      <c r="AD99" s="43">
        <v>46666.666666666664</v>
      </c>
      <c r="AE99" s="43">
        <v>46666.666666666664</v>
      </c>
    </row>
    <row r="100" spans="3:31" x14ac:dyDescent="0.25">
      <c r="C100" s="156" t="str">
        <f>IF(Supuestos!B58="","",Supuestos!B58)</f>
        <v>Originación voz internacional Europa</v>
      </c>
      <c r="D100" s="17" t="s">
        <v>237</v>
      </c>
      <c r="E100" s="17"/>
      <c r="F100" s="43">
        <v>0</v>
      </c>
      <c r="G100" s="43">
        <v>0</v>
      </c>
      <c r="H100" s="43">
        <v>0</v>
      </c>
      <c r="I100" s="43">
        <v>0</v>
      </c>
      <c r="J100" s="43">
        <v>0</v>
      </c>
      <c r="K100" s="43">
        <v>0</v>
      </c>
      <c r="L100" s="43">
        <v>1</v>
      </c>
      <c r="M100" s="43">
        <v>1</v>
      </c>
      <c r="N100" s="43">
        <v>2</v>
      </c>
      <c r="O100" s="43">
        <v>3</v>
      </c>
      <c r="P100" s="43">
        <v>4</v>
      </c>
      <c r="Q100" s="43">
        <v>0</v>
      </c>
      <c r="R100" s="43">
        <v>0</v>
      </c>
      <c r="S100" s="43">
        <v>0</v>
      </c>
      <c r="T100" s="43">
        <v>0</v>
      </c>
      <c r="U100" s="43">
        <v>0</v>
      </c>
      <c r="V100" s="43">
        <v>0</v>
      </c>
      <c r="W100" s="43">
        <v>0</v>
      </c>
      <c r="X100" s="43">
        <v>0</v>
      </c>
      <c r="Y100" s="43">
        <v>0</v>
      </c>
      <c r="Z100" s="43">
        <v>0</v>
      </c>
      <c r="AA100" s="43">
        <v>0</v>
      </c>
      <c r="AB100" s="43">
        <v>0</v>
      </c>
      <c r="AC100" s="43">
        <v>0</v>
      </c>
      <c r="AD100" s="43">
        <v>0</v>
      </c>
      <c r="AE100" s="43">
        <v>0</v>
      </c>
    </row>
    <row r="101" spans="3:31" x14ac:dyDescent="0.25">
      <c r="C101" s="157" t="str">
        <f>IF(Supuestos!B59="","",Supuestos!B59)</f>
        <v>Originación voz internacional Mundial Otros geográficos</v>
      </c>
      <c r="D101" s="17" t="s">
        <v>237</v>
      </c>
      <c r="E101" s="17"/>
      <c r="F101" s="43">
        <v>10000000</v>
      </c>
      <c r="G101" s="43">
        <v>3000000</v>
      </c>
      <c r="H101" s="43">
        <v>7000000</v>
      </c>
      <c r="I101" s="43">
        <v>1000000</v>
      </c>
      <c r="J101" s="43">
        <v>247109.14999999531</v>
      </c>
      <c r="K101" s="43">
        <v>1000000</v>
      </c>
      <c r="L101" s="43">
        <v>1000001</v>
      </c>
      <c r="M101" s="43">
        <v>1000002</v>
      </c>
      <c r="N101" s="43">
        <v>1000003</v>
      </c>
      <c r="O101" s="43">
        <v>1000004</v>
      </c>
      <c r="P101" s="43">
        <v>1000005</v>
      </c>
      <c r="Q101" s="43">
        <v>2333333.3333333335</v>
      </c>
      <c r="R101" s="43">
        <v>2333333.3333333335</v>
      </c>
      <c r="S101" s="43">
        <v>2333333.3333333335</v>
      </c>
      <c r="T101" s="43">
        <v>2333333.3333333335</v>
      </c>
      <c r="U101" s="43">
        <v>2333333.3333333335</v>
      </c>
      <c r="V101" s="43">
        <v>2333333.3333333335</v>
      </c>
      <c r="W101" s="43">
        <v>2333333.3333333335</v>
      </c>
      <c r="X101" s="43">
        <v>2333333.3333333335</v>
      </c>
      <c r="Y101" s="43">
        <v>2333333.3333333335</v>
      </c>
      <c r="Z101" s="43">
        <v>2333333.3333333335</v>
      </c>
      <c r="AA101" s="43">
        <v>2333333.3333333335</v>
      </c>
      <c r="AB101" s="43">
        <v>2333333.3333333335</v>
      </c>
      <c r="AC101" s="43">
        <v>2333333.3333333335</v>
      </c>
      <c r="AD101" s="43">
        <v>2333333.3333333335</v>
      </c>
      <c r="AE101" s="43">
        <v>2333333.3333333335</v>
      </c>
    </row>
    <row r="102" spans="3:31" x14ac:dyDescent="0.25">
      <c r="C102" s="156" t="str">
        <f>IF(Supuestos!B60="","",Supuestos!B60)</f>
        <v>Originación voz internacional Cuba</v>
      </c>
      <c r="D102" s="17" t="s">
        <v>237</v>
      </c>
      <c r="E102" s="17"/>
      <c r="F102" s="43">
        <v>500000</v>
      </c>
      <c r="G102" s="43">
        <v>150000</v>
      </c>
      <c r="H102" s="43">
        <v>350000</v>
      </c>
      <c r="I102" s="43">
        <v>50000</v>
      </c>
      <c r="J102" s="43">
        <v>8030.4666666665998</v>
      </c>
      <c r="K102" s="43">
        <v>50000</v>
      </c>
      <c r="L102" s="43">
        <v>50001</v>
      </c>
      <c r="M102" s="43">
        <v>50002</v>
      </c>
      <c r="N102" s="43">
        <v>50003</v>
      </c>
      <c r="O102" s="43">
        <v>50004</v>
      </c>
      <c r="P102" s="43">
        <v>50005</v>
      </c>
      <c r="Q102" s="43">
        <v>116666.66666666667</v>
      </c>
      <c r="R102" s="43">
        <v>116666.66666666667</v>
      </c>
      <c r="S102" s="43">
        <v>116666.66666666667</v>
      </c>
      <c r="T102" s="43">
        <v>116666.66666666667</v>
      </c>
      <c r="U102" s="43">
        <v>116666.66666666667</v>
      </c>
      <c r="V102" s="43">
        <v>116666.66666666667</v>
      </c>
      <c r="W102" s="43">
        <v>116666.66666666667</v>
      </c>
      <c r="X102" s="43">
        <v>116666.66666666667</v>
      </c>
      <c r="Y102" s="43">
        <v>116666.66666666667</v>
      </c>
      <c r="Z102" s="43">
        <v>116666.66666666667</v>
      </c>
      <c r="AA102" s="43">
        <v>116666.66666666667</v>
      </c>
      <c r="AB102" s="43">
        <v>116666.66666666667</v>
      </c>
      <c r="AC102" s="43">
        <v>116666.66666666667</v>
      </c>
      <c r="AD102" s="43">
        <v>116666.66666666667</v>
      </c>
      <c r="AE102" s="43">
        <v>116666.66666666667</v>
      </c>
    </row>
    <row r="103" spans="3:31" x14ac:dyDescent="0.25">
      <c r="C103" s="22" t="str">
        <f>IF(Supuestos!B61="","",Supuestos!B61)</f>
        <v>Originación voz Mundial destinos no geográficos</v>
      </c>
      <c r="D103" s="17" t="s">
        <v>237</v>
      </c>
      <c r="E103" s="17"/>
      <c r="F103" s="43">
        <v>0</v>
      </c>
      <c r="G103" s="43">
        <v>0</v>
      </c>
      <c r="H103" s="43">
        <v>0</v>
      </c>
      <c r="I103" s="43">
        <v>0</v>
      </c>
      <c r="J103" s="43">
        <v>0</v>
      </c>
      <c r="K103" s="43">
        <v>0</v>
      </c>
      <c r="L103" s="43">
        <v>1</v>
      </c>
      <c r="M103" s="43">
        <v>1</v>
      </c>
      <c r="N103" s="43">
        <v>2</v>
      </c>
      <c r="O103" s="43">
        <v>3</v>
      </c>
      <c r="P103" s="43">
        <v>4</v>
      </c>
      <c r="Q103" s="43">
        <v>0</v>
      </c>
      <c r="R103" s="43">
        <v>0</v>
      </c>
      <c r="S103" s="43">
        <v>0</v>
      </c>
      <c r="T103" s="43">
        <v>0</v>
      </c>
      <c r="U103" s="43">
        <v>0</v>
      </c>
      <c r="V103" s="43">
        <v>0</v>
      </c>
      <c r="W103" s="43">
        <v>0</v>
      </c>
      <c r="X103" s="43">
        <v>0</v>
      </c>
      <c r="Y103" s="43">
        <v>0</v>
      </c>
      <c r="Z103" s="43">
        <v>0</v>
      </c>
      <c r="AA103" s="43">
        <v>0</v>
      </c>
      <c r="AB103" s="43">
        <v>0</v>
      </c>
      <c r="AC103" s="43">
        <v>0</v>
      </c>
      <c r="AD103" s="43">
        <v>0</v>
      </c>
      <c r="AE103" s="43">
        <v>0</v>
      </c>
    </row>
    <row r="104" spans="3:31" x14ac:dyDescent="0.25">
      <c r="C104" s="180" t="str">
        <f>IF(Supuestos!B62="","",Supuestos!B62)</f>
        <v>Originación SMS on-net</v>
      </c>
      <c r="D104" s="17" t="s">
        <v>238</v>
      </c>
      <c r="E104" s="17"/>
      <c r="F104" s="43">
        <v>2000000000</v>
      </c>
      <c r="G104" s="43">
        <v>600000000</v>
      </c>
      <c r="H104" s="43">
        <v>1400000000</v>
      </c>
      <c r="I104" s="43">
        <v>200000000</v>
      </c>
      <c r="J104" s="43">
        <v>106092651</v>
      </c>
      <c r="K104" s="43">
        <v>200000000</v>
      </c>
      <c r="L104" s="43">
        <v>200000001</v>
      </c>
      <c r="M104" s="43">
        <v>200000002</v>
      </c>
      <c r="N104" s="43">
        <v>200000003</v>
      </c>
      <c r="O104" s="43">
        <v>200000004</v>
      </c>
      <c r="P104" s="43">
        <v>200000005</v>
      </c>
      <c r="Q104" s="43">
        <v>466666666.66666669</v>
      </c>
      <c r="R104" s="43">
        <v>466666666.66666669</v>
      </c>
      <c r="S104" s="43">
        <v>466666666.66666669</v>
      </c>
      <c r="T104" s="43">
        <v>466666666.66666669</v>
      </c>
      <c r="U104" s="43">
        <v>466666666.66666669</v>
      </c>
      <c r="V104" s="43">
        <v>466666666.66666669</v>
      </c>
      <c r="W104" s="43">
        <v>466666666.66666669</v>
      </c>
      <c r="X104" s="43">
        <v>466666666.66666669</v>
      </c>
      <c r="Y104" s="43">
        <v>466666666.66666669</v>
      </c>
      <c r="Z104" s="43">
        <v>466666666.66666669</v>
      </c>
      <c r="AA104" s="43">
        <v>466666666.66666669</v>
      </c>
      <c r="AB104" s="43">
        <v>466666666.66666669</v>
      </c>
      <c r="AC104" s="43">
        <v>466666666.66666669</v>
      </c>
      <c r="AD104" s="43">
        <v>466666666.66666669</v>
      </c>
      <c r="AE104" s="43">
        <v>466666666.66666669</v>
      </c>
    </row>
    <row r="105" spans="3:31" x14ac:dyDescent="0.25">
      <c r="C105" s="22" t="str">
        <f>IF(Supuestos!B63="","",Supuestos!B63)</f>
        <v>Originación SMS - off-net nacional</v>
      </c>
      <c r="D105" s="17" t="s">
        <v>238</v>
      </c>
      <c r="E105" s="17"/>
      <c r="F105" s="43">
        <v>500000000</v>
      </c>
      <c r="G105" s="43">
        <v>150000000</v>
      </c>
      <c r="H105" s="43">
        <v>350000000</v>
      </c>
      <c r="I105" s="43">
        <v>50000000</v>
      </c>
      <c r="J105" s="43">
        <v>24089278</v>
      </c>
      <c r="K105" s="43">
        <v>50000000</v>
      </c>
      <c r="L105" s="43">
        <v>50000001</v>
      </c>
      <c r="M105" s="43">
        <v>50000002</v>
      </c>
      <c r="N105" s="43">
        <v>50000003</v>
      </c>
      <c r="O105" s="43">
        <v>50000004</v>
      </c>
      <c r="P105" s="43">
        <v>50000005</v>
      </c>
      <c r="Q105" s="43">
        <v>116666666.66666667</v>
      </c>
      <c r="R105" s="43">
        <v>116666666.66666667</v>
      </c>
      <c r="S105" s="43">
        <v>116666666.66666667</v>
      </c>
      <c r="T105" s="43">
        <v>116666666.66666667</v>
      </c>
      <c r="U105" s="43">
        <v>116666666.66666667</v>
      </c>
      <c r="V105" s="43">
        <v>116666666.66666667</v>
      </c>
      <c r="W105" s="43">
        <v>116666666.66666667</v>
      </c>
      <c r="X105" s="43">
        <v>116666666.66666667</v>
      </c>
      <c r="Y105" s="43">
        <v>116666666.66666667</v>
      </c>
      <c r="Z105" s="43">
        <v>116666666.66666667</v>
      </c>
      <c r="AA105" s="43">
        <v>116666666.66666667</v>
      </c>
      <c r="AB105" s="43">
        <v>116666666.66666667</v>
      </c>
      <c r="AC105" s="43">
        <v>116666666.66666667</v>
      </c>
      <c r="AD105" s="43">
        <v>116666666.66666667</v>
      </c>
      <c r="AE105" s="43">
        <v>116666666.66666667</v>
      </c>
    </row>
    <row r="106" spans="3:31" x14ac:dyDescent="0.25">
      <c r="C106" s="22" t="str">
        <f>IF(Supuestos!B64="","",Supuestos!B64)</f>
        <v>Originación SMS internacional (USA-Canadá)</v>
      </c>
      <c r="D106" s="17" t="s">
        <v>238</v>
      </c>
      <c r="E106" s="17"/>
      <c r="F106" s="43">
        <v>100000000</v>
      </c>
      <c r="G106" s="43">
        <v>30000000</v>
      </c>
      <c r="H106" s="43">
        <v>70000000</v>
      </c>
      <c r="I106" s="43">
        <v>10000000</v>
      </c>
      <c r="J106" s="43">
        <v>5641997</v>
      </c>
      <c r="K106" s="43">
        <v>10000000</v>
      </c>
      <c r="L106" s="43">
        <v>10000001</v>
      </c>
      <c r="M106" s="43">
        <v>10000002</v>
      </c>
      <c r="N106" s="43">
        <v>10000003</v>
      </c>
      <c r="O106" s="43">
        <v>10000004</v>
      </c>
      <c r="P106" s="43">
        <v>10000005</v>
      </c>
      <c r="Q106" s="43">
        <v>23333333.333333332</v>
      </c>
      <c r="R106" s="43">
        <v>23333333.333333332</v>
      </c>
      <c r="S106" s="43">
        <v>23333333.333333332</v>
      </c>
      <c r="T106" s="43">
        <v>23333333.333333332</v>
      </c>
      <c r="U106" s="43">
        <v>23333333.333333332</v>
      </c>
      <c r="V106" s="43">
        <v>23333333.333333332</v>
      </c>
      <c r="W106" s="43">
        <v>23333333.333333332</v>
      </c>
      <c r="X106" s="43">
        <v>23333333.333333332</v>
      </c>
      <c r="Y106" s="43">
        <v>23333333.333333332</v>
      </c>
      <c r="Z106" s="43">
        <v>23333333.333333332</v>
      </c>
      <c r="AA106" s="43">
        <v>23333333.333333332</v>
      </c>
      <c r="AB106" s="43">
        <v>23333333.333333332</v>
      </c>
      <c r="AC106" s="43">
        <v>23333333.333333332</v>
      </c>
      <c r="AD106" s="43">
        <v>23333333.333333332</v>
      </c>
      <c r="AE106" s="43">
        <v>23333333.333333332</v>
      </c>
    </row>
    <row r="107" spans="3:31" x14ac:dyDescent="0.25">
      <c r="C107" s="22" t="str">
        <f>IF(Supuestos!B65="","",Supuestos!B65)</f>
        <v>Originación SMS internacional (Resto del Mundo)</v>
      </c>
      <c r="D107" s="17" t="s">
        <v>238</v>
      </c>
      <c r="E107" s="17"/>
      <c r="F107" s="43">
        <v>10000000</v>
      </c>
      <c r="G107" s="43">
        <v>3000000</v>
      </c>
      <c r="H107" s="43">
        <v>7000000</v>
      </c>
      <c r="I107" s="43">
        <v>1000000</v>
      </c>
      <c r="J107" s="43">
        <v>357923</v>
      </c>
      <c r="K107" s="43">
        <v>1000000</v>
      </c>
      <c r="L107" s="43">
        <v>1000001</v>
      </c>
      <c r="M107" s="43">
        <v>1000002</v>
      </c>
      <c r="N107" s="43">
        <v>1000003</v>
      </c>
      <c r="O107" s="43">
        <v>1000004</v>
      </c>
      <c r="P107" s="43">
        <v>1000005</v>
      </c>
      <c r="Q107" s="43">
        <v>2333333.3333333335</v>
      </c>
      <c r="R107" s="43">
        <v>2333333.3333333335</v>
      </c>
      <c r="S107" s="43">
        <v>2333333.3333333335</v>
      </c>
      <c r="T107" s="43">
        <v>2333333.3333333335</v>
      </c>
      <c r="U107" s="43">
        <v>2333333.3333333335</v>
      </c>
      <c r="V107" s="43">
        <v>2333333.3333333335</v>
      </c>
      <c r="W107" s="43">
        <v>2333333.3333333335</v>
      </c>
      <c r="X107" s="43">
        <v>2333333.3333333335</v>
      </c>
      <c r="Y107" s="43">
        <v>2333333.3333333335</v>
      </c>
      <c r="Z107" s="43">
        <v>2333333.3333333335</v>
      </c>
      <c r="AA107" s="43">
        <v>2333333.3333333335</v>
      </c>
      <c r="AB107" s="43">
        <v>2333333.3333333335</v>
      </c>
      <c r="AC107" s="43">
        <v>2333333.3333333335</v>
      </c>
      <c r="AD107" s="43">
        <v>2333333.3333333335</v>
      </c>
      <c r="AE107" s="43">
        <v>2333333.3333333335</v>
      </c>
    </row>
    <row r="108" spans="3:31" x14ac:dyDescent="0.25">
      <c r="C108" s="180" t="str">
        <f>IF(Supuestos!B66="","",Supuestos!B66)</f>
        <v>Otros servicios (incluyendo marcaciones especiales)</v>
      </c>
      <c r="D108" s="17" t="s">
        <v>237</v>
      </c>
      <c r="E108" s="17"/>
      <c r="F108" s="43">
        <v>5000000000</v>
      </c>
      <c r="G108" s="43">
        <v>1500000000</v>
      </c>
      <c r="H108" s="43">
        <v>3500000000</v>
      </c>
      <c r="I108" s="43">
        <v>500000000</v>
      </c>
      <c r="J108" s="43">
        <v>200633585.84999979</v>
      </c>
      <c r="K108" s="43">
        <v>500000000</v>
      </c>
      <c r="L108" s="43">
        <v>500000001</v>
      </c>
      <c r="M108" s="43">
        <v>500000002</v>
      </c>
      <c r="N108" s="43">
        <v>500000003</v>
      </c>
      <c r="O108" s="43">
        <v>500000004</v>
      </c>
      <c r="P108" s="43">
        <v>500000005</v>
      </c>
      <c r="Q108" s="43">
        <v>1166666666.6666667</v>
      </c>
      <c r="R108" s="43">
        <v>1166666666.6666667</v>
      </c>
      <c r="S108" s="43">
        <v>1166666666.6666667</v>
      </c>
      <c r="T108" s="43">
        <v>1166666666.6666667</v>
      </c>
      <c r="U108" s="43">
        <v>1166666666.6666667</v>
      </c>
      <c r="V108" s="43">
        <v>1166666666.6666667</v>
      </c>
      <c r="W108" s="43">
        <v>1166666666.6666667</v>
      </c>
      <c r="X108" s="43">
        <v>1166666666.6666667</v>
      </c>
      <c r="Y108" s="43">
        <v>1166666666.6666667</v>
      </c>
      <c r="Z108" s="43">
        <v>1166666666.6666667</v>
      </c>
      <c r="AA108" s="43">
        <v>1166666666.6666667</v>
      </c>
      <c r="AB108" s="43">
        <v>1166666666.6666667</v>
      </c>
      <c r="AC108" s="43">
        <v>1166666666.6666667</v>
      </c>
      <c r="AD108" s="43">
        <v>1166666666.6666667</v>
      </c>
      <c r="AE108" s="43">
        <v>1166666666.6666667</v>
      </c>
    </row>
    <row r="109" spans="3:31" x14ac:dyDescent="0.25">
      <c r="C109" s="22"/>
      <c r="D109" s="17"/>
      <c r="E109" s="17"/>
      <c r="F109" s="43"/>
      <c r="G109" s="43"/>
      <c r="H109" s="43"/>
      <c r="I109" s="43"/>
      <c r="J109" s="43"/>
      <c r="K109" s="43"/>
      <c r="L109" s="43"/>
      <c r="M109" s="43"/>
      <c r="N109" s="43"/>
      <c r="O109" s="43"/>
      <c r="P109" s="43"/>
      <c r="Q109" s="43"/>
      <c r="R109" s="43"/>
      <c r="S109" s="43"/>
      <c r="T109" s="43"/>
      <c r="U109" s="43"/>
      <c r="V109" s="43"/>
      <c r="W109" s="43"/>
      <c r="X109" s="43"/>
      <c r="Y109" s="43"/>
      <c r="Z109" s="43"/>
      <c r="AA109" s="43"/>
      <c r="AB109" s="43"/>
      <c r="AC109" s="43"/>
      <c r="AD109" s="43"/>
      <c r="AE109" s="43"/>
    </row>
    <row r="110" spans="3:31" ht="13" x14ac:dyDescent="0.3">
      <c r="C110" s="19" t="s">
        <v>124</v>
      </c>
      <c r="D110" s="17"/>
      <c r="E110" s="17"/>
      <c r="F110" s="43"/>
      <c r="G110" s="43"/>
      <c r="H110" s="43"/>
      <c r="I110" s="43"/>
      <c r="J110" s="43"/>
      <c r="K110" s="43"/>
      <c r="L110" s="43"/>
      <c r="M110" s="43"/>
      <c r="N110" s="43"/>
      <c r="O110" s="43"/>
      <c r="P110" s="43"/>
      <c r="Q110" s="43"/>
      <c r="R110" s="43"/>
      <c r="S110" s="43"/>
      <c r="T110" s="43"/>
      <c r="U110" s="43"/>
      <c r="V110" s="43"/>
      <c r="W110" s="43"/>
      <c r="X110" s="43"/>
      <c r="Y110" s="43"/>
      <c r="Z110" s="43"/>
      <c r="AA110" s="43"/>
      <c r="AB110" s="43"/>
      <c r="AC110" s="43"/>
      <c r="AD110" s="43"/>
      <c r="AE110" s="43"/>
    </row>
    <row r="111" spans="3:31" ht="13" x14ac:dyDescent="0.25">
      <c r="C111" s="202" t="s">
        <v>239</v>
      </c>
      <c r="D111" s="17" t="s">
        <v>237</v>
      </c>
      <c r="E111" s="17"/>
      <c r="F111" s="44">
        <f t="shared" ref="F111:P113" si="3">SUMIFS(F$90:F$108,$D$90:$D$108,$D111)</f>
        <v>36313700000</v>
      </c>
      <c r="G111" s="44">
        <f t="shared" si="3"/>
        <v>10894110000</v>
      </c>
      <c r="H111" s="44">
        <f t="shared" si="3"/>
        <v>25419590000</v>
      </c>
      <c r="I111" s="44">
        <f t="shared" si="3"/>
        <v>3631370000</v>
      </c>
      <c r="J111" s="44">
        <f t="shared" si="3"/>
        <v>2301394913.866663</v>
      </c>
      <c r="K111" s="44">
        <f t="shared" si="3"/>
        <v>3631370000</v>
      </c>
      <c r="L111" s="44">
        <f t="shared" si="3"/>
        <v>3631370014</v>
      </c>
      <c r="M111" s="44">
        <f t="shared" si="3"/>
        <v>3631370026</v>
      </c>
      <c r="N111" s="44">
        <f t="shared" si="3"/>
        <v>3631370040</v>
      </c>
      <c r="O111" s="44">
        <f t="shared" si="3"/>
        <v>3631370054</v>
      </c>
      <c r="P111" s="44">
        <f t="shared" si="3"/>
        <v>3631370068</v>
      </c>
      <c r="Q111" s="44">
        <f t="shared" ref="Q111:AE113" si="4">SUMIFS(Q$90:Q$108,$D$90:$D$108,$D111)</f>
        <v>8473196666.6666679</v>
      </c>
      <c r="R111" s="44">
        <f t="shared" si="4"/>
        <v>8473196666.6666679</v>
      </c>
      <c r="S111" s="44">
        <f t="shared" si="4"/>
        <v>8473196666.6666679</v>
      </c>
      <c r="T111" s="44">
        <f t="shared" si="4"/>
        <v>8473196666.6666679</v>
      </c>
      <c r="U111" s="44">
        <f t="shared" si="4"/>
        <v>8473196666.6666679</v>
      </c>
      <c r="V111" s="44">
        <f t="shared" si="4"/>
        <v>8473196666.6666679</v>
      </c>
      <c r="W111" s="44">
        <f t="shared" si="4"/>
        <v>8473196666.6666679</v>
      </c>
      <c r="X111" s="44">
        <f t="shared" si="4"/>
        <v>8473196666.6666679</v>
      </c>
      <c r="Y111" s="44">
        <f t="shared" si="4"/>
        <v>8473196666.6666679</v>
      </c>
      <c r="Z111" s="44">
        <f t="shared" si="4"/>
        <v>8473196666.6666679</v>
      </c>
      <c r="AA111" s="44">
        <f t="shared" si="4"/>
        <v>8473196666.6666679</v>
      </c>
      <c r="AB111" s="44">
        <f t="shared" si="4"/>
        <v>8473196666.6666679</v>
      </c>
      <c r="AC111" s="44">
        <f t="shared" si="4"/>
        <v>8473196666.6666679</v>
      </c>
      <c r="AD111" s="44">
        <f t="shared" si="4"/>
        <v>8473196666.6666679</v>
      </c>
      <c r="AE111" s="44">
        <f t="shared" si="4"/>
        <v>8473196666.6666679</v>
      </c>
    </row>
    <row r="112" spans="3:31" ht="13" x14ac:dyDescent="0.25">
      <c r="C112" s="202" t="s">
        <v>240</v>
      </c>
      <c r="D112" s="17" t="s">
        <v>238</v>
      </c>
      <c r="E112" s="17"/>
      <c r="F112" s="44">
        <f t="shared" si="3"/>
        <v>2610000000</v>
      </c>
      <c r="G112" s="44">
        <f t="shared" si="3"/>
        <v>783000000</v>
      </c>
      <c r="H112" s="44">
        <f t="shared" si="3"/>
        <v>1827000000</v>
      </c>
      <c r="I112" s="44">
        <f t="shared" si="3"/>
        <v>261000000</v>
      </c>
      <c r="J112" s="44">
        <f t="shared" si="3"/>
        <v>136181849</v>
      </c>
      <c r="K112" s="44">
        <f t="shared" si="3"/>
        <v>261000000</v>
      </c>
      <c r="L112" s="44">
        <f t="shared" si="3"/>
        <v>261000004</v>
      </c>
      <c r="M112" s="44">
        <f t="shared" si="3"/>
        <v>261000008</v>
      </c>
      <c r="N112" s="44">
        <f t="shared" si="3"/>
        <v>261000012</v>
      </c>
      <c r="O112" s="44">
        <f t="shared" si="3"/>
        <v>261000016</v>
      </c>
      <c r="P112" s="44">
        <f t="shared" si="3"/>
        <v>261000020</v>
      </c>
      <c r="Q112" s="44">
        <f t="shared" si="4"/>
        <v>609000000.00000012</v>
      </c>
      <c r="R112" s="44">
        <f t="shared" si="4"/>
        <v>609000000.00000012</v>
      </c>
      <c r="S112" s="44">
        <f t="shared" si="4"/>
        <v>609000000.00000012</v>
      </c>
      <c r="T112" s="44">
        <f t="shared" si="4"/>
        <v>609000000.00000012</v>
      </c>
      <c r="U112" s="44">
        <f t="shared" si="4"/>
        <v>609000000.00000012</v>
      </c>
      <c r="V112" s="44">
        <f t="shared" si="4"/>
        <v>609000000.00000012</v>
      </c>
      <c r="W112" s="44">
        <f t="shared" si="4"/>
        <v>609000000.00000012</v>
      </c>
      <c r="X112" s="44">
        <f t="shared" si="4"/>
        <v>609000000.00000012</v>
      </c>
      <c r="Y112" s="44">
        <f t="shared" si="4"/>
        <v>609000000.00000012</v>
      </c>
      <c r="Z112" s="44">
        <f t="shared" si="4"/>
        <v>609000000.00000012</v>
      </c>
      <c r="AA112" s="44">
        <f t="shared" si="4"/>
        <v>609000000.00000012</v>
      </c>
      <c r="AB112" s="44">
        <f t="shared" si="4"/>
        <v>609000000.00000012</v>
      </c>
      <c r="AC112" s="44">
        <f t="shared" si="4"/>
        <v>609000000.00000012</v>
      </c>
      <c r="AD112" s="44">
        <f t="shared" si="4"/>
        <v>609000000.00000012</v>
      </c>
      <c r="AE112" s="44">
        <f t="shared" si="4"/>
        <v>609000000.00000012</v>
      </c>
    </row>
    <row r="113" spans="2:31" ht="13" x14ac:dyDescent="0.25">
      <c r="C113" s="202" t="s">
        <v>241</v>
      </c>
      <c r="D113" s="17" t="s">
        <v>235</v>
      </c>
      <c r="E113" s="17"/>
      <c r="F113" s="44">
        <f t="shared" si="3"/>
        <v>100000000000</v>
      </c>
      <c r="G113" s="44">
        <f t="shared" si="3"/>
        <v>30000000000</v>
      </c>
      <c r="H113" s="44">
        <f t="shared" si="3"/>
        <v>70000000000</v>
      </c>
      <c r="I113" s="44">
        <f t="shared" si="3"/>
        <v>10000000000</v>
      </c>
      <c r="J113" s="44">
        <f t="shared" si="3"/>
        <v>48649927456.636688</v>
      </c>
      <c r="K113" s="44">
        <f t="shared" si="3"/>
        <v>10000000000</v>
      </c>
      <c r="L113" s="44">
        <f t="shared" si="3"/>
        <v>10000000001</v>
      </c>
      <c r="M113" s="44">
        <f t="shared" si="3"/>
        <v>10000000002</v>
      </c>
      <c r="N113" s="44">
        <f t="shared" si="3"/>
        <v>10000000003</v>
      </c>
      <c r="O113" s="44">
        <f t="shared" si="3"/>
        <v>10000000004</v>
      </c>
      <c r="P113" s="44">
        <f t="shared" si="3"/>
        <v>10000000005</v>
      </c>
      <c r="Q113" s="44">
        <f t="shared" si="4"/>
        <v>23333333333.333332</v>
      </c>
      <c r="R113" s="44">
        <f t="shared" si="4"/>
        <v>23333333333.333332</v>
      </c>
      <c r="S113" s="44">
        <f t="shared" si="4"/>
        <v>23333333333.333332</v>
      </c>
      <c r="T113" s="44">
        <f t="shared" si="4"/>
        <v>23333333333.333332</v>
      </c>
      <c r="U113" s="44">
        <f t="shared" si="4"/>
        <v>23333333333.333332</v>
      </c>
      <c r="V113" s="44">
        <f t="shared" si="4"/>
        <v>23333333333.333332</v>
      </c>
      <c r="W113" s="44">
        <f t="shared" si="4"/>
        <v>23333333333.333332</v>
      </c>
      <c r="X113" s="44">
        <f t="shared" si="4"/>
        <v>23333333333.333332</v>
      </c>
      <c r="Y113" s="44">
        <f t="shared" si="4"/>
        <v>23333333333.333332</v>
      </c>
      <c r="Z113" s="44">
        <f t="shared" si="4"/>
        <v>23333333333.333332</v>
      </c>
      <c r="AA113" s="44">
        <f t="shared" si="4"/>
        <v>23333333333.333332</v>
      </c>
      <c r="AB113" s="44">
        <f t="shared" si="4"/>
        <v>23333333333.333332</v>
      </c>
      <c r="AC113" s="44">
        <f t="shared" si="4"/>
        <v>23333333333.333332</v>
      </c>
      <c r="AD113" s="44">
        <f t="shared" si="4"/>
        <v>23333333333.333332</v>
      </c>
      <c r="AE113" s="44">
        <f t="shared" si="4"/>
        <v>23333333333.333332</v>
      </c>
    </row>
    <row r="114" spans="2:31" ht="13" x14ac:dyDescent="0.25">
      <c r="C114" s="202" t="s">
        <v>124</v>
      </c>
      <c r="D114" s="17" t="s">
        <v>242</v>
      </c>
      <c r="E114" s="17"/>
      <c r="F114" s="44">
        <f>F111+F112+F113</f>
        <v>138923700000</v>
      </c>
      <c r="G114" s="44">
        <f t="shared" ref="G114:S114" si="5">G111+G112+G113</f>
        <v>41677110000</v>
      </c>
      <c r="H114" s="44">
        <f t="shared" si="5"/>
        <v>97246590000</v>
      </c>
      <c r="I114" s="44">
        <f t="shared" si="5"/>
        <v>13892370000</v>
      </c>
      <c r="J114" s="44">
        <f t="shared" si="5"/>
        <v>51087504219.503349</v>
      </c>
      <c r="K114" s="44">
        <f t="shared" si="5"/>
        <v>13892370000</v>
      </c>
      <c r="L114" s="44">
        <f t="shared" ref="L114:P114" si="6">L111+L112+L113</f>
        <v>13892370019</v>
      </c>
      <c r="M114" s="44">
        <f t="shared" si="6"/>
        <v>13892370036</v>
      </c>
      <c r="N114" s="44">
        <f t="shared" si="6"/>
        <v>13892370055</v>
      </c>
      <c r="O114" s="44">
        <f t="shared" si="6"/>
        <v>13892370074</v>
      </c>
      <c r="P114" s="44">
        <f t="shared" si="6"/>
        <v>13892370093</v>
      </c>
      <c r="Q114" s="44">
        <f t="shared" si="5"/>
        <v>32415530000</v>
      </c>
      <c r="R114" s="44">
        <f t="shared" si="5"/>
        <v>32415530000</v>
      </c>
      <c r="S114" s="44">
        <f t="shared" si="5"/>
        <v>32415530000</v>
      </c>
      <c r="T114" s="44">
        <f t="shared" ref="T114:AE114" si="7">T111+T112+T113</f>
        <v>32415530000</v>
      </c>
      <c r="U114" s="44">
        <f t="shared" si="7"/>
        <v>32415530000</v>
      </c>
      <c r="V114" s="44">
        <f t="shared" si="7"/>
        <v>32415530000</v>
      </c>
      <c r="W114" s="44">
        <f t="shared" si="7"/>
        <v>32415530000</v>
      </c>
      <c r="X114" s="44">
        <f t="shared" si="7"/>
        <v>32415530000</v>
      </c>
      <c r="Y114" s="44">
        <f t="shared" si="7"/>
        <v>32415530000</v>
      </c>
      <c r="Z114" s="44">
        <f t="shared" si="7"/>
        <v>32415530000</v>
      </c>
      <c r="AA114" s="44">
        <f t="shared" si="7"/>
        <v>32415530000</v>
      </c>
      <c r="AB114" s="44">
        <f t="shared" si="7"/>
        <v>32415530000</v>
      </c>
      <c r="AC114" s="44">
        <f t="shared" si="7"/>
        <v>32415530000</v>
      </c>
      <c r="AD114" s="44">
        <f t="shared" si="7"/>
        <v>32415530000</v>
      </c>
      <c r="AE114" s="44">
        <f t="shared" si="7"/>
        <v>32415530000</v>
      </c>
    </row>
    <row r="115" spans="2:31" x14ac:dyDescent="0.25">
      <c r="C115" s="142"/>
      <c r="E115" s="17"/>
      <c r="F115" s="43"/>
      <c r="G115" s="43"/>
      <c r="H115" s="43"/>
      <c r="I115" s="43"/>
      <c r="J115" s="43"/>
      <c r="K115" s="43"/>
      <c r="L115" s="43"/>
      <c r="M115" s="43"/>
      <c r="N115" s="43"/>
      <c r="O115" s="43"/>
      <c r="P115" s="43"/>
      <c r="Q115" s="43"/>
      <c r="R115" s="43"/>
      <c r="S115" s="43"/>
      <c r="T115" s="43"/>
      <c r="U115" s="43"/>
      <c r="V115" s="43"/>
      <c r="W115" s="43"/>
      <c r="X115" s="43"/>
      <c r="Y115" s="43"/>
      <c r="Z115" s="43"/>
      <c r="AA115" s="43"/>
      <c r="AB115" s="43"/>
      <c r="AC115" s="43"/>
      <c r="AD115" s="43"/>
      <c r="AE115" s="43"/>
    </row>
    <row r="116" spans="2:31" s="170" customFormat="1" ht="13" x14ac:dyDescent="0.25">
      <c r="B116" s="18" t="s">
        <v>243</v>
      </c>
      <c r="C116" s="197"/>
      <c r="D116" s="198"/>
      <c r="E116" s="198"/>
      <c r="F116" s="199"/>
      <c r="G116" s="199"/>
      <c r="H116" s="199"/>
      <c r="I116" s="199"/>
      <c r="J116" s="199"/>
      <c r="K116" s="199"/>
      <c r="L116" s="199"/>
      <c r="M116" s="199"/>
      <c r="N116" s="199"/>
      <c r="O116" s="199"/>
      <c r="P116" s="199"/>
      <c r="Q116" s="199"/>
      <c r="R116" s="199"/>
      <c r="S116" s="199"/>
      <c r="T116" s="199"/>
      <c r="U116" s="199"/>
      <c r="V116" s="199"/>
      <c r="W116" s="199"/>
      <c r="X116" s="199"/>
      <c r="Y116" s="199"/>
      <c r="Z116" s="199"/>
      <c r="AA116" s="199"/>
      <c r="AB116" s="199"/>
      <c r="AC116" s="199"/>
      <c r="AD116" s="199"/>
      <c r="AE116" s="199"/>
    </row>
    <row r="117" spans="2:31" ht="13" x14ac:dyDescent="0.3">
      <c r="B117" s="124"/>
      <c r="C117" s="15"/>
      <c r="D117" s="200"/>
      <c r="E117" s="200"/>
      <c r="F117" s="397" t="s">
        <v>244</v>
      </c>
      <c r="G117" s="397" t="s">
        <v>245</v>
      </c>
      <c r="H117" s="397" t="s">
        <v>246</v>
      </c>
      <c r="I117" s="397" t="s">
        <v>247</v>
      </c>
      <c r="J117" s="397" t="s">
        <v>248</v>
      </c>
      <c r="K117" s="397" t="s">
        <v>249</v>
      </c>
      <c r="L117" s="397"/>
      <c r="M117" s="397"/>
      <c r="N117" s="397"/>
      <c r="O117" s="397"/>
      <c r="P117" s="397"/>
      <c r="Q117" s="43"/>
      <c r="R117" s="43"/>
      <c r="S117" s="43"/>
      <c r="T117" s="43"/>
      <c r="U117" s="43"/>
      <c r="V117" s="43"/>
      <c r="W117" s="43"/>
      <c r="X117" s="43"/>
      <c r="Y117" s="43"/>
      <c r="Z117" s="43"/>
      <c r="AA117" s="43"/>
      <c r="AB117" s="43"/>
      <c r="AC117" s="43"/>
      <c r="AD117" s="43"/>
      <c r="AE117" s="43"/>
    </row>
    <row r="118" spans="2:31" ht="13.5" thickBot="1" x14ac:dyDescent="0.35">
      <c r="B118" s="132" t="s">
        <v>250</v>
      </c>
      <c r="C118" s="16" t="s">
        <v>251</v>
      </c>
      <c r="D118" s="17"/>
      <c r="E118" s="17"/>
      <c r="F118" s="16" t="s">
        <v>252</v>
      </c>
      <c r="G118" s="16" t="s">
        <v>253</v>
      </c>
      <c r="H118" s="16" t="s">
        <v>254</v>
      </c>
      <c r="I118" s="16" t="s">
        <v>255</v>
      </c>
      <c r="J118" s="16" t="s">
        <v>256</v>
      </c>
      <c r="K118" s="16" t="s">
        <v>257</v>
      </c>
      <c r="L118" s="16"/>
      <c r="M118" s="16"/>
      <c r="N118" s="16"/>
      <c r="O118" s="16"/>
      <c r="P118" s="16"/>
      <c r="Q118" s="43"/>
      <c r="R118" s="43"/>
      <c r="S118" s="43"/>
      <c r="T118" s="43"/>
      <c r="U118" s="43"/>
      <c r="V118" s="43"/>
      <c r="W118" s="43"/>
      <c r="X118" s="43"/>
      <c r="Y118" s="43"/>
      <c r="Z118" s="43"/>
      <c r="AA118" s="43"/>
      <c r="AB118" s="43"/>
      <c r="AC118" s="43"/>
      <c r="AD118" s="43"/>
      <c r="AE118" s="43"/>
    </row>
    <row r="119" spans="2:31" ht="13" x14ac:dyDescent="0.3">
      <c r="B119" s="132"/>
      <c r="C119" s="222" t="s">
        <v>258</v>
      </c>
      <c r="D119" s="148" t="s">
        <v>259</v>
      </c>
      <c r="E119" s="148"/>
      <c r="F119" s="414">
        <v>40000000</v>
      </c>
      <c r="G119" s="414">
        <v>30000000</v>
      </c>
      <c r="H119" s="414">
        <v>20000000</v>
      </c>
      <c r="I119" s="414">
        <v>10000000</v>
      </c>
      <c r="J119" s="414">
        <v>310202.61</v>
      </c>
      <c r="K119" s="415">
        <v>0</v>
      </c>
      <c r="L119" s="43"/>
      <c r="M119" s="43"/>
      <c r="N119" s="43"/>
      <c r="O119" s="43"/>
      <c r="P119" s="43"/>
      <c r="Q119" s="43"/>
      <c r="R119" s="537" t="s">
        <v>260</v>
      </c>
      <c r="S119" s="538"/>
      <c r="T119" s="538"/>
      <c r="U119" s="538"/>
      <c r="V119" s="538"/>
      <c r="W119" s="539"/>
    </row>
    <row r="120" spans="2:31" ht="13.4" customHeight="1" x14ac:dyDescent="0.3">
      <c r="B120" s="132" t="s">
        <v>239</v>
      </c>
      <c r="C120" s="223" t="s">
        <v>261</v>
      </c>
      <c r="D120" s="17" t="s">
        <v>262</v>
      </c>
      <c r="E120" s="17"/>
      <c r="F120" s="43">
        <v>90000000</v>
      </c>
      <c r="G120" s="43">
        <v>80000000</v>
      </c>
      <c r="H120" s="43">
        <v>70000000</v>
      </c>
      <c r="I120" s="43">
        <v>60000000</v>
      </c>
      <c r="J120" s="43">
        <v>50000000</v>
      </c>
      <c r="K120" s="43">
        <v>0</v>
      </c>
      <c r="L120" s="43"/>
      <c r="M120" s="43"/>
      <c r="N120" s="43"/>
      <c r="O120" s="43"/>
      <c r="P120" s="43"/>
      <c r="R120" s="540"/>
      <c r="S120" s="541"/>
      <c r="T120" s="541"/>
      <c r="U120" s="541"/>
      <c r="V120" s="541"/>
      <c r="W120" s="542"/>
    </row>
    <row r="121" spans="2:31" ht="13.4" customHeight="1" x14ac:dyDescent="0.25">
      <c r="C121" s="223" t="s">
        <v>261</v>
      </c>
      <c r="D121" s="17" t="s">
        <v>263</v>
      </c>
      <c r="E121" s="17"/>
      <c r="F121" s="43">
        <v>0</v>
      </c>
      <c r="G121" s="43">
        <v>0</v>
      </c>
      <c r="H121" s="43">
        <v>0</v>
      </c>
      <c r="I121" s="43">
        <v>0</v>
      </c>
      <c r="J121" s="43">
        <v>0</v>
      </c>
      <c r="K121" s="43">
        <v>0</v>
      </c>
      <c r="L121" s="43"/>
      <c r="M121" s="43"/>
      <c r="N121" s="43"/>
      <c r="O121" s="43"/>
      <c r="P121" s="43"/>
      <c r="R121" s="540"/>
      <c r="S121" s="541"/>
      <c r="T121" s="541"/>
      <c r="U121" s="541"/>
      <c r="V121" s="541"/>
      <c r="W121" s="542"/>
    </row>
    <row r="122" spans="2:31" ht="13" x14ac:dyDescent="0.3">
      <c r="B122" s="132" t="s">
        <v>240</v>
      </c>
      <c r="C122" s="223" t="s">
        <v>264</v>
      </c>
      <c r="D122" s="17" t="s">
        <v>265</v>
      </c>
      <c r="E122" s="17"/>
      <c r="F122" s="43">
        <v>10000000</v>
      </c>
      <c r="G122" s="43">
        <v>9000000</v>
      </c>
      <c r="H122" s="43">
        <v>8000000</v>
      </c>
      <c r="I122" s="43">
        <v>7000000</v>
      </c>
      <c r="J122" s="43">
        <v>6000000</v>
      </c>
      <c r="K122" s="43">
        <v>0</v>
      </c>
      <c r="L122" s="43"/>
      <c r="M122" s="43"/>
      <c r="N122" s="43"/>
      <c r="O122" s="43"/>
      <c r="P122" s="43"/>
      <c r="R122" s="540"/>
      <c r="S122" s="541"/>
      <c r="T122" s="541"/>
      <c r="U122" s="541"/>
      <c r="V122" s="541"/>
      <c r="W122" s="542"/>
    </row>
    <row r="123" spans="2:31" ht="13" x14ac:dyDescent="0.3">
      <c r="B123" s="132" t="s">
        <v>241</v>
      </c>
      <c r="C123" s="223" t="s">
        <v>266</v>
      </c>
      <c r="D123" s="200" t="s">
        <v>267</v>
      </c>
      <c r="E123" s="200"/>
      <c r="F123" s="43">
        <v>5000000000</v>
      </c>
      <c r="G123" s="43">
        <v>4000000000</v>
      </c>
      <c r="H123" s="43">
        <v>3000000000</v>
      </c>
      <c r="I123" s="43">
        <v>2000000000</v>
      </c>
      <c r="J123" s="43">
        <v>1000000000</v>
      </c>
      <c r="K123" s="43">
        <v>0</v>
      </c>
      <c r="L123" s="43"/>
      <c r="M123" s="43"/>
      <c r="N123" s="43"/>
      <c r="O123" s="43"/>
      <c r="P123" s="43"/>
      <c r="R123" s="540"/>
      <c r="S123" s="541"/>
      <c r="T123" s="541"/>
      <c r="U123" s="541"/>
      <c r="V123" s="541"/>
      <c r="W123" s="542"/>
    </row>
    <row r="124" spans="2:31" ht="13.5" thickBot="1" x14ac:dyDescent="0.35">
      <c r="B124" s="132"/>
      <c r="C124" s="224" t="s">
        <v>268</v>
      </c>
      <c r="D124" s="149" t="s">
        <v>113</v>
      </c>
      <c r="E124" s="149"/>
      <c r="F124" s="396">
        <v>1000000</v>
      </c>
      <c r="G124" s="396">
        <v>900000</v>
      </c>
      <c r="H124" s="396">
        <v>800000</v>
      </c>
      <c r="I124" s="396">
        <v>700000</v>
      </c>
      <c r="J124" s="396">
        <v>600000</v>
      </c>
      <c r="K124" s="396">
        <v>0</v>
      </c>
      <c r="L124" s="43"/>
      <c r="M124" s="43"/>
      <c r="N124" s="43"/>
      <c r="O124" s="43"/>
      <c r="P124" s="43"/>
      <c r="R124" s="543"/>
      <c r="S124" s="544"/>
      <c r="T124" s="544"/>
      <c r="U124" s="544"/>
      <c r="V124" s="544"/>
      <c r="W124" s="545"/>
    </row>
    <row r="125" spans="2:31" x14ac:dyDescent="0.25">
      <c r="F125" s="305"/>
      <c r="G125" s="305"/>
      <c r="H125" s="305"/>
      <c r="I125" s="305"/>
      <c r="J125" s="305"/>
      <c r="K125" s="305"/>
      <c r="L125" s="305"/>
      <c r="M125" s="305"/>
      <c r="N125" s="305"/>
      <c r="O125" s="305"/>
      <c r="P125" s="305"/>
      <c r="S125" s="43"/>
      <c r="T125" s="43"/>
      <c r="U125" s="43"/>
      <c r="V125" s="43"/>
      <c r="W125" s="43"/>
      <c r="X125" s="43"/>
      <c r="Y125" s="43"/>
      <c r="Z125" s="43"/>
      <c r="AA125" s="43"/>
      <c r="AB125" s="43"/>
      <c r="AC125" s="43"/>
      <c r="AD125" s="43"/>
      <c r="AE125" s="43"/>
    </row>
    <row r="127" spans="2:31" ht="12.65" customHeight="1" x14ac:dyDescent="0.25">
      <c r="C127" s="323" t="s">
        <v>269</v>
      </c>
      <c r="D127" s="221" t="s">
        <v>270</v>
      </c>
      <c r="E127" s="221"/>
      <c r="F127" s="225">
        <f t="shared" ref="F127:K127" si="8">F120+F121+F122+F123</f>
        <v>5100000000</v>
      </c>
      <c r="G127" s="225">
        <f t="shared" si="8"/>
        <v>4089000000</v>
      </c>
      <c r="H127" s="225">
        <f t="shared" si="8"/>
        <v>3078000000</v>
      </c>
      <c r="I127" s="225">
        <f t="shared" si="8"/>
        <v>2067000000</v>
      </c>
      <c r="J127" s="225">
        <f t="shared" si="8"/>
        <v>1056000000</v>
      </c>
      <c r="K127" s="225">
        <f t="shared" si="8"/>
        <v>0</v>
      </c>
      <c r="L127" s="321"/>
      <c r="M127" s="321"/>
      <c r="N127" s="321"/>
      <c r="O127" s="321"/>
      <c r="P127" s="321"/>
      <c r="R127" s="537" t="s">
        <v>271</v>
      </c>
      <c r="S127" s="538"/>
      <c r="T127" s="538"/>
      <c r="U127" s="538"/>
      <c r="V127" s="538"/>
      <c r="W127" s="539"/>
    </row>
    <row r="128" spans="2:31" ht="13" x14ac:dyDescent="0.3">
      <c r="B128" s="132" t="s">
        <v>124</v>
      </c>
      <c r="C128" s="323" t="s">
        <v>272</v>
      </c>
      <c r="D128" s="221" t="s">
        <v>270</v>
      </c>
      <c r="E128" s="221"/>
      <c r="F128" s="225">
        <f t="shared" ref="F128:K128" si="9">F120+F122+F123</f>
        <v>5100000000</v>
      </c>
      <c r="G128" s="225">
        <f t="shared" si="9"/>
        <v>4089000000</v>
      </c>
      <c r="H128" s="225">
        <f t="shared" si="9"/>
        <v>3078000000</v>
      </c>
      <c r="I128" s="225">
        <f t="shared" si="9"/>
        <v>2067000000</v>
      </c>
      <c r="J128" s="225">
        <f t="shared" si="9"/>
        <v>1056000000</v>
      </c>
      <c r="K128" s="225">
        <f t="shared" si="9"/>
        <v>0</v>
      </c>
      <c r="L128" s="321"/>
      <c r="M128" s="321"/>
      <c r="N128" s="321"/>
      <c r="O128" s="321"/>
      <c r="P128" s="321"/>
      <c r="R128" s="540"/>
      <c r="S128" s="541"/>
      <c r="T128" s="541"/>
      <c r="U128" s="541"/>
      <c r="V128" s="541"/>
      <c r="W128" s="542"/>
    </row>
    <row r="129" spans="2:31" ht="13" x14ac:dyDescent="0.3">
      <c r="B129" s="132" t="s">
        <v>273</v>
      </c>
      <c r="C129" s="323" t="s">
        <v>274</v>
      </c>
      <c r="D129" s="221" t="s">
        <v>275</v>
      </c>
      <c r="E129" s="221"/>
      <c r="F129" s="225">
        <f t="shared" ref="F129:K129" si="10">F120+F121</f>
        <v>90000000</v>
      </c>
      <c r="G129" s="225">
        <f t="shared" si="10"/>
        <v>80000000</v>
      </c>
      <c r="H129" s="225">
        <f t="shared" si="10"/>
        <v>70000000</v>
      </c>
      <c r="I129" s="225">
        <f t="shared" si="10"/>
        <v>60000000</v>
      </c>
      <c r="J129" s="225">
        <f t="shared" si="10"/>
        <v>50000000</v>
      </c>
      <c r="K129" s="225">
        <f t="shared" si="10"/>
        <v>0</v>
      </c>
      <c r="L129" s="321"/>
      <c r="M129" s="321"/>
      <c r="N129" s="321"/>
      <c r="O129" s="321"/>
      <c r="P129" s="321"/>
      <c r="R129" s="543"/>
      <c r="S129" s="544"/>
      <c r="T129" s="544"/>
      <c r="U129" s="544"/>
      <c r="V129" s="544"/>
      <c r="W129" s="545"/>
    </row>
    <row r="130" spans="2:31" ht="13" x14ac:dyDescent="0.3">
      <c r="B130" s="132"/>
      <c r="C130" s="15"/>
      <c r="D130" s="17"/>
      <c r="E130" s="17"/>
      <c r="F130" s="321"/>
      <c r="G130" s="321"/>
      <c r="H130" s="321"/>
      <c r="I130" s="321"/>
      <c r="J130" s="321"/>
      <c r="K130" s="321"/>
      <c r="L130" s="321"/>
      <c r="M130" s="321"/>
      <c r="N130" s="321"/>
      <c r="O130" s="321"/>
      <c r="P130" s="321"/>
    </row>
    <row r="131" spans="2:31" ht="13" x14ac:dyDescent="0.3">
      <c r="B131" s="132"/>
      <c r="C131" s="15"/>
      <c r="D131" s="17"/>
      <c r="E131" s="17"/>
      <c r="F131" s="321"/>
      <c r="G131" s="321"/>
      <c r="H131" s="321"/>
      <c r="I131" s="321"/>
      <c r="J131" s="321"/>
      <c r="K131" s="321"/>
      <c r="L131" s="321"/>
      <c r="M131" s="321"/>
      <c r="N131" s="321"/>
      <c r="O131" s="321"/>
      <c r="P131" s="321"/>
    </row>
    <row r="132" spans="2:31" ht="12.65" customHeight="1" x14ac:dyDescent="0.25"/>
    <row r="133" spans="2:31" s="18" customFormat="1" ht="15.65" customHeight="1" x14ac:dyDescent="0.25">
      <c r="B133" s="18" t="s">
        <v>15</v>
      </c>
    </row>
    <row r="135" spans="2:31" ht="13" x14ac:dyDescent="0.3">
      <c r="C135" s="84" t="str">
        <f>CONCATENATE("De ",TEXT($D$6,"dd/mm/aaaa")," a ",TEXT($F$6,"dd/mm/aaaa"))</f>
        <v>De 01/01/2025 a 31/03/2025</v>
      </c>
    </row>
    <row r="136" spans="2:31" s="2" customFormat="1" ht="13" x14ac:dyDescent="0.25">
      <c r="I136" s="531" t="s">
        <v>92</v>
      </c>
      <c r="J136" s="532"/>
      <c r="K136" s="533"/>
      <c r="L136" s="531" t="s">
        <v>93</v>
      </c>
      <c r="M136" s="532"/>
      <c r="N136" s="533"/>
      <c r="O136" s="531" t="s">
        <v>94</v>
      </c>
      <c r="P136" s="532"/>
      <c r="Q136" s="531" t="s">
        <v>95</v>
      </c>
      <c r="R136" s="532"/>
      <c r="S136" s="532"/>
      <c r="T136" s="532"/>
      <c r="U136" s="532"/>
      <c r="V136" s="532"/>
      <c r="W136" s="532"/>
      <c r="X136" s="532"/>
      <c r="Y136" s="532"/>
      <c r="Z136" s="532"/>
      <c r="AA136" s="531" t="s">
        <v>96</v>
      </c>
      <c r="AB136" s="532"/>
      <c r="AC136" s="532"/>
      <c r="AD136" s="532"/>
      <c r="AE136" s="533"/>
    </row>
    <row r="137" spans="2:31" s="2" customFormat="1" ht="13" x14ac:dyDescent="0.3">
      <c r="B137" s="3"/>
      <c r="C137" s="61" t="s">
        <v>84</v>
      </c>
      <c r="D137" s="19" t="s">
        <v>219</v>
      </c>
      <c r="E137" s="19"/>
      <c r="F137" s="450" t="str">
        <f>Supuestos!B$75</f>
        <v>Todos los segmentos</v>
      </c>
      <c r="G137" s="450" t="str">
        <f>Supuestos!B$76</f>
        <v>Segmento Prepago</v>
      </c>
      <c r="H137" s="450" t="str">
        <f>Supuestos!B$77</f>
        <v>Segmento Pospago</v>
      </c>
      <c r="I137" s="450" t="str">
        <f>Supuestos!B$78</f>
        <v>Telcel Prepago 1</v>
      </c>
      <c r="J137" s="450" t="str">
        <f>Supuestos!B$79</f>
        <v>Telcel Prepago 2</v>
      </c>
      <c r="K137" s="450" t="str">
        <f>Supuestos!B$80</f>
        <v>Telcel Prepago 3</v>
      </c>
      <c r="L137" s="117" t="str">
        <f>Supuestos!B91</f>
        <v>Monto 1</v>
      </c>
      <c r="M137" s="117" t="str">
        <f>Supuestos!B92</f>
        <v>Monto 2</v>
      </c>
      <c r="N137" s="117" t="str">
        <f>Supuestos!B93</f>
        <v>Monto 3</v>
      </c>
      <c r="O137" s="117" t="str">
        <f>Supuestos!B94</f>
        <v>Portabilidad 1</v>
      </c>
      <c r="P137" s="117" t="str">
        <f>Supuestos!B95</f>
        <v>Portabilidad 2</v>
      </c>
      <c r="Q137" s="450" t="str">
        <f>Supuestos!$B81</f>
        <v>Telcel Pospago 1</v>
      </c>
      <c r="R137" s="450" t="str">
        <f>Supuestos!$B82</f>
        <v>Telcel Pospago 5</v>
      </c>
      <c r="S137" s="450" t="str">
        <f>Supuestos!$B83</f>
        <v>Telcel Pospago 3</v>
      </c>
      <c r="T137" s="450" t="str">
        <f>Supuestos!$B84</f>
        <v>Telcel Pospago 4</v>
      </c>
      <c r="U137" s="450" t="str">
        <f>Supuestos!$B85</f>
        <v>Telcel Pospago 2</v>
      </c>
      <c r="V137" s="450" t="str">
        <f>Supuestos!$B86</f>
        <v>Telcel Pospago 6</v>
      </c>
      <c r="W137" s="450" t="str">
        <f>Supuestos!$B87</f>
        <v>Telcel Pospago 7</v>
      </c>
      <c r="X137" s="450" t="str">
        <f>Supuestos!$B88</f>
        <v>Telcel Pospago 9</v>
      </c>
      <c r="Y137" s="450" t="str">
        <f>Supuestos!$B89</f>
        <v>Telcel Pospago 8</v>
      </c>
      <c r="Z137" s="450" t="str">
        <f>Supuestos!$B90</f>
        <v>Telcel Pospago 19</v>
      </c>
      <c r="AA137" s="450" t="str">
        <f>IF(ISBLANK(Supuestos!$B96),"No aplica",Supuestos!$B96)</f>
        <v>Telcel Pospago 22</v>
      </c>
      <c r="AB137" s="450" t="str">
        <f>IF(ISBLANK(Supuestos!$B97),"No aplica",Supuestos!$B97)</f>
        <v>Telcel Pospago 23</v>
      </c>
      <c r="AC137" s="450" t="str">
        <f>IF(ISBLANK(Supuestos!$B98),"No aplica",Supuestos!$B98)</f>
        <v>Telcel Pospago 24</v>
      </c>
      <c r="AD137" s="450" t="str">
        <f>IF(ISBLANK(Supuestos!$B99),"No aplica",Supuestos!$B99)</f>
        <v>Telcel Pospago 25</v>
      </c>
      <c r="AE137" s="450" t="str">
        <f>IF(ISBLANK(Supuestos!$B100),"No aplica",Supuestos!$B100)</f>
        <v>Telcel Pospago 26</v>
      </c>
    </row>
    <row r="138" spans="2:31" s="2" customFormat="1" x14ac:dyDescent="0.25">
      <c r="B138" s="451" t="s">
        <v>276</v>
      </c>
      <c r="C138" s="6" t="str">
        <f>IF(Supuestos!B25="","",Supuestos!B25)</f>
        <v>Acceso a Internet</v>
      </c>
      <c r="D138" s="56" t="s">
        <v>221</v>
      </c>
      <c r="E138" s="57"/>
      <c r="F138" s="452">
        <v>0</v>
      </c>
      <c r="G138" s="452">
        <v>0</v>
      </c>
      <c r="H138" s="452">
        <v>0</v>
      </c>
      <c r="I138" s="452">
        <v>0</v>
      </c>
      <c r="J138" s="452">
        <v>0</v>
      </c>
      <c r="K138" s="452">
        <v>0</v>
      </c>
      <c r="L138" s="452">
        <v>0</v>
      </c>
      <c r="M138" s="452">
        <v>0</v>
      </c>
      <c r="N138" s="452">
        <v>0</v>
      </c>
      <c r="O138" s="452">
        <v>0</v>
      </c>
      <c r="P138" s="452">
        <v>0</v>
      </c>
      <c r="Q138" s="452">
        <v>0</v>
      </c>
      <c r="R138" s="452">
        <v>0</v>
      </c>
      <c r="S138" s="452">
        <v>0</v>
      </c>
      <c r="T138" s="452">
        <v>0</v>
      </c>
      <c r="U138" s="452">
        <v>0</v>
      </c>
      <c r="V138" s="452">
        <v>0</v>
      </c>
      <c r="W138" s="452">
        <v>0</v>
      </c>
      <c r="X138" s="452">
        <v>0</v>
      </c>
      <c r="Y138" s="452">
        <v>0</v>
      </c>
      <c r="Z138" s="452">
        <v>0</v>
      </c>
      <c r="AA138" s="452">
        <v>0</v>
      </c>
      <c r="AB138" s="452">
        <v>0</v>
      </c>
      <c r="AC138" s="452">
        <v>0</v>
      </c>
      <c r="AD138" s="452">
        <v>0</v>
      </c>
      <c r="AE138" s="452">
        <v>0</v>
      </c>
    </row>
    <row r="139" spans="2:31" x14ac:dyDescent="0.25">
      <c r="B139" s="535" t="s">
        <v>277</v>
      </c>
      <c r="C139" s="384" t="str">
        <f>IF(Supuestos!B26="","",Supuestos!B26)</f>
        <v>Servicios OTT de vídeo</v>
      </c>
      <c r="D139" s="57" t="s">
        <v>221</v>
      </c>
      <c r="E139" s="57"/>
      <c r="F139" s="403">
        <v>80000000</v>
      </c>
      <c r="G139" s="403">
        <v>0</v>
      </c>
      <c r="H139" s="403">
        <v>80000000</v>
      </c>
      <c r="I139" s="403">
        <v>0</v>
      </c>
      <c r="J139" s="403">
        <v>26666662.666666701</v>
      </c>
      <c r="K139" s="403">
        <v>0</v>
      </c>
      <c r="L139" s="403">
        <v>26666664.666666701</v>
      </c>
      <c r="M139" s="403">
        <v>26666665.666666701</v>
      </c>
      <c r="N139" s="403">
        <v>26666666.666666701</v>
      </c>
      <c r="O139" s="403">
        <v>26666667.666666701</v>
      </c>
      <c r="P139" s="403">
        <v>26666668.666666701</v>
      </c>
      <c r="Q139" s="403">
        <v>26666661.666666701</v>
      </c>
      <c r="R139" s="402">
        <v>26666662.666666701</v>
      </c>
      <c r="S139" s="402">
        <v>26666663.666666701</v>
      </c>
      <c r="T139" s="402">
        <v>26666664.666666701</v>
      </c>
      <c r="U139" s="402">
        <v>26666665.666666701</v>
      </c>
      <c r="V139" s="402">
        <v>26666666.666666668</v>
      </c>
      <c r="W139" s="402">
        <v>26666667.666666701</v>
      </c>
      <c r="X139" s="402">
        <v>26666668.666666701</v>
      </c>
      <c r="Y139" s="402">
        <v>26666669.666666701</v>
      </c>
      <c r="Z139" s="402">
        <v>26666660.666666701</v>
      </c>
      <c r="AA139" s="402">
        <v>26666661.666666701</v>
      </c>
      <c r="AB139" s="402">
        <v>26666662.666666701</v>
      </c>
      <c r="AC139" s="402">
        <v>26666663.666666701</v>
      </c>
      <c r="AD139" s="402">
        <v>26666664.666666701</v>
      </c>
      <c r="AE139" s="402">
        <v>26666665.666666701</v>
      </c>
    </row>
    <row r="140" spans="2:31" x14ac:dyDescent="0.25">
      <c r="B140" s="536"/>
      <c r="C140" s="385" t="str">
        <f>IF(Supuestos!B27="","",Supuestos!B27)</f>
        <v>Servicios OTT de audio</v>
      </c>
      <c r="D140" s="59" t="s">
        <v>221</v>
      </c>
      <c r="E140" s="59"/>
      <c r="F140" s="404">
        <v>0</v>
      </c>
      <c r="G140" s="404">
        <v>0</v>
      </c>
      <c r="H140" s="404">
        <v>0</v>
      </c>
      <c r="I140" s="404">
        <v>0</v>
      </c>
      <c r="J140" s="404">
        <v>0</v>
      </c>
      <c r="K140" s="404">
        <v>0</v>
      </c>
      <c r="L140" s="404">
        <v>0</v>
      </c>
      <c r="M140" s="404">
        <v>0</v>
      </c>
      <c r="N140" s="404">
        <v>0</v>
      </c>
      <c r="O140" s="404">
        <v>0</v>
      </c>
      <c r="P140" s="404">
        <v>0</v>
      </c>
      <c r="Q140" s="404">
        <v>0</v>
      </c>
      <c r="R140" s="402">
        <v>0</v>
      </c>
      <c r="S140" s="402">
        <v>0</v>
      </c>
      <c r="T140" s="402">
        <v>0</v>
      </c>
      <c r="U140" s="402">
        <v>0</v>
      </c>
      <c r="V140" s="402">
        <v>0</v>
      </c>
      <c r="W140" s="402">
        <v>0</v>
      </c>
      <c r="X140" s="402">
        <v>0</v>
      </c>
      <c r="Y140" s="402">
        <v>0</v>
      </c>
      <c r="Z140" s="402">
        <v>0</v>
      </c>
      <c r="AA140" s="402">
        <v>0</v>
      </c>
      <c r="AB140" s="402">
        <v>0</v>
      </c>
      <c r="AC140" s="402">
        <v>0</v>
      </c>
      <c r="AD140" s="402">
        <v>0</v>
      </c>
      <c r="AE140" s="402">
        <v>0</v>
      </c>
    </row>
    <row r="141" spans="2:31" x14ac:dyDescent="0.25">
      <c r="B141" s="534" t="s">
        <v>278</v>
      </c>
      <c r="C141" s="6" t="str">
        <f>IF(Supuestos!B28="","",Supuestos!B28)</f>
        <v>Comerciales</v>
      </c>
      <c r="D141" s="57" t="s">
        <v>221</v>
      </c>
      <c r="E141" s="57"/>
      <c r="F141" s="402">
        <v>3000000000</v>
      </c>
      <c r="G141" s="402">
        <v>2099999999.9999998</v>
      </c>
      <c r="H141" s="402">
        <v>900000000</v>
      </c>
      <c r="I141" s="402">
        <v>700000001</v>
      </c>
      <c r="J141" s="402">
        <v>300000002</v>
      </c>
      <c r="K141" s="402">
        <v>700000003</v>
      </c>
      <c r="L141" s="402">
        <v>300000004</v>
      </c>
      <c r="M141" s="402">
        <v>300000005</v>
      </c>
      <c r="N141" s="402">
        <v>300000006</v>
      </c>
      <c r="O141" s="402">
        <v>300000007</v>
      </c>
      <c r="P141" s="402">
        <v>300000008</v>
      </c>
      <c r="Q141" s="402">
        <v>300000001</v>
      </c>
      <c r="R141" s="402">
        <v>300000002</v>
      </c>
      <c r="S141" s="402">
        <v>300000003</v>
      </c>
      <c r="T141" s="402">
        <v>300000004</v>
      </c>
      <c r="U141" s="402">
        <v>300000005</v>
      </c>
      <c r="V141" s="402">
        <v>300000006</v>
      </c>
      <c r="W141" s="402">
        <v>300000007</v>
      </c>
      <c r="X141" s="402">
        <v>300000008</v>
      </c>
      <c r="Y141" s="402">
        <v>300000009</v>
      </c>
      <c r="Z141" s="402">
        <v>300000000</v>
      </c>
      <c r="AA141" s="402">
        <v>300000001</v>
      </c>
      <c r="AB141" s="402">
        <v>300000002</v>
      </c>
      <c r="AC141" s="402">
        <v>300000003</v>
      </c>
      <c r="AD141" s="402">
        <v>300000004</v>
      </c>
      <c r="AE141" s="402">
        <v>300000005</v>
      </c>
    </row>
    <row r="142" spans="2:31" x14ac:dyDescent="0.25">
      <c r="B142" s="534"/>
      <c r="C142" s="6" t="str">
        <f>IF(Supuestos!B29="","",Supuestos!B29)</f>
        <v>Facturación</v>
      </c>
      <c r="D142" s="57" t="s">
        <v>221</v>
      </c>
      <c r="E142" s="57"/>
      <c r="F142" s="402">
        <v>900000</v>
      </c>
      <c r="G142" s="402">
        <v>0</v>
      </c>
      <c r="H142" s="402">
        <v>900000</v>
      </c>
      <c r="I142" s="402">
        <v>0</v>
      </c>
      <c r="J142" s="402">
        <v>300002</v>
      </c>
      <c r="K142" s="402">
        <v>0</v>
      </c>
      <c r="L142" s="402">
        <v>300004</v>
      </c>
      <c r="M142" s="402">
        <v>300005</v>
      </c>
      <c r="N142" s="402">
        <v>300006</v>
      </c>
      <c r="O142" s="402">
        <v>300007</v>
      </c>
      <c r="P142" s="402">
        <v>300008</v>
      </c>
      <c r="Q142" s="402">
        <v>300001</v>
      </c>
      <c r="R142" s="402">
        <v>300002</v>
      </c>
      <c r="S142" s="402">
        <v>300003</v>
      </c>
      <c r="T142" s="402">
        <v>300004</v>
      </c>
      <c r="U142" s="402">
        <v>300005</v>
      </c>
      <c r="V142" s="402">
        <v>300006</v>
      </c>
      <c r="W142" s="402">
        <v>300007</v>
      </c>
      <c r="X142" s="402">
        <v>300008</v>
      </c>
      <c r="Y142" s="402">
        <v>300009</v>
      </c>
      <c r="Z142" s="402">
        <v>300000</v>
      </c>
      <c r="AA142" s="402">
        <v>300001</v>
      </c>
      <c r="AB142" s="402">
        <v>300002</v>
      </c>
      <c r="AC142" s="402">
        <v>300003</v>
      </c>
      <c r="AD142" s="402">
        <v>300004</v>
      </c>
      <c r="AE142" s="402">
        <v>300005</v>
      </c>
    </row>
    <row r="143" spans="2:31" x14ac:dyDescent="0.25">
      <c r="B143" s="534"/>
      <c r="C143" s="6" t="str">
        <f>IF(Supuestos!B30="","",Supuestos!B30)</f>
        <v>Cobranza</v>
      </c>
      <c r="D143" s="57" t="s">
        <v>221</v>
      </c>
      <c r="E143" s="57"/>
      <c r="F143" s="402">
        <v>35000000</v>
      </c>
      <c r="G143" s="402">
        <v>0</v>
      </c>
      <c r="H143" s="402">
        <v>35000000</v>
      </c>
      <c r="I143" s="402">
        <v>0</v>
      </c>
      <c r="J143" s="402">
        <v>11666662.6666667</v>
      </c>
      <c r="K143" s="402">
        <v>0</v>
      </c>
      <c r="L143" s="402">
        <v>11666664.6666667</v>
      </c>
      <c r="M143" s="402">
        <v>11666665.6666667</v>
      </c>
      <c r="N143" s="402">
        <v>11666666.6666667</v>
      </c>
      <c r="O143" s="402">
        <v>11666667.6666667</v>
      </c>
      <c r="P143" s="402">
        <v>11666668.6666667</v>
      </c>
      <c r="Q143" s="402">
        <v>11666661.6666667</v>
      </c>
      <c r="R143" s="402">
        <v>11666662.6666667</v>
      </c>
      <c r="S143" s="402">
        <v>11666663.6666667</v>
      </c>
      <c r="T143" s="402">
        <v>11666664.6666667</v>
      </c>
      <c r="U143" s="402">
        <v>11666665.6666667</v>
      </c>
      <c r="V143" s="402">
        <v>11666666.666666666</v>
      </c>
      <c r="W143" s="402">
        <v>11666667.6666667</v>
      </c>
      <c r="X143" s="402">
        <v>11666668.6666667</v>
      </c>
      <c r="Y143" s="402">
        <v>11666669.6666667</v>
      </c>
      <c r="Z143" s="402">
        <v>11666660.6666667</v>
      </c>
      <c r="AA143" s="402">
        <v>11666661.6666667</v>
      </c>
      <c r="AB143" s="402">
        <v>11666662.6666667</v>
      </c>
      <c r="AC143" s="402">
        <v>11666663.6666667</v>
      </c>
      <c r="AD143" s="402">
        <v>11666664.6666667</v>
      </c>
      <c r="AE143" s="402">
        <v>11666665.6666667</v>
      </c>
    </row>
    <row r="144" spans="2:31" x14ac:dyDescent="0.25">
      <c r="B144" s="534"/>
      <c r="C144" s="6" t="str">
        <f>IF(Supuestos!B31="","",Supuestos!B31)</f>
        <v>Tasas e impuestos</v>
      </c>
      <c r="D144" s="57" t="s">
        <v>221</v>
      </c>
      <c r="E144" s="57"/>
      <c r="F144" s="402">
        <v>35000000</v>
      </c>
      <c r="G144" s="402">
        <v>24500000</v>
      </c>
      <c r="H144" s="402">
        <v>10500000</v>
      </c>
      <c r="I144" s="402">
        <v>8166661.6666666698</v>
      </c>
      <c r="J144" s="402">
        <v>3500002</v>
      </c>
      <c r="K144" s="402">
        <v>8166663.6666666698</v>
      </c>
      <c r="L144" s="402">
        <v>3500004</v>
      </c>
      <c r="M144" s="402">
        <v>3500005</v>
      </c>
      <c r="N144" s="402">
        <v>3500006</v>
      </c>
      <c r="O144" s="402">
        <v>3500007</v>
      </c>
      <c r="P144" s="402">
        <v>3500008</v>
      </c>
      <c r="Q144" s="402">
        <v>3500001</v>
      </c>
      <c r="R144" s="402">
        <v>3500002</v>
      </c>
      <c r="S144" s="402">
        <v>3500003</v>
      </c>
      <c r="T144" s="402">
        <v>3500004</v>
      </c>
      <c r="U144" s="402">
        <v>3500005</v>
      </c>
      <c r="V144" s="402">
        <v>3500006</v>
      </c>
      <c r="W144" s="402">
        <v>3500007</v>
      </c>
      <c r="X144" s="402">
        <v>3500008</v>
      </c>
      <c r="Y144" s="402">
        <v>3500009</v>
      </c>
      <c r="Z144" s="402">
        <v>3500000</v>
      </c>
      <c r="AA144" s="402">
        <v>3500001</v>
      </c>
      <c r="AB144" s="402">
        <v>3500002</v>
      </c>
      <c r="AC144" s="402">
        <v>3500003</v>
      </c>
      <c r="AD144" s="402">
        <v>3500004</v>
      </c>
      <c r="AE144" s="402">
        <v>3500005</v>
      </c>
    </row>
    <row r="145" spans="2:31" x14ac:dyDescent="0.25">
      <c r="B145" s="534"/>
      <c r="C145" s="385" t="str">
        <f>IF(Supuestos!B32="","",Supuestos!B32)</f>
        <v>Programas de fidelización</v>
      </c>
      <c r="D145" s="57" t="s">
        <v>221</v>
      </c>
      <c r="E145" s="57"/>
      <c r="F145" s="404">
        <v>40000000</v>
      </c>
      <c r="G145" s="404">
        <v>0</v>
      </c>
      <c r="H145" s="404">
        <v>40000000</v>
      </c>
      <c r="I145" s="404">
        <v>0</v>
      </c>
      <c r="J145" s="404">
        <v>13333332.3333333</v>
      </c>
      <c r="K145" s="404">
        <v>0</v>
      </c>
      <c r="L145" s="404">
        <v>13333334.3333333</v>
      </c>
      <c r="M145" s="404">
        <v>13333335.3333333</v>
      </c>
      <c r="N145" s="404">
        <v>13333336.3333333</v>
      </c>
      <c r="O145" s="404">
        <v>13333337.3333333</v>
      </c>
      <c r="P145" s="404">
        <v>13333338.3333333</v>
      </c>
      <c r="Q145" s="404">
        <v>13333331.3333333</v>
      </c>
      <c r="R145" s="402">
        <v>13333332.3333333</v>
      </c>
      <c r="S145" s="402">
        <v>13333333.3333333</v>
      </c>
      <c r="T145" s="402">
        <v>13333334.3333333</v>
      </c>
      <c r="U145" s="402">
        <v>13333335.3333333</v>
      </c>
      <c r="V145" s="402">
        <v>13333336.3333333</v>
      </c>
      <c r="W145" s="402">
        <v>13333337.3333333</v>
      </c>
      <c r="X145" s="402">
        <v>13333338.3333333</v>
      </c>
      <c r="Y145" s="402">
        <v>13333339.3333333</v>
      </c>
      <c r="Z145" s="402">
        <v>13333330.3333333</v>
      </c>
      <c r="AA145" s="402">
        <v>13333331.3333333</v>
      </c>
      <c r="AB145" s="402">
        <v>13333332.3333333</v>
      </c>
      <c r="AC145" s="402">
        <v>13333333.333333334</v>
      </c>
      <c r="AD145" s="402">
        <v>13333334.3333333</v>
      </c>
      <c r="AE145" s="402">
        <v>13333335.3333333</v>
      </c>
    </row>
    <row r="146" spans="2:31" x14ac:dyDescent="0.25">
      <c r="B146" s="151" t="s">
        <v>279</v>
      </c>
      <c r="C146" s="6" t="str">
        <f>IF(Supuestos!B33="","",Supuestos!B33)</f>
        <v>Acceso internet internacional</v>
      </c>
      <c r="D146" s="58" t="s">
        <v>221</v>
      </c>
      <c r="E146" s="57"/>
      <c r="F146" s="402">
        <v>38000000</v>
      </c>
      <c r="G146" s="402">
        <v>26600000</v>
      </c>
      <c r="H146" s="402">
        <v>11400000</v>
      </c>
      <c r="I146" s="402">
        <v>8866661.6666666698</v>
      </c>
      <c r="J146" s="402">
        <v>3800002</v>
      </c>
      <c r="K146" s="402">
        <v>8866663.6666666698</v>
      </c>
      <c r="L146" s="402">
        <v>3800004</v>
      </c>
      <c r="M146" s="402">
        <v>3800005</v>
      </c>
      <c r="N146" s="402">
        <v>3800006</v>
      </c>
      <c r="O146" s="402">
        <v>3800007</v>
      </c>
      <c r="P146" s="402">
        <v>3800008</v>
      </c>
      <c r="Q146" s="402">
        <v>3800001</v>
      </c>
      <c r="R146" s="402">
        <v>3800002</v>
      </c>
      <c r="S146" s="402">
        <v>3800003</v>
      </c>
      <c r="T146" s="402">
        <v>3800004</v>
      </c>
      <c r="U146" s="402">
        <v>3800005</v>
      </c>
      <c r="V146" s="402">
        <v>3800006</v>
      </c>
      <c r="W146" s="402">
        <v>3800007</v>
      </c>
      <c r="X146" s="402">
        <v>3800008</v>
      </c>
      <c r="Y146" s="402">
        <v>3800009</v>
      </c>
      <c r="Z146" s="402">
        <v>3800000</v>
      </c>
      <c r="AA146" s="402">
        <v>3800001</v>
      </c>
      <c r="AB146" s="402">
        <v>3800002</v>
      </c>
      <c r="AC146" s="402">
        <v>3800003</v>
      </c>
      <c r="AD146" s="402">
        <v>3800004</v>
      </c>
      <c r="AE146" s="402">
        <v>3800005</v>
      </c>
    </row>
    <row r="147" spans="2:31" x14ac:dyDescent="0.25">
      <c r="B147" s="380"/>
      <c r="C147" s="6" t="str">
        <f>IF(Supuestos!B34="","",Supuestos!B34)</f>
        <v>Roaming nacional</v>
      </c>
      <c r="D147" s="57" t="s">
        <v>221</v>
      </c>
      <c r="E147" s="57"/>
      <c r="F147" s="402">
        <v>15000000</v>
      </c>
      <c r="G147" s="402">
        <v>10500000</v>
      </c>
      <c r="H147" s="402">
        <v>4500000</v>
      </c>
      <c r="I147" s="402">
        <v>3500001</v>
      </c>
      <c r="J147" s="402">
        <v>1500002</v>
      </c>
      <c r="K147" s="402">
        <v>3500003</v>
      </c>
      <c r="L147" s="402">
        <v>1500004</v>
      </c>
      <c r="M147" s="402">
        <v>1500005</v>
      </c>
      <c r="N147" s="402">
        <v>1500006</v>
      </c>
      <c r="O147" s="402">
        <v>1500007</v>
      </c>
      <c r="P147" s="402">
        <v>1500008</v>
      </c>
      <c r="Q147" s="402">
        <v>1500001</v>
      </c>
      <c r="R147" s="402">
        <v>1500002</v>
      </c>
      <c r="S147" s="402">
        <v>1500003</v>
      </c>
      <c r="T147" s="402">
        <v>1500004</v>
      </c>
      <c r="U147" s="402">
        <v>1500005</v>
      </c>
      <c r="V147" s="402">
        <v>1500006</v>
      </c>
      <c r="W147" s="402">
        <v>1500007</v>
      </c>
      <c r="X147" s="402">
        <v>1500008</v>
      </c>
      <c r="Y147" s="402">
        <v>1500009</v>
      </c>
      <c r="Z147" s="402">
        <v>1500000</v>
      </c>
      <c r="AA147" s="402">
        <v>1500001</v>
      </c>
      <c r="AB147" s="402">
        <v>1500002</v>
      </c>
      <c r="AC147" s="402">
        <v>1500003</v>
      </c>
      <c r="AD147" s="402">
        <v>1500004</v>
      </c>
      <c r="AE147" s="402">
        <v>1500005</v>
      </c>
    </row>
    <row r="148" spans="2:31" x14ac:dyDescent="0.25">
      <c r="B148" s="380"/>
      <c r="C148" s="6" t="str">
        <f>IF(Supuestos!B35="","",Supuestos!B35)</f>
        <v>Roaming internacional</v>
      </c>
      <c r="D148" s="57" t="s">
        <v>221</v>
      </c>
      <c r="E148" s="57"/>
      <c r="F148" s="402">
        <v>0</v>
      </c>
      <c r="G148" s="402">
        <v>0</v>
      </c>
      <c r="H148" s="402">
        <v>0</v>
      </c>
      <c r="I148" s="402">
        <v>0</v>
      </c>
      <c r="J148" s="402">
        <v>0</v>
      </c>
      <c r="K148" s="402">
        <v>0</v>
      </c>
      <c r="L148" s="402">
        <v>0</v>
      </c>
      <c r="M148" s="402">
        <v>0</v>
      </c>
      <c r="N148" s="402">
        <v>0</v>
      </c>
      <c r="O148" s="402">
        <v>0</v>
      </c>
      <c r="P148" s="402">
        <v>0</v>
      </c>
      <c r="Q148" s="402">
        <v>0</v>
      </c>
      <c r="R148" s="402">
        <v>0</v>
      </c>
      <c r="S148" s="402">
        <v>0</v>
      </c>
      <c r="T148" s="402">
        <v>0</v>
      </c>
      <c r="U148" s="402">
        <v>0</v>
      </c>
      <c r="V148" s="402">
        <v>0</v>
      </c>
      <c r="W148" s="402">
        <v>0</v>
      </c>
      <c r="X148" s="402">
        <v>0</v>
      </c>
      <c r="Y148" s="402">
        <v>0</v>
      </c>
      <c r="Z148" s="402">
        <v>0</v>
      </c>
      <c r="AA148" s="402">
        <v>0</v>
      </c>
      <c r="AB148" s="402">
        <v>0</v>
      </c>
      <c r="AC148" s="402">
        <v>0</v>
      </c>
      <c r="AD148" s="402">
        <v>0</v>
      </c>
      <c r="AE148" s="402">
        <v>0</v>
      </c>
    </row>
    <row r="149" spans="2:31" x14ac:dyDescent="0.25">
      <c r="B149" s="380"/>
      <c r="C149" s="6" t="str">
        <f>IF(Supuestos!B36="","",Supuestos!B36)</f>
        <v>Provisiones</v>
      </c>
      <c r="D149" s="57" t="s">
        <v>221</v>
      </c>
      <c r="E149" s="57"/>
      <c r="F149" s="402">
        <v>50000000</v>
      </c>
      <c r="G149" s="402">
        <v>0</v>
      </c>
      <c r="H149" s="402">
        <v>50000000</v>
      </c>
      <c r="I149" s="402">
        <v>0</v>
      </c>
      <c r="J149" s="402">
        <v>16666662.6666667</v>
      </c>
      <c r="K149" s="402">
        <v>0</v>
      </c>
      <c r="L149" s="402">
        <v>16666664.6666667</v>
      </c>
      <c r="M149" s="402">
        <v>16666665.6666667</v>
      </c>
      <c r="N149" s="402">
        <v>16666666.6666667</v>
      </c>
      <c r="O149" s="402">
        <v>16666667.6666667</v>
      </c>
      <c r="P149" s="402">
        <v>16666668.6666667</v>
      </c>
      <c r="Q149" s="402">
        <v>16666661.6666667</v>
      </c>
      <c r="R149" s="402">
        <v>16666662.6666667</v>
      </c>
      <c r="S149" s="402">
        <v>16666663.6666667</v>
      </c>
      <c r="T149" s="402">
        <v>16666664.6666667</v>
      </c>
      <c r="U149" s="402">
        <v>16666665.6666667</v>
      </c>
      <c r="V149" s="402">
        <v>16666666.666666666</v>
      </c>
      <c r="W149" s="402">
        <v>16666667.6666667</v>
      </c>
      <c r="X149" s="402">
        <v>16666668.6666667</v>
      </c>
      <c r="Y149" s="402">
        <v>16666669.6666667</v>
      </c>
      <c r="Z149" s="402">
        <v>16666660.6666667</v>
      </c>
      <c r="AA149" s="402">
        <v>16666661.6666667</v>
      </c>
      <c r="AB149" s="402">
        <v>16666662.6666667</v>
      </c>
      <c r="AC149" s="402">
        <v>16666663.6666667</v>
      </c>
      <c r="AD149" s="402">
        <v>16666664.6666667</v>
      </c>
      <c r="AE149" s="402">
        <v>16666665.6666667</v>
      </c>
    </row>
    <row r="150" spans="2:31" x14ac:dyDescent="0.25">
      <c r="B150" s="380"/>
      <c r="C150" s="6" t="str">
        <f>IF(Supuestos!B37="","",Supuestos!B37)</f>
        <v>Costos directos de la venta de terminales</v>
      </c>
      <c r="D150" s="59" t="s">
        <v>221</v>
      </c>
      <c r="E150" s="57"/>
      <c r="F150" s="402">
        <v>10000000000</v>
      </c>
      <c r="G150" s="402">
        <v>7000000000</v>
      </c>
      <c r="H150" s="402">
        <v>3000000000</v>
      </c>
      <c r="I150" s="402">
        <v>2333333331.3333302</v>
      </c>
      <c r="J150" s="402">
        <v>1000000002</v>
      </c>
      <c r="K150" s="402">
        <v>2333333333.3333302</v>
      </c>
      <c r="L150" s="402">
        <v>1000000004</v>
      </c>
      <c r="M150" s="402">
        <v>1000000005</v>
      </c>
      <c r="N150" s="402">
        <v>1000000006</v>
      </c>
      <c r="O150" s="402">
        <v>1000000007</v>
      </c>
      <c r="P150" s="402">
        <v>1000000008</v>
      </c>
      <c r="Q150" s="402">
        <v>1000000001</v>
      </c>
      <c r="R150" s="402">
        <v>1000000002</v>
      </c>
      <c r="S150" s="402">
        <v>1000000003</v>
      </c>
      <c r="T150" s="402">
        <v>1000000004</v>
      </c>
      <c r="U150" s="402">
        <v>1000000005</v>
      </c>
      <c r="V150" s="402">
        <v>1000000006</v>
      </c>
      <c r="W150" s="402">
        <v>1000000007</v>
      </c>
      <c r="X150" s="402">
        <v>1000000008</v>
      </c>
      <c r="Y150" s="402">
        <v>1000000009</v>
      </c>
      <c r="Z150" s="402">
        <v>1000000000</v>
      </c>
      <c r="AA150" s="402">
        <v>1000000001</v>
      </c>
      <c r="AB150" s="402">
        <v>1000000002</v>
      </c>
      <c r="AC150" s="402">
        <v>1000000003</v>
      </c>
      <c r="AD150" s="402">
        <v>1000000004</v>
      </c>
      <c r="AE150" s="402">
        <v>1000000005</v>
      </c>
    </row>
    <row r="151" spans="2:31" x14ac:dyDescent="0.25">
      <c r="B151" s="535" t="s">
        <v>280</v>
      </c>
      <c r="C151" s="384" t="str">
        <f>IF(Supuestos!B38="","",Supuestos!B38)</f>
        <v>Servicios generales y de gestión - minoristas</v>
      </c>
      <c r="D151" s="57" t="s">
        <v>221</v>
      </c>
      <c r="E151" s="57"/>
      <c r="F151" s="403">
        <v>600000000</v>
      </c>
      <c r="G151" s="403">
        <v>0</v>
      </c>
      <c r="H151" s="403">
        <v>600000000</v>
      </c>
      <c r="I151" s="403">
        <v>0</v>
      </c>
      <c r="J151" s="403">
        <v>200000002</v>
      </c>
      <c r="K151" s="403">
        <v>0</v>
      </c>
      <c r="L151" s="403">
        <v>200000004</v>
      </c>
      <c r="M151" s="403">
        <v>200000005</v>
      </c>
      <c r="N151" s="403">
        <v>200000006</v>
      </c>
      <c r="O151" s="403">
        <v>200000007</v>
      </c>
      <c r="P151" s="403">
        <v>200000008</v>
      </c>
      <c r="Q151" s="403">
        <v>200000001</v>
      </c>
      <c r="R151" s="402">
        <v>200000002</v>
      </c>
      <c r="S151" s="402">
        <v>200000003</v>
      </c>
      <c r="T151" s="402">
        <v>200000004</v>
      </c>
      <c r="U151" s="402">
        <v>200000005</v>
      </c>
      <c r="V151" s="402">
        <v>200000006</v>
      </c>
      <c r="W151" s="402">
        <v>200000007</v>
      </c>
      <c r="X151" s="402">
        <v>200000008</v>
      </c>
      <c r="Y151" s="402">
        <v>200000009</v>
      </c>
      <c r="Z151" s="402">
        <v>200000000</v>
      </c>
      <c r="AA151" s="402">
        <v>200000001</v>
      </c>
      <c r="AB151" s="402">
        <v>200000002</v>
      </c>
      <c r="AC151" s="402">
        <v>200000003</v>
      </c>
      <c r="AD151" s="402">
        <v>200000004</v>
      </c>
      <c r="AE151" s="402">
        <v>200000005</v>
      </c>
    </row>
    <row r="152" spans="2:31" x14ac:dyDescent="0.25">
      <c r="B152" s="534"/>
      <c r="C152" s="6" t="str">
        <f>IF(Supuestos!B39="","",Supuestos!B39)</f>
        <v>Servicios generales y de gestión - red</v>
      </c>
      <c r="D152" s="57" t="s">
        <v>221</v>
      </c>
      <c r="E152" s="57"/>
      <c r="F152" s="402">
        <v>0</v>
      </c>
      <c r="G152" s="402">
        <v>0</v>
      </c>
      <c r="H152" s="402">
        <v>0</v>
      </c>
      <c r="I152" s="402">
        <v>0</v>
      </c>
      <c r="J152" s="402">
        <v>0</v>
      </c>
      <c r="K152" s="402">
        <v>0</v>
      </c>
      <c r="L152" s="402">
        <v>0</v>
      </c>
      <c r="M152" s="402">
        <v>0</v>
      </c>
      <c r="N152" s="402">
        <v>0</v>
      </c>
      <c r="O152" s="402">
        <v>0</v>
      </c>
      <c r="P152" s="402">
        <v>0</v>
      </c>
      <c r="Q152" s="402">
        <v>0</v>
      </c>
      <c r="R152" s="402">
        <v>0</v>
      </c>
      <c r="S152" s="402">
        <v>0</v>
      </c>
      <c r="T152" s="402">
        <v>0</v>
      </c>
      <c r="U152" s="402">
        <v>0</v>
      </c>
      <c r="V152" s="402">
        <v>0</v>
      </c>
      <c r="W152" s="402">
        <v>0</v>
      </c>
      <c r="X152" s="402">
        <v>0</v>
      </c>
      <c r="Y152" s="402">
        <v>0</v>
      </c>
      <c r="Z152" s="402">
        <v>0</v>
      </c>
      <c r="AA152" s="402">
        <v>0</v>
      </c>
      <c r="AB152" s="402">
        <v>0</v>
      </c>
      <c r="AC152" s="402">
        <v>0</v>
      </c>
      <c r="AD152" s="402">
        <v>0</v>
      </c>
      <c r="AE152" s="402">
        <v>0</v>
      </c>
    </row>
    <row r="153" spans="2:31" x14ac:dyDescent="0.25">
      <c r="B153" s="534"/>
      <c r="C153" s="6" t="str">
        <f>IF(Supuestos!B40="","",Supuestos!B40)</f>
        <v xml:space="preserve">Servicios generales y de gestión - negocio </v>
      </c>
      <c r="D153" s="59" t="s">
        <v>221</v>
      </c>
      <c r="E153" s="57"/>
      <c r="F153" s="402">
        <v>500000000</v>
      </c>
      <c r="G153" s="402">
        <v>350000000</v>
      </c>
      <c r="H153" s="402">
        <v>150000000</v>
      </c>
      <c r="I153" s="402">
        <v>116666661.666667</v>
      </c>
      <c r="J153" s="402">
        <v>50000002</v>
      </c>
      <c r="K153" s="402">
        <v>116666663.666667</v>
      </c>
      <c r="L153" s="402">
        <v>50000004</v>
      </c>
      <c r="M153" s="402">
        <v>50000005</v>
      </c>
      <c r="N153" s="402">
        <v>50000006</v>
      </c>
      <c r="O153" s="402">
        <v>50000007</v>
      </c>
      <c r="P153" s="402">
        <v>50000008</v>
      </c>
      <c r="Q153" s="402">
        <v>50000001</v>
      </c>
      <c r="R153" s="402">
        <v>50000002</v>
      </c>
      <c r="S153" s="402">
        <v>50000003</v>
      </c>
      <c r="T153" s="402">
        <v>50000004</v>
      </c>
      <c r="U153" s="402">
        <v>50000005</v>
      </c>
      <c r="V153" s="402">
        <v>50000006</v>
      </c>
      <c r="W153" s="402">
        <v>50000007</v>
      </c>
      <c r="X153" s="402">
        <v>50000008</v>
      </c>
      <c r="Y153" s="402">
        <v>50000009</v>
      </c>
      <c r="Z153" s="402">
        <v>50000000</v>
      </c>
      <c r="AA153" s="402">
        <v>50000001</v>
      </c>
      <c r="AB153" s="402">
        <v>50000002</v>
      </c>
      <c r="AC153" s="402">
        <v>50000003</v>
      </c>
      <c r="AD153" s="402">
        <v>50000004</v>
      </c>
      <c r="AE153" s="402">
        <v>50000005</v>
      </c>
    </row>
    <row r="154" spans="2:31" x14ac:dyDescent="0.25">
      <c r="B154" s="535" t="s">
        <v>281</v>
      </c>
      <c r="C154" s="386" t="str">
        <f>IF(Supuestos!B41="","",Supuestos!B41)</f>
        <v>Costo del Capital:Servicios generales y de gestión - minoristas</v>
      </c>
      <c r="D154" s="57" t="s">
        <v>221</v>
      </c>
      <c r="E154" s="57"/>
      <c r="F154" s="405">
        <v>0</v>
      </c>
      <c r="G154" s="405">
        <v>0</v>
      </c>
      <c r="H154" s="405">
        <v>0</v>
      </c>
      <c r="I154" s="405">
        <v>0</v>
      </c>
      <c r="J154" s="405">
        <v>0</v>
      </c>
      <c r="K154" s="405">
        <v>0</v>
      </c>
      <c r="L154" s="405">
        <v>0</v>
      </c>
      <c r="M154" s="405">
        <v>0</v>
      </c>
      <c r="N154" s="405">
        <v>0</v>
      </c>
      <c r="O154" s="405">
        <v>0</v>
      </c>
      <c r="P154" s="405">
        <v>0</v>
      </c>
      <c r="Q154" s="405">
        <v>0</v>
      </c>
      <c r="R154" s="402">
        <v>0</v>
      </c>
      <c r="S154" s="402">
        <v>0</v>
      </c>
      <c r="T154" s="402">
        <v>0</v>
      </c>
      <c r="U154" s="402">
        <v>0</v>
      </c>
      <c r="V154" s="402">
        <v>0</v>
      </c>
      <c r="W154" s="402">
        <v>0</v>
      </c>
      <c r="X154" s="402">
        <v>0</v>
      </c>
      <c r="Y154" s="402">
        <v>0</v>
      </c>
      <c r="Z154" s="402">
        <v>0</v>
      </c>
      <c r="AA154" s="402">
        <v>0</v>
      </c>
      <c r="AB154" s="402">
        <v>0</v>
      </c>
      <c r="AC154" s="402">
        <v>0</v>
      </c>
      <c r="AD154" s="402">
        <v>0</v>
      </c>
      <c r="AE154" s="402">
        <v>0</v>
      </c>
    </row>
    <row r="155" spans="2:31" x14ac:dyDescent="0.25">
      <c r="B155" s="534"/>
      <c r="C155" s="6" t="str">
        <f>IF(Supuestos!B42="","",Supuestos!B42)</f>
        <v>Costo del Capital:Servicios generales y de gestión - red</v>
      </c>
      <c r="D155" s="57" t="s">
        <v>221</v>
      </c>
      <c r="E155" s="57"/>
      <c r="F155" s="402">
        <v>0</v>
      </c>
      <c r="G155" s="402">
        <v>0</v>
      </c>
      <c r="H155" s="402">
        <v>0</v>
      </c>
      <c r="I155" s="402">
        <v>0</v>
      </c>
      <c r="J155" s="402">
        <v>0</v>
      </c>
      <c r="K155" s="402">
        <v>0</v>
      </c>
      <c r="L155" s="402">
        <v>0</v>
      </c>
      <c r="M155" s="402">
        <v>0</v>
      </c>
      <c r="N155" s="402">
        <v>0</v>
      </c>
      <c r="O155" s="402">
        <v>0</v>
      </c>
      <c r="P155" s="402">
        <v>0</v>
      </c>
      <c r="Q155" s="402">
        <v>0</v>
      </c>
      <c r="R155" s="402">
        <v>0</v>
      </c>
      <c r="S155" s="402">
        <v>0</v>
      </c>
      <c r="T155" s="402">
        <v>0</v>
      </c>
      <c r="U155" s="402">
        <v>0</v>
      </c>
      <c r="V155" s="402">
        <v>0</v>
      </c>
      <c r="W155" s="402">
        <v>0</v>
      </c>
      <c r="X155" s="402">
        <v>0</v>
      </c>
      <c r="Y155" s="402">
        <v>0</v>
      </c>
      <c r="Z155" s="402">
        <v>0</v>
      </c>
      <c r="AA155" s="402">
        <v>0</v>
      </c>
      <c r="AB155" s="402">
        <v>0</v>
      </c>
      <c r="AC155" s="402">
        <v>0</v>
      </c>
      <c r="AD155" s="402">
        <v>0</v>
      </c>
      <c r="AE155" s="402">
        <v>0</v>
      </c>
    </row>
    <row r="156" spans="2:31" x14ac:dyDescent="0.25">
      <c r="B156" s="534"/>
      <c r="C156" s="6" t="str">
        <f>IF(Supuestos!B43="","",Supuestos!B43)</f>
        <v xml:space="preserve">Costo del Capital:Servicios generales y de gestión - negocio </v>
      </c>
      <c r="D156" s="219" t="s">
        <v>221</v>
      </c>
      <c r="E156" s="57"/>
      <c r="F156" s="406">
        <v>0</v>
      </c>
      <c r="G156" s="406">
        <v>0</v>
      </c>
      <c r="H156" s="406">
        <v>0</v>
      </c>
      <c r="I156" s="406">
        <v>0</v>
      </c>
      <c r="J156" s="406">
        <v>0</v>
      </c>
      <c r="K156" s="406">
        <v>0</v>
      </c>
      <c r="L156" s="406">
        <v>0</v>
      </c>
      <c r="M156" s="406">
        <v>0</v>
      </c>
      <c r="N156" s="406">
        <v>0</v>
      </c>
      <c r="O156" s="406">
        <v>0</v>
      </c>
      <c r="P156" s="406">
        <v>0</v>
      </c>
      <c r="Q156" s="406">
        <v>0</v>
      </c>
      <c r="R156" s="402">
        <v>0</v>
      </c>
      <c r="S156" s="402">
        <v>0</v>
      </c>
      <c r="T156" s="402">
        <v>0</v>
      </c>
      <c r="U156" s="402">
        <v>0</v>
      </c>
      <c r="V156" s="402">
        <v>0</v>
      </c>
      <c r="W156" s="402">
        <v>0</v>
      </c>
      <c r="X156" s="402">
        <v>0</v>
      </c>
      <c r="Y156" s="402">
        <v>0</v>
      </c>
      <c r="Z156" s="402">
        <v>0</v>
      </c>
      <c r="AA156" s="402">
        <v>0</v>
      </c>
      <c r="AB156" s="402">
        <v>0</v>
      </c>
      <c r="AC156" s="402">
        <v>0</v>
      </c>
      <c r="AD156" s="402">
        <v>0</v>
      </c>
      <c r="AE156" s="402">
        <v>0</v>
      </c>
    </row>
    <row r="157" spans="2:31" x14ac:dyDescent="0.25">
      <c r="B157" s="536"/>
      <c r="C157" s="387" t="str">
        <f>IF(Supuestos!B44="","",Supuestos!B44)</f>
        <v>Costo del Capital:Equipos terminales</v>
      </c>
      <c r="D157" s="57" t="s">
        <v>221</v>
      </c>
      <c r="E157" s="57"/>
      <c r="F157" s="407">
        <v>0</v>
      </c>
      <c r="G157" s="407">
        <v>0</v>
      </c>
      <c r="H157" s="407">
        <v>0</v>
      </c>
      <c r="I157" s="407">
        <v>0</v>
      </c>
      <c r="J157" s="407">
        <v>0</v>
      </c>
      <c r="K157" s="407">
        <v>0</v>
      </c>
      <c r="L157" s="407">
        <v>0</v>
      </c>
      <c r="M157" s="407">
        <v>0</v>
      </c>
      <c r="N157" s="407">
        <v>0</v>
      </c>
      <c r="O157" s="407">
        <v>0</v>
      </c>
      <c r="P157" s="407">
        <v>0</v>
      </c>
      <c r="Q157" s="407">
        <v>0</v>
      </c>
      <c r="R157" s="402">
        <v>0</v>
      </c>
      <c r="S157" s="402">
        <v>0</v>
      </c>
      <c r="T157" s="402">
        <v>0</v>
      </c>
      <c r="U157" s="402">
        <v>0</v>
      </c>
      <c r="V157" s="402">
        <v>0</v>
      </c>
      <c r="W157" s="402">
        <v>0</v>
      </c>
      <c r="X157" s="402">
        <v>0</v>
      </c>
      <c r="Y157" s="402">
        <v>0</v>
      </c>
      <c r="Z157" s="402">
        <v>0</v>
      </c>
      <c r="AA157" s="402">
        <v>0</v>
      </c>
      <c r="AB157" s="402">
        <v>0</v>
      </c>
      <c r="AC157" s="402">
        <v>0</v>
      </c>
      <c r="AD157" s="402">
        <v>0</v>
      </c>
      <c r="AE157" s="402">
        <v>0</v>
      </c>
    </row>
    <row r="158" spans="2:31" ht="13" x14ac:dyDescent="0.25">
      <c r="B158" s="55"/>
      <c r="C158" s="33" t="s">
        <v>124</v>
      </c>
      <c r="D158" s="48" t="s">
        <v>221</v>
      </c>
      <c r="E158" s="48"/>
      <c r="F158" s="34">
        <f>SUM(F138:F157)</f>
        <v>14393900000</v>
      </c>
      <c r="G158" s="34">
        <f>SUM(G138:G157)</f>
        <v>9511600000</v>
      </c>
      <c r="H158" s="34">
        <f t="shared" ref="H158:Q158" si="11">SUM(H138:H157)</f>
        <v>4882300000</v>
      </c>
      <c r="I158" s="34">
        <f t="shared" si="11"/>
        <v>3170533318.3333302</v>
      </c>
      <c r="J158" s="34">
        <f t="shared" si="11"/>
        <v>1627433336.3333335</v>
      </c>
      <c r="K158" s="34">
        <f t="shared" si="11"/>
        <v>3170533330.3333302</v>
      </c>
      <c r="L158" s="34">
        <f t="shared" si="11"/>
        <v>1627433360.3333335</v>
      </c>
      <c r="M158" s="34">
        <f t="shared" si="11"/>
        <v>1627433372.3333335</v>
      </c>
      <c r="N158" s="34">
        <f t="shared" si="11"/>
        <v>1627433384.3333335</v>
      </c>
      <c r="O158" s="34">
        <f t="shared" si="11"/>
        <v>1627433396.3333335</v>
      </c>
      <c r="P158" s="34">
        <f t="shared" si="11"/>
        <v>1627433408.3333335</v>
      </c>
      <c r="Q158" s="34">
        <f t="shared" si="11"/>
        <v>1627433324.3333335</v>
      </c>
      <c r="R158" s="34">
        <f t="shared" ref="R158:AE158" si="12">SUM(R138:R157)</f>
        <v>1627433336.3333335</v>
      </c>
      <c r="S158" s="34">
        <f t="shared" si="12"/>
        <v>1627433348.3333335</v>
      </c>
      <c r="T158" s="34">
        <f t="shared" si="12"/>
        <v>1627433360.3333335</v>
      </c>
      <c r="U158" s="34">
        <f t="shared" si="12"/>
        <v>1627433372.3333335</v>
      </c>
      <c r="V158" s="34">
        <f t="shared" si="12"/>
        <v>1627433384.3333335</v>
      </c>
      <c r="W158" s="34">
        <f t="shared" si="12"/>
        <v>1627433396.3333335</v>
      </c>
      <c r="X158" s="34">
        <f t="shared" si="12"/>
        <v>1627433408.3333335</v>
      </c>
      <c r="Y158" s="34">
        <f t="shared" si="12"/>
        <v>1627433420.3333335</v>
      </c>
      <c r="Z158" s="34">
        <f t="shared" si="12"/>
        <v>1627433312.3333335</v>
      </c>
      <c r="AA158" s="34">
        <f t="shared" si="12"/>
        <v>1627433324.3333335</v>
      </c>
      <c r="AB158" s="34">
        <f t="shared" si="12"/>
        <v>1627433336.3333335</v>
      </c>
      <c r="AC158" s="34">
        <f t="shared" si="12"/>
        <v>1627433348.3333335</v>
      </c>
      <c r="AD158" s="34">
        <f t="shared" si="12"/>
        <v>1627433360.3333335</v>
      </c>
      <c r="AE158" s="34">
        <f t="shared" si="12"/>
        <v>1627433372.3333335</v>
      </c>
    </row>
    <row r="159" spans="2:31" x14ac:dyDescent="0.25">
      <c r="F159" s="43"/>
    </row>
    <row r="160" spans="2:31" ht="13" x14ac:dyDescent="0.3">
      <c r="C160" s="37" t="s">
        <v>42</v>
      </c>
      <c r="D160" s="37"/>
      <c r="E160" s="37"/>
      <c r="F160" s="38" t="str">
        <f>IF(F158=SUM(G158,H158),"Ok","Error")</f>
        <v>Ok</v>
      </c>
    </row>
    <row r="161" spans="2:7" x14ac:dyDescent="0.25">
      <c r="F161" s="43"/>
    </row>
    <row r="162" spans="2:7" s="18" customFormat="1" ht="15.65" customHeight="1" x14ac:dyDescent="0.25">
      <c r="B162" s="18" t="s">
        <v>282</v>
      </c>
    </row>
    <row r="164" spans="2:7" ht="17.149999999999999" customHeight="1" x14ac:dyDescent="0.25">
      <c r="C164" s="546" t="s">
        <v>283</v>
      </c>
      <c r="D164" s="547"/>
      <c r="E164" s="547"/>
      <c r="F164" s="547"/>
      <c r="G164" s="548"/>
    </row>
    <row r="165" spans="2:7" x14ac:dyDescent="0.25">
      <c r="C165" s="138"/>
      <c r="D165" s="138"/>
      <c r="E165" s="138"/>
      <c r="F165" s="138"/>
    </row>
    <row r="166" spans="2:7" ht="13" x14ac:dyDescent="0.3">
      <c r="C166" s="171" t="str">
        <f>CONCATENATE("De ",TEXT($D$6,"dd/mm/aaaa")," a ",TEXT($F$6,"dd/mm/aaaa"))</f>
        <v>De 01/01/2025 a 31/03/2025</v>
      </c>
      <c r="D166" s="138"/>
      <c r="E166" s="138"/>
      <c r="F166" s="138"/>
    </row>
    <row r="167" spans="2:7" x14ac:dyDescent="0.25">
      <c r="C167" s="138"/>
      <c r="D167" s="138"/>
      <c r="E167" s="138"/>
      <c r="F167" s="138"/>
    </row>
    <row r="168" spans="2:7" ht="13" x14ac:dyDescent="0.3">
      <c r="C168" s="172" t="s">
        <v>84</v>
      </c>
      <c r="D168" s="173" t="s">
        <v>219</v>
      </c>
      <c r="E168" s="173"/>
      <c r="F168" s="174" t="s">
        <v>284</v>
      </c>
    </row>
    <row r="169" spans="2:7" x14ac:dyDescent="0.25">
      <c r="C169" s="175" t="str">
        <f>IF(Supuestos!B48="","",Supuestos!B48)</f>
        <v>Datos</v>
      </c>
      <c r="D169" s="176" t="s">
        <v>139</v>
      </c>
      <c r="E169" s="176"/>
      <c r="F169" s="177">
        <v>0</v>
      </c>
    </row>
    <row r="170" spans="2:7" x14ac:dyDescent="0.25">
      <c r="C170" s="178" t="str">
        <f>IF(Supuestos!B49="","",Supuestos!B49)</f>
        <v>Originación voz on-net local</v>
      </c>
      <c r="D170" s="176" t="s">
        <v>139</v>
      </c>
      <c r="E170" s="176"/>
      <c r="F170" s="177">
        <v>0</v>
      </c>
    </row>
    <row r="171" spans="2:7" x14ac:dyDescent="0.25">
      <c r="C171" s="178" t="str">
        <f>IF(Supuestos!B50="","",Supuestos!B50)</f>
        <v>Originación voz off-net móvil local</v>
      </c>
      <c r="D171" s="176" t="s">
        <v>139</v>
      </c>
      <c r="E171" s="176"/>
      <c r="F171" s="177">
        <v>0</v>
      </c>
    </row>
    <row r="172" spans="2:7" x14ac:dyDescent="0.25">
      <c r="C172" s="178" t="str">
        <f>IF(Supuestos!B51="","",Supuestos!B51)</f>
        <v>Originación voz off-net fijo local</v>
      </c>
      <c r="D172" s="176" t="s">
        <v>139</v>
      </c>
      <c r="E172" s="176"/>
      <c r="F172" s="177">
        <v>0</v>
      </c>
    </row>
    <row r="173" spans="2:7" x14ac:dyDescent="0.25">
      <c r="C173" s="178" t="str">
        <f>IF(Supuestos!B52="","",Supuestos!B52)</f>
        <v>Originación voz on-net LDN</v>
      </c>
      <c r="D173" s="176" t="s">
        <v>139</v>
      </c>
      <c r="E173" s="176"/>
      <c r="F173" s="177">
        <v>0</v>
      </c>
    </row>
    <row r="174" spans="2:7" x14ac:dyDescent="0.25">
      <c r="C174" s="178" t="str">
        <f>IF(Supuestos!B53="","",Supuestos!B53)</f>
        <v>Originación voz off-net móvil LDN</v>
      </c>
      <c r="D174" s="176" t="s">
        <v>139</v>
      </c>
      <c r="E174" s="176"/>
      <c r="F174" s="177">
        <v>0</v>
      </c>
    </row>
    <row r="175" spans="2:7" x14ac:dyDescent="0.25">
      <c r="C175" s="178" t="str">
        <f>IF(Supuestos!B54="","",Supuestos!B54)</f>
        <v>Originación voz off-net fijo LDN</v>
      </c>
      <c r="D175" s="176" t="s">
        <v>139</v>
      </c>
      <c r="E175" s="176"/>
      <c r="F175" s="177">
        <v>0</v>
      </c>
    </row>
    <row r="176" spans="2:7" x14ac:dyDescent="0.25">
      <c r="C176" s="178" t="str">
        <f>IF(Supuestos!B55="","",Supuestos!B55)</f>
        <v>Originación voz internacional USA-Canadá</v>
      </c>
      <c r="D176" s="176" t="s">
        <v>139</v>
      </c>
      <c r="E176" s="176"/>
      <c r="F176" s="177">
        <v>0</v>
      </c>
    </row>
    <row r="177" spans="3:6" x14ac:dyDescent="0.25">
      <c r="C177" s="178" t="str">
        <f>IF(Supuestos!B56="","",Supuestos!B56)</f>
        <v>Originación voz internacional Mundial Centroamérica</v>
      </c>
      <c r="D177" s="176" t="s">
        <v>139</v>
      </c>
      <c r="E177" s="176"/>
      <c r="F177" s="177">
        <v>0</v>
      </c>
    </row>
    <row r="178" spans="3:6" x14ac:dyDescent="0.25">
      <c r="C178" s="178" t="str">
        <f>IF(Supuestos!B57="","",Supuestos!B57)</f>
        <v>Originación voz internacional Mundial LATAM y Caribe</v>
      </c>
      <c r="D178" s="176" t="s">
        <v>139</v>
      </c>
      <c r="E178" s="176"/>
      <c r="F178" s="177">
        <v>0</v>
      </c>
    </row>
    <row r="179" spans="3:6" x14ac:dyDescent="0.25">
      <c r="C179" s="178" t="str">
        <f>IF(Supuestos!B58="","",Supuestos!B58)</f>
        <v>Originación voz internacional Europa</v>
      </c>
      <c r="D179" s="176" t="s">
        <v>139</v>
      </c>
      <c r="E179" s="176"/>
      <c r="F179" s="177">
        <v>0</v>
      </c>
    </row>
    <row r="180" spans="3:6" x14ac:dyDescent="0.25">
      <c r="C180" s="178" t="str">
        <f>IF(Supuestos!B59="","",Supuestos!B59)</f>
        <v>Originación voz internacional Mundial Otros geográficos</v>
      </c>
      <c r="D180" s="176" t="s">
        <v>139</v>
      </c>
      <c r="E180" s="176"/>
      <c r="F180" s="177">
        <v>0</v>
      </c>
    </row>
    <row r="181" spans="3:6" x14ac:dyDescent="0.25">
      <c r="C181" s="178" t="str">
        <f>IF(Supuestos!B60="","",Supuestos!B60)</f>
        <v>Originación voz internacional Cuba</v>
      </c>
      <c r="D181" s="176" t="s">
        <v>139</v>
      </c>
      <c r="E181" s="176"/>
      <c r="F181" s="177">
        <v>0</v>
      </c>
    </row>
    <row r="182" spans="3:6" x14ac:dyDescent="0.25">
      <c r="C182" s="178" t="str">
        <f>IF(Supuestos!B61="","",Supuestos!B61)</f>
        <v>Originación voz Mundial destinos no geográficos</v>
      </c>
      <c r="D182" s="176" t="s">
        <v>139</v>
      </c>
      <c r="E182" s="176"/>
      <c r="F182" s="177">
        <v>0</v>
      </c>
    </row>
    <row r="183" spans="3:6" x14ac:dyDescent="0.25">
      <c r="C183" s="178" t="str">
        <f>IF(Supuestos!B62="","",Supuestos!B62)</f>
        <v>Originación SMS on-net</v>
      </c>
      <c r="D183" s="176" t="s">
        <v>139</v>
      </c>
      <c r="E183" s="176"/>
      <c r="F183" s="177">
        <v>0</v>
      </c>
    </row>
    <row r="184" spans="3:6" x14ac:dyDescent="0.25">
      <c r="C184" s="178" t="str">
        <f>IF(Supuestos!B63="","",Supuestos!B63)</f>
        <v>Originación SMS - off-net nacional</v>
      </c>
      <c r="D184" s="176" t="s">
        <v>139</v>
      </c>
      <c r="E184" s="176"/>
      <c r="F184" s="177">
        <v>0</v>
      </c>
    </row>
    <row r="185" spans="3:6" x14ac:dyDescent="0.25">
      <c r="C185" s="178" t="str">
        <f>IF(Supuestos!B64="","",Supuestos!B64)</f>
        <v>Originación SMS internacional (USA-Canadá)</v>
      </c>
      <c r="D185" s="176" t="s">
        <v>139</v>
      </c>
      <c r="E185" s="176"/>
      <c r="F185" s="177">
        <v>0</v>
      </c>
    </row>
    <row r="186" spans="3:6" x14ac:dyDescent="0.25">
      <c r="C186" s="178" t="str">
        <f>IF(Supuestos!B65="","",Supuestos!B65)</f>
        <v>Originación SMS internacional (Resto del Mundo)</v>
      </c>
      <c r="D186" s="176" t="s">
        <v>139</v>
      </c>
      <c r="E186" s="176"/>
      <c r="F186" s="177">
        <v>0</v>
      </c>
    </row>
    <row r="187" spans="3:6" x14ac:dyDescent="0.25">
      <c r="C187" s="178" t="str">
        <f>IF(Supuestos!B66="","",Supuestos!B66)</f>
        <v>Otros servicios (incluyendo marcaciones especiales)</v>
      </c>
      <c r="D187" s="176" t="s">
        <v>139</v>
      </c>
      <c r="E187" s="176"/>
      <c r="F187" s="177">
        <v>0</v>
      </c>
    </row>
    <row r="188" spans="3:6" x14ac:dyDescent="0.25">
      <c r="C188" s="178" t="str">
        <f>IF(Supuestos!B67="","",Supuestos!B67)</f>
        <v/>
      </c>
      <c r="D188" s="176"/>
      <c r="E188" s="176"/>
      <c r="F188" s="177"/>
    </row>
  </sheetData>
  <mergeCells count="24">
    <mergeCell ref="AA10:AE10"/>
    <mergeCell ref="Q10:Z10"/>
    <mergeCell ref="H4:R6"/>
    <mergeCell ref="R119:W124"/>
    <mergeCell ref="C164:G164"/>
    <mergeCell ref="I10:K10"/>
    <mergeCell ref="L10:N10"/>
    <mergeCell ref="O10:P10"/>
    <mergeCell ref="AA88:AE88"/>
    <mergeCell ref="AA136:AE136"/>
    <mergeCell ref="B141:B145"/>
    <mergeCell ref="B151:B153"/>
    <mergeCell ref="B139:B140"/>
    <mergeCell ref="B154:B157"/>
    <mergeCell ref="R127:W129"/>
    <mergeCell ref="L136:N136"/>
    <mergeCell ref="I136:K136"/>
    <mergeCell ref="O136:P136"/>
    <mergeCell ref="Q136:Z136"/>
    <mergeCell ref="B16:B18"/>
    <mergeCell ref="I88:K88"/>
    <mergeCell ref="L88:N88"/>
    <mergeCell ref="O88:P88"/>
    <mergeCell ref="Q88:Z88"/>
  </mergeCells>
  <conditionalFormatting sqref="F24">
    <cfRule type="containsText" dxfId="21" priority="13" operator="containsText" text="Error">
      <formula>NOT(ISERROR(SEARCH("Error",F24)))</formula>
    </cfRule>
    <cfRule type="containsText" dxfId="20" priority="14" operator="containsText" text="Ok">
      <formula>NOT(ISERROR(SEARCH("Ok",F24)))</formula>
    </cfRule>
    <cfRule type="expression" dxfId="19" priority="15">
      <formula>"Ok"</formula>
    </cfRule>
  </conditionalFormatting>
  <conditionalFormatting sqref="F160">
    <cfRule type="containsText" dxfId="18" priority="10" operator="containsText" text="Error">
      <formula>NOT(ISERROR(SEARCH("Error",F160)))</formula>
    </cfRule>
    <cfRule type="containsText" dxfId="17" priority="11" operator="containsText" text="Ok">
      <formula>NOT(ISERROR(SEARCH("Ok",F160)))</formula>
    </cfRule>
    <cfRule type="expression" dxfId="16" priority="12">
      <formula>"Ok"</formula>
    </cfRule>
  </conditionalFormatting>
  <hyperlinks>
    <hyperlink ref="C3" location="'Resultados &gt;&gt;'!A1" display="Ir a Resultados &gt;&gt;" xr:uid="{00000000-0004-0000-0B00-000000000000}"/>
  </hyperlinks>
  <pageMargins left="0.7" right="0.7" top="0.75" bottom="0.75" header="0.3" footer="0.3"/>
  <pageSetup paperSize="9" orientation="portrait" r:id="rId1"/>
  <ignoredErrors>
    <ignoredError sqref="F31:G31" unlockedFormula="1"/>
  </ignoredError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4822CEE-D46A-4E5C-8353-D3BBD6E20DAD}">
  <sheetPr>
    <tabColor theme="7" tint="0.79998168889431442"/>
  </sheetPr>
  <dimension ref="B1:AE31"/>
  <sheetViews>
    <sheetView showGridLines="0" tabSelected="1" zoomScale="50" zoomScaleNormal="50" workbookViewId="0">
      <selection activeCell="C15" sqref="C15"/>
    </sheetView>
  </sheetViews>
  <sheetFormatPr baseColWidth="10" defaultColWidth="8.81640625" defaultRowHeight="12.5" x14ac:dyDescent="0.25"/>
  <cols>
    <col min="1" max="1" width="1.81640625" customWidth="1"/>
    <col min="2" max="2" width="31.54296875" customWidth="1"/>
    <col min="3" max="3" width="47.1796875" customWidth="1"/>
    <col min="4" max="4" width="22.54296875" customWidth="1"/>
    <col min="5" max="5" width="4.1796875" customWidth="1"/>
    <col min="6" max="6" width="28.1796875" customWidth="1"/>
    <col min="7" max="8" width="24.54296875" customWidth="1"/>
    <col min="9" max="9" width="22.7265625" customWidth="1"/>
    <col min="10" max="10" width="21.1796875" customWidth="1"/>
    <col min="11" max="16" width="22.1796875" customWidth="1"/>
    <col min="17" max="17" width="36.81640625" bestFit="1" customWidth="1"/>
    <col min="18" max="18" width="34.81640625" bestFit="1" customWidth="1"/>
    <col min="19" max="31" width="29.54296875" bestFit="1" customWidth="1"/>
  </cols>
  <sheetData>
    <row r="1" spans="2:21" s="427" customFormat="1" ht="20" x14ac:dyDescent="0.4">
      <c r="B1" s="427" t="s">
        <v>217</v>
      </c>
    </row>
    <row r="3" spans="2:21" ht="20.149999999999999" customHeight="1" x14ac:dyDescent="0.25">
      <c r="C3" s="14" t="s">
        <v>90</v>
      </c>
      <c r="D3" s="62"/>
      <c r="E3" s="62"/>
    </row>
    <row r="4" spans="2:21" x14ac:dyDescent="0.25">
      <c r="D4" s="2"/>
      <c r="E4" s="2"/>
      <c r="H4" s="537" t="s">
        <v>218</v>
      </c>
      <c r="I4" s="538"/>
      <c r="J4" s="538"/>
      <c r="K4" s="538"/>
      <c r="L4" s="538"/>
      <c r="M4" s="538"/>
      <c r="N4" s="538"/>
      <c r="O4" s="538"/>
      <c r="P4" s="538"/>
      <c r="Q4" s="538"/>
      <c r="R4" s="539"/>
    </row>
    <row r="5" spans="2:21" ht="13" x14ac:dyDescent="0.3">
      <c r="C5" s="16" t="s">
        <v>63</v>
      </c>
      <c r="D5" s="88" t="s">
        <v>64</v>
      </c>
      <c r="E5" s="88"/>
      <c r="F5" s="88" t="s">
        <v>65</v>
      </c>
      <c r="H5" s="540"/>
      <c r="I5" s="541"/>
      <c r="J5" s="541"/>
      <c r="K5" s="541"/>
      <c r="L5" s="541"/>
      <c r="M5" s="541"/>
      <c r="N5" s="541"/>
      <c r="O5" s="541"/>
      <c r="P5" s="541"/>
      <c r="Q5" s="541"/>
      <c r="R5" s="542"/>
    </row>
    <row r="6" spans="2:21" x14ac:dyDescent="0.25">
      <c r="D6" s="85">
        <f>Supuestos!$C$5</f>
        <v>45658</v>
      </c>
      <c r="E6" s="89"/>
      <c r="F6" s="85">
        <f>Supuestos!$C$6</f>
        <v>45747</v>
      </c>
      <c r="H6" s="543"/>
      <c r="I6" s="544"/>
      <c r="J6" s="544"/>
      <c r="K6" s="544"/>
      <c r="L6" s="544"/>
      <c r="M6" s="544"/>
      <c r="N6" s="544"/>
      <c r="O6" s="544"/>
      <c r="P6" s="544"/>
      <c r="Q6" s="544"/>
      <c r="R6" s="545"/>
    </row>
    <row r="8" spans="2:21" ht="13" x14ac:dyDescent="0.3">
      <c r="C8" s="37"/>
      <c r="D8" s="37"/>
      <c r="E8" s="37"/>
      <c r="F8" s="38"/>
    </row>
    <row r="9" spans="2:21" x14ac:dyDescent="0.25">
      <c r="C9" s="15"/>
      <c r="D9" s="15"/>
      <c r="E9" s="15"/>
    </row>
    <row r="10" spans="2:21" s="18" customFormat="1" ht="15.65" customHeight="1" x14ac:dyDescent="0.25">
      <c r="B10" s="18" t="s">
        <v>433</v>
      </c>
    </row>
    <row r="11" spans="2:21" x14ac:dyDescent="0.25">
      <c r="C11" s="15"/>
      <c r="D11" s="15"/>
      <c r="E11" s="15"/>
    </row>
    <row r="12" spans="2:21" s="2" customFormat="1" ht="13" x14ac:dyDescent="0.3">
      <c r="C12" s="444" t="str">
        <f>CONCATENATE("De ",TEXT($D$6,"dd/mm/aaaa")," a ",TEXT($F$6,"dd/mm/aaaa"))</f>
        <v>De 01/01/2025 a 31/03/2025</v>
      </c>
      <c r="D12" s="3"/>
      <c r="E12" s="3"/>
      <c r="G12" s="531" t="s">
        <v>95</v>
      </c>
      <c r="H12" s="532"/>
      <c r="I12" s="532"/>
      <c r="J12" s="532"/>
      <c r="K12" s="532"/>
      <c r="L12" s="532"/>
      <c r="M12" s="532"/>
      <c r="N12" s="532"/>
      <c r="O12" s="532"/>
      <c r="P12" s="532"/>
      <c r="Q12" s="531" t="s">
        <v>96</v>
      </c>
      <c r="R12" s="532"/>
      <c r="S12" s="532"/>
      <c r="T12" s="532"/>
      <c r="U12" s="533"/>
    </row>
    <row r="13" spans="2:21" s="2" customFormat="1" ht="13" x14ac:dyDescent="0.3">
      <c r="C13" s="19" t="s">
        <v>84</v>
      </c>
      <c r="D13" s="227" t="s">
        <v>219</v>
      </c>
      <c r="E13" s="227"/>
      <c r="F13" s="228" t="str">
        <f>Supuestos!$B$77</f>
        <v>Segmento Pospago</v>
      </c>
      <c r="G13" s="450" t="str">
        <f>Supuestos!B$81</f>
        <v>Telcel Pospago 1</v>
      </c>
      <c r="H13" s="450" t="str">
        <f>Supuestos!B$82</f>
        <v>Telcel Pospago 5</v>
      </c>
      <c r="I13" s="228" t="str">
        <f>Supuestos!$B$83</f>
        <v>Telcel Pospago 3</v>
      </c>
      <c r="J13" s="228" t="str">
        <f>Supuestos!$B$84</f>
        <v>Telcel Pospago 4</v>
      </c>
      <c r="K13" s="228" t="str">
        <f>Supuestos!$B$85</f>
        <v>Telcel Pospago 2</v>
      </c>
      <c r="L13" s="228" t="str">
        <f>Supuestos!$B$86</f>
        <v>Telcel Pospago 6</v>
      </c>
      <c r="M13" s="228" t="str">
        <f>Supuestos!$B$87</f>
        <v>Telcel Pospago 7</v>
      </c>
      <c r="N13" s="228" t="str">
        <f>Supuestos!$B$88</f>
        <v>Telcel Pospago 9</v>
      </c>
      <c r="O13" s="228" t="str">
        <f>Supuestos!$B$89</f>
        <v>Telcel Pospago 8</v>
      </c>
      <c r="P13" s="228" t="str">
        <f>Supuestos!$B$90</f>
        <v>Telcel Pospago 19</v>
      </c>
      <c r="Q13" s="228" t="str">
        <f>IF(ISBLANK(Supuestos!$B96),"No aplica",Supuestos!$B96)</f>
        <v>Telcel Pospago 22</v>
      </c>
      <c r="R13" s="228" t="str">
        <f>IF(ISBLANK(Supuestos!$B97),"No aplica",Supuestos!$B97)</f>
        <v>Telcel Pospago 23</v>
      </c>
      <c r="S13" s="228" t="str">
        <f>IF(ISBLANK(Supuestos!$B98),"No aplica",Supuestos!$B98)</f>
        <v>Telcel Pospago 24</v>
      </c>
      <c r="T13" s="228" t="str">
        <f>IF(ISBLANK(Supuestos!$B99),"No aplica",Supuestos!$B99)</f>
        <v>Telcel Pospago 25</v>
      </c>
      <c r="U13" s="228" t="str">
        <f>IF(ISBLANK(Supuestos!$B100),"No aplica",Supuestos!$B100)</f>
        <v>Telcel Pospago 26</v>
      </c>
    </row>
    <row r="14" spans="2:21" x14ac:dyDescent="0.25">
      <c r="C14" s="22"/>
      <c r="D14" s="17"/>
      <c r="E14" s="17"/>
      <c r="F14" s="43"/>
      <c r="G14" s="43"/>
      <c r="H14" s="43"/>
      <c r="I14" s="43"/>
      <c r="J14" s="43"/>
      <c r="K14" s="43"/>
      <c r="L14" s="43"/>
      <c r="M14" s="43"/>
      <c r="N14" s="43"/>
      <c r="O14" s="43"/>
      <c r="P14" s="43"/>
      <c r="Q14" s="43"/>
      <c r="R14" s="43"/>
      <c r="S14" s="43"/>
      <c r="T14" s="43"/>
      <c r="U14" s="43"/>
    </row>
    <row r="15" spans="2:21" ht="13" x14ac:dyDescent="0.3">
      <c r="C15" s="19" t="s">
        <v>124</v>
      </c>
      <c r="D15" s="17"/>
      <c r="E15" s="17"/>
      <c r="F15" s="43"/>
      <c r="G15" s="43"/>
      <c r="H15" s="43"/>
      <c r="I15" s="43"/>
      <c r="J15" s="43"/>
      <c r="K15" s="43"/>
      <c r="L15" s="43"/>
      <c r="M15" s="43"/>
      <c r="N15" s="43"/>
      <c r="O15" s="43"/>
      <c r="P15" s="43"/>
      <c r="Q15" s="43"/>
      <c r="R15" s="43"/>
      <c r="S15" s="43"/>
      <c r="T15" s="43"/>
      <c r="U15" s="43"/>
    </row>
    <row r="16" spans="2:21" ht="13" x14ac:dyDescent="0.25">
      <c r="C16" s="202" t="s">
        <v>239</v>
      </c>
      <c r="D16" s="17" t="s">
        <v>237</v>
      </c>
      <c r="E16" s="17"/>
      <c r="F16" s="44">
        <f>'Informacion del AEP'!H111</f>
        <v>25419590000</v>
      </c>
      <c r="G16" s="44">
        <f>'Informacion del AEP'!Q111</f>
        <v>8473196666.6666679</v>
      </c>
      <c r="H16" s="44">
        <f>'Informacion del AEP'!R111</f>
        <v>8473196666.6666679</v>
      </c>
      <c r="I16" s="44">
        <f>'Informacion del AEP'!S111</f>
        <v>8473196666.6666679</v>
      </c>
      <c r="J16" s="44">
        <f>'Informacion del AEP'!T111</f>
        <v>8473196666.6666679</v>
      </c>
      <c r="K16" s="44">
        <f>'Informacion del AEP'!U111</f>
        <v>8473196666.6666679</v>
      </c>
      <c r="L16" s="44">
        <f>'Informacion del AEP'!V111</f>
        <v>8473196666.6666679</v>
      </c>
      <c r="M16" s="44">
        <f>'Informacion del AEP'!W111</f>
        <v>8473196666.6666679</v>
      </c>
      <c r="N16" s="44">
        <f>'Informacion del AEP'!X111</f>
        <v>8473196666.6666679</v>
      </c>
      <c r="O16" s="44">
        <f>'Informacion del AEP'!Y111</f>
        <v>8473196666.6666679</v>
      </c>
      <c r="P16" s="44">
        <f>'Informacion del AEP'!Z111</f>
        <v>8473196666.6666679</v>
      </c>
      <c r="Q16" s="44">
        <f>'Informacion del AEP'!AA111</f>
        <v>8473196666.6666679</v>
      </c>
      <c r="R16" s="44">
        <f>'Informacion del AEP'!AB111</f>
        <v>8473196666.6666679</v>
      </c>
      <c r="S16" s="44">
        <f>'Informacion del AEP'!AC111</f>
        <v>8473196666.6666679</v>
      </c>
      <c r="T16" s="44">
        <f>'Informacion del AEP'!AD111</f>
        <v>8473196666.6666679</v>
      </c>
      <c r="U16" s="44">
        <f>'Informacion del AEP'!AE111</f>
        <v>8473196666.6666679</v>
      </c>
    </row>
    <row r="17" spans="3:31" ht="13" x14ac:dyDescent="0.25">
      <c r="C17" s="202" t="s">
        <v>240</v>
      </c>
      <c r="D17" s="17" t="s">
        <v>238</v>
      </c>
      <c r="E17" s="17"/>
      <c r="F17" s="44">
        <f>'Informacion del AEP'!H112</f>
        <v>1827000000</v>
      </c>
      <c r="G17" s="44">
        <f>'Informacion del AEP'!Q112</f>
        <v>609000000.00000012</v>
      </c>
      <c r="H17" s="44">
        <f>'Informacion del AEP'!R112</f>
        <v>609000000.00000012</v>
      </c>
      <c r="I17" s="44">
        <f>'Informacion del AEP'!S112</f>
        <v>609000000.00000012</v>
      </c>
      <c r="J17" s="44">
        <f>'Informacion del AEP'!T112</f>
        <v>609000000.00000012</v>
      </c>
      <c r="K17" s="44">
        <f>'Informacion del AEP'!U112</f>
        <v>609000000.00000012</v>
      </c>
      <c r="L17" s="44">
        <f>'Informacion del AEP'!V112</f>
        <v>609000000.00000012</v>
      </c>
      <c r="M17" s="44">
        <f>'Informacion del AEP'!W112</f>
        <v>609000000.00000012</v>
      </c>
      <c r="N17" s="44">
        <f>'Informacion del AEP'!X112</f>
        <v>609000000.00000012</v>
      </c>
      <c r="O17" s="44">
        <f>'Informacion del AEP'!Y112</f>
        <v>609000000.00000012</v>
      </c>
      <c r="P17" s="44">
        <f>'Informacion del AEP'!Z112</f>
        <v>609000000.00000012</v>
      </c>
      <c r="Q17" s="44">
        <f>'Informacion del AEP'!AA112</f>
        <v>609000000.00000012</v>
      </c>
      <c r="R17" s="44">
        <f>'Informacion del AEP'!AB112</f>
        <v>609000000.00000012</v>
      </c>
      <c r="S17" s="44">
        <f>'Informacion del AEP'!AC112</f>
        <v>609000000.00000012</v>
      </c>
      <c r="T17" s="44">
        <f>'Informacion del AEP'!AD112</f>
        <v>609000000.00000012</v>
      </c>
      <c r="U17" s="44">
        <f>'Informacion del AEP'!AE112</f>
        <v>609000000.00000012</v>
      </c>
    </row>
    <row r="18" spans="3:31" ht="13" x14ac:dyDescent="0.25">
      <c r="C18" s="202" t="s">
        <v>241</v>
      </c>
      <c r="D18" s="17" t="s">
        <v>235</v>
      </c>
      <c r="E18" s="17"/>
      <c r="F18" s="44">
        <f>'Informacion del AEP'!H113</f>
        <v>70000000000</v>
      </c>
      <c r="G18" s="44">
        <f>'Informacion del AEP'!Q113</f>
        <v>23333333333.333332</v>
      </c>
      <c r="H18" s="44">
        <f>'Informacion del AEP'!R113</f>
        <v>23333333333.333332</v>
      </c>
      <c r="I18" s="44">
        <f>'Informacion del AEP'!S113</f>
        <v>23333333333.333332</v>
      </c>
      <c r="J18" s="44">
        <f>'Informacion del AEP'!T113</f>
        <v>23333333333.333332</v>
      </c>
      <c r="K18" s="44">
        <f>'Informacion del AEP'!U113</f>
        <v>23333333333.333332</v>
      </c>
      <c r="L18" s="44">
        <f>'Informacion del AEP'!V113</f>
        <v>23333333333.333332</v>
      </c>
      <c r="M18" s="44">
        <f>'Informacion del AEP'!W113</f>
        <v>23333333333.333332</v>
      </c>
      <c r="N18" s="44">
        <f>'Informacion del AEP'!X113</f>
        <v>23333333333.333332</v>
      </c>
      <c r="O18" s="44">
        <f>'Informacion del AEP'!Y113</f>
        <v>23333333333.333332</v>
      </c>
      <c r="P18" s="44">
        <f>'Informacion del AEP'!Z113</f>
        <v>23333333333.333332</v>
      </c>
      <c r="Q18" s="44">
        <f>'Informacion del AEP'!AA113</f>
        <v>23333333333.333332</v>
      </c>
      <c r="R18" s="44">
        <f>'Informacion del AEP'!AB113</f>
        <v>23333333333.333332</v>
      </c>
      <c r="S18" s="44">
        <f>'Informacion del AEP'!AC113</f>
        <v>23333333333.333332</v>
      </c>
      <c r="T18" s="44">
        <f>'Informacion del AEP'!AD113</f>
        <v>23333333333.333332</v>
      </c>
      <c r="U18" s="44">
        <f>'Informacion del AEP'!AE113</f>
        <v>23333333333.333332</v>
      </c>
    </row>
    <row r="19" spans="3:31" ht="13" x14ac:dyDescent="0.3">
      <c r="C19" s="202" t="s">
        <v>124</v>
      </c>
      <c r="D19" s="17" t="s">
        <v>242</v>
      </c>
      <c r="E19" s="17"/>
      <c r="F19" s="434">
        <f t="shared" ref="F19:U19" si="0">F16+F17+F18</f>
        <v>97246590000</v>
      </c>
      <c r="G19" s="434">
        <f t="shared" si="0"/>
        <v>32415530000</v>
      </c>
      <c r="H19" s="434">
        <f t="shared" si="0"/>
        <v>32415530000</v>
      </c>
      <c r="I19" s="434">
        <f t="shared" si="0"/>
        <v>32415530000</v>
      </c>
      <c r="J19" s="434">
        <f t="shared" si="0"/>
        <v>32415530000</v>
      </c>
      <c r="K19" s="434">
        <f t="shared" si="0"/>
        <v>32415530000</v>
      </c>
      <c r="L19" s="434">
        <f t="shared" si="0"/>
        <v>32415530000</v>
      </c>
      <c r="M19" s="434">
        <f t="shared" si="0"/>
        <v>32415530000</v>
      </c>
      <c r="N19" s="434">
        <f t="shared" si="0"/>
        <v>32415530000</v>
      </c>
      <c r="O19" s="434">
        <f t="shared" si="0"/>
        <v>32415530000</v>
      </c>
      <c r="P19" s="434">
        <f t="shared" si="0"/>
        <v>32415530000</v>
      </c>
      <c r="Q19" s="434">
        <f t="shared" si="0"/>
        <v>32415530000</v>
      </c>
      <c r="R19" s="434">
        <f t="shared" si="0"/>
        <v>32415530000</v>
      </c>
      <c r="S19" s="434">
        <f t="shared" si="0"/>
        <v>32415530000</v>
      </c>
      <c r="T19" s="434">
        <f t="shared" si="0"/>
        <v>32415530000</v>
      </c>
      <c r="U19" s="434">
        <f t="shared" si="0"/>
        <v>32415530000</v>
      </c>
    </row>
    <row r="20" spans="3:31" x14ac:dyDescent="0.25">
      <c r="C20" s="142"/>
      <c r="E20" s="17"/>
      <c r="F20" s="43"/>
      <c r="G20" s="43"/>
      <c r="H20" s="43"/>
      <c r="I20" s="43"/>
      <c r="J20" s="43"/>
      <c r="K20" s="43"/>
      <c r="L20" s="43"/>
      <c r="M20" s="43"/>
      <c r="N20" s="43"/>
      <c r="O20" s="43"/>
      <c r="P20" s="43"/>
      <c r="Q20" s="43"/>
      <c r="R20" s="43"/>
      <c r="S20" s="43"/>
      <c r="T20" s="43"/>
      <c r="U20" s="43"/>
      <c r="V20" s="43"/>
      <c r="W20" s="43"/>
      <c r="X20" s="43"/>
      <c r="Y20" s="43"/>
      <c r="Z20" s="43"/>
      <c r="AA20" s="43"/>
      <c r="AB20" s="43"/>
      <c r="AC20" s="43"/>
      <c r="AD20" s="43"/>
      <c r="AE20" s="43"/>
    </row>
    <row r="21" spans="3:31" ht="13" x14ac:dyDescent="0.3">
      <c r="C21" s="19" t="s">
        <v>432</v>
      </c>
      <c r="D21" s="17"/>
    </row>
    <row r="22" spans="3:31" ht="13" x14ac:dyDescent="0.25">
      <c r="C22" s="202" t="s">
        <v>239</v>
      </c>
      <c r="D22" s="17" t="s">
        <v>237</v>
      </c>
      <c r="F22" s="212">
        <v>2000000</v>
      </c>
      <c r="G22" s="212">
        <v>2000000</v>
      </c>
      <c r="H22" s="212">
        <v>2000000</v>
      </c>
      <c r="I22" s="212">
        <v>2000000</v>
      </c>
      <c r="J22" s="212">
        <v>2000000</v>
      </c>
      <c r="K22" s="212">
        <v>2000000</v>
      </c>
      <c r="L22" s="212">
        <v>2000000</v>
      </c>
      <c r="M22" s="212">
        <v>2000000</v>
      </c>
      <c r="N22" s="212">
        <v>2000000</v>
      </c>
      <c r="O22" s="212">
        <v>2000000</v>
      </c>
      <c r="P22" s="212">
        <v>2000000</v>
      </c>
      <c r="Q22" s="212">
        <v>2000000</v>
      </c>
      <c r="R22" s="212">
        <v>2000000</v>
      </c>
      <c r="S22" s="212">
        <v>2000000</v>
      </c>
      <c r="T22" s="212">
        <v>2000000</v>
      </c>
      <c r="U22" s="212">
        <v>2000000</v>
      </c>
    </row>
    <row r="23" spans="3:31" ht="13" x14ac:dyDescent="0.25">
      <c r="C23" s="202" t="s">
        <v>240</v>
      </c>
      <c r="D23" s="17" t="s">
        <v>238</v>
      </c>
      <c r="F23" s="212">
        <v>2000000</v>
      </c>
      <c r="G23" s="212">
        <v>2000000</v>
      </c>
      <c r="H23" s="212">
        <v>2000000</v>
      </c>
      <c r="I23" s="212">
        <v>2000000</v>
      </c>
      <c r="J23" s="212">
        <v>2000000</v>
      </c>
      <c r="K23" s="212">
        <v>2000000</v>
      </c>
      <c r="L23" s="212">
        <v>2000000</v>
      </c>
      <c r="M23" s="212">
        <v>2000000</v>
      </c>
      <c r="N23" s="212">
        <v>2000000</v>
      </c>
      <c r="O23" s="212">
        <v>2000000</v>
      </c>
      <c r="P23" s="212">
        <v>2000000</v>
      </c>
      <c r="Q23" s="212">
        <v>2000000</v>
      </c>
      <c r="R23" s="212">
        <v>2000000</v>
      </c>
      <c r="S23" s="212">
        <v>2000000</v>
      </c>
      <c r="T23" s="212">
        <v>2000000</v>
      </c>
      <c r="U23" s="212">
        <v>2000000</v>
      </c>
    </row>
    <row r="24" spans="3:31" ht="13" x14ac:dyDescent="0.25">
      <c r="C24" s="202" t="s">
        <v>241</v>
      </c>
      <c r="D24" s="17" t="s">
        <v>235</v>
      </c>
      <c r="F24" s="212">
        <v>2000000</v>
      </c>
      <c r="G24" s="212">
        <v>2000000</v>
      </c>
      <c r="H24" s="212">
        <v>2000000</v>
      </c>
      <c r="I24" s="212">
        <v>2000000</v>
      </c>
      <c r="J24" s="212">
        <v>2000000</v>
      </c>
      <c r="K24" s="212">
        <v>2000000</v>
      </c>
      <c r="L24" s="212">
        <v>2000000</v>
      </c>
      <c r="M24" s="212">
        <v>2000000</v>
      </c>
      <c r="N24" s="212">
        <v>2000000</v>
      </c>
      <c r="O24" s="212">
        <v>2000000</v>
      </c>
      <c r="P24" s="212">
        <v>2000000</v>
      </c>
      <c r="Q24" s="212">
        <v>2000000</v>
      </c>
      <c r="R24" s="212">
        <v>2000000</v>
      </c>
      <c r="S24" s="212">
        <v>2000000</v>
      </c>
      <c r="T24" s="212">
        <v>2000000</v>
      </c>
      <c r="U24" s="212">
        <v>2000000</v>
      </c>
    </row>
    <row r="25" spans="3:31" ht="13" x14ac:dyDescent="0.3">
      <c r="C25" s="202" t="s">
        <v>124</v>
      </c>
      <c r="D25" s="17" t="s">
        <v>242</v>
      </c>
      <c r="F25" s="434">
        <f t="shared" ref="F25:U25" si="1">F22+F23+F24</f>
        <v>6000000</v>
      </c>
      <c r="G25" s="434">
        <f t="shared" si="1"/>
        <v>6000000</v>
      </c>
      <c r="H25" s="434">
        <f t="shared" si="1"/>
        <v>6000000</v>
      </c>
      <c r="I25" s="434">
        <f t="shared" si="1"/>
        <v>6000000</v>
      </c>
      <c r="J25" s="434">
        <f t="shared" si="1"/>
        <v>6000000</v>
      </c>
      <c r="K25" s="434">
        <f t="shared" si="1"/>
        <v>6000000</v>
      </c>
      <c r="L25" s="434">
        <f t="shared" si="1"/>
        <v>6000000</v>
      </c>
      <c r="M25" s="434">
        <f t="shared" si="1"/>
        <v>6000000</v>
      </c>
      <c r="N25" s="434">
        <f t="shared" si="1"/>
        <v>6000000</v>
      </c>
      <c r="O25" s="434">
        <f t="shared" si="1"/>
        <v>6000000</v>
      </c>
      <c r="P25" s="434">
        <f t="shared" si="1"/>
        <v>6000000</v>
      </c>
      <c r="Q25" s="434">
        <f t="shared" si="1"/>
        <v>6000000</v>
      </c>
      <c r="R25" s="434">
        <f t="shared" si="1"/>
        <v>6000000</v>
      </c>
      <c r="S25" s="434">
        <f t="shared" si="1"/>
        <v>6000000</v>
      </c>
      <c r="T25" s="434">
        <f t="shared" si="1"/>
        <v>6000000</v>
      </c>
      <c r="U25" s="434">
        <f t="shared" si="1"/>
        <v>6000000</v>
      </c>
    </row>
    <row r="27" spans="3:31" ht="13" x14ac:dyDescent="0.3">
      <c r="C27" s="19" t="s">
        <v>434</v>
      </c>
      <c r="D27" s="17"/>
    </row>
    <row r="28" spans="3:31" ht="13" x14ac:dyDescent="0.25">
      <c r="C28" s="202" t="s">
        <v>239</v>
      </c>
      <c r="D28" s="17" t="s">
        <v>237</v>
      </c>
      <c r="F28" s="212">
        <v>2000000</v>
      </c>
      <c r="G28" s="212">
        <v>2000000</v>
      </c>
      <c r="H28" s="212">
        <v>2000000</v>
      </c>
      <c r="I28" s="212">
        <v>2000000</v>
      </c>
      <c r="J28" s="212">
        <v>2000000</v>
      </c>
      <c r="K28" s="212">
        <v>2000000</v>
      </c>
      <c r="L28" s="212">
        <v>2000000</v>
      </c>
      <c r="M28" s="212">
        <v>2000000</v>
      </c>
      <c r="N28" s="212">
        <v>2000000</v>
      </c>
      <c r="O28" s="212">
        <v>2000000</v>
      </c>
      <c r="P28" s="212">
        <v>2000000</v>
      </c>
      <c r="Q28" s="212">
        <v>2000000</v>
      </c>
      <c r="R28" s="212">
        <v>2000000</v>
      </c>
      <c r="S28" s="212">
        <v>2000000</v>
      </c>
      <c r="T28" s="212">
        <v>2000000</v>
      </c>
      <c r="U28" s="212">
        <v>2000000</v>
      </c>
    </row>
    <row r="29" spans="3:31" ht="13" x14ac:dyDescent="0.25">
      <c r="C29" s="202" t="s">
        <v>240</v>
      </c>
      <c r="D29" s="17" t="s">
        <v>238</v>
      </c>
      <c r="F29" s="212">
        <v>2000000</v>
      </c>
      <c r="G29" s="212">
        <v>2000000</v>
      </c>
      <c r="H29" s="212">
        <v>2000000</v>
      </c>
      <c r="I29" s="212">
        <v>2000000</v>
      </c>
      <c r="J29" s="212">
        <v>2000000</v>
      </c>
      <c r="K29" s="212">
        <v>2000000</v>
      </c>
      <c r="L29" s="212">
        <v>2000000</v>
      </c>
      <c r="M29" s="212">
        <v>2000000</v>
      </c>
      <c r="N29" s="212">
        <v>2000000</v>
      </c>
      <c r="O29" s="212">
        <v>2000000</v>
      </c>
      <c r="P29" s="212">
        <v>2000000</v>
      </c>
      <c r="Q29" s="212">
        <v>2000000</v>
      </c>
      <c r="R29" s="212">
        <v>2000000</v>
      </c>
      <c r="S29" s="212">
        <v>2000000</v>
      </c>
      <c r="T29" s="212">
        <v>2000000</v>
      </c>
      <c r="U29" s="212">
        <v>2000000</v>
      </c>
    </row>
    <row r="30" spans="3:31" ht="13" x14ac:dyDescent="0.25">
      <c r="C30" s="202" t="s">
        <v>241</v>
      </c>
      <c r="D30" s="17" t="s">
        <v>235</v>
      </c>
      <c r="F30" s="212">
        <v>2000000</v>
      </c>
      <c r="G30" s="212">
        <v>2000000</v>
      </c>
      <c r="H30" s="212">
        <v>2000000</v>
      </c>
      <c r="I30" s="212">
        <v>2000000</v>
      </c>
      <c r="J30" s="212">
        <v>2000000</v>
      </c>
      <c r="K30" s="212">
        <v>2000000</v>
      </c>
      <c r="L30" s="212">
        <v>2000000</v>
      </c>
      <c r="M30" s="212">
        <v>2000000</v>
      </c>
      <c r="N30" s="212">
        <v>2000000</v>
      </c>
      <c r="O30" s="212">
        <v>2000000</v>
      </c>
      <c r="P30" s="212">
        <v>2000000</v>
      </c>
      <c r="Q30" s="212">
        <v>2000000</v>
      </c>
      <c r="R30" s="212">
        <v>2000000</v>
      </c>
      <c r="S30" s="212">
        <v>2000000</v>
      </c>
      <c r="T30" s="212">
        <v>2000000</v>
      </c>
      <c r="U30" s="212">
        <v>2000000</v>
      </c>
    </row>
    <row r="31" spans="3:31" ht="13" x14ac:dyDescent="0.3">
      <c r="C31" s="202" t="s">
        <v>124</v>
      </c>
      <c r="D31" s="17" t="s">
        <v>242</v>
      </c>
      <c r="F31" s="434">
        <f t="shared" ref="F31:U31" si="2">F28+F29+F30</f>
        <v>6000000</v>
      </c>
      <c r="G31" s="434">
        <f t="shared" si="2"/>
        <v>6000000</v>
      </c>
      <c r="H31" s="434">
        <f t="shared" si="2"/>
        <v>6000000</v>
      </c>
      <c r="I31" s="434">
        <f t="shared" si="2"/>
        <v>6000000</v>
      </c>
      <c r="J31" s="434">
        <f t="shared" si="2"/>
        <v>6000000</v>
      </c>
      <c r="K31" s="434">
        <f t="shared" si="2"/>
        <v>6000000</v>
      </c>
      <c r="L31" s="434">
        <f t="shared" si="2"/>
        <v>6000000</v>
      </c>
      <c r="M31" s="434">
        <f t="shared" si="2"/>
        <v>6000000</v>
      </c>
      <c r="N31" s="434">
        <f t="shared" si="2"/>
        <v>6000000</v>
      </c>
      <c r="O31" s="434">
        <f t="shared" si="2"/>
        <v>6000000</v>
      </c>
      <c r="P31" s="434">
        <f t="shared" si="2"/>
        <v>6000000</v>
      </c>
      <c r="Q31" s="434">
        <f t="shared" si="2"/>
        <v>6000000</v>
      </c>
      <c r="R31" s="434">
        <f t="shared" si="2"/>
        <v>6000000</v>
      </c>
      <c r="S31" s="434">
        <f t="shared" si="2"/>
        <v>6000000</v>
      </c>
      <c r="T31" s="434">
        <f t="shared" si="2"/>
        <v>6000000</v>
      </c>
      <c r="U31" s="434">
        <f t="shared" si="2"/>
        <v>6000000</v>
      </c>
    </row>
  </sheetData>
  <mergeCells count="3">
    <mergeCell ref="G12:P12"/>
    <mergeCell ref="Q12:U12"/>
    <mergeCell ref="H4:R6"/>
  </mergeCells>
  <hyperlinks>
    <hyperlink ref="C3" location="'Resultados &gt;&gt;'!A1" display="Ir a Resultados &gt;&gt;" xr:uid="{38B05D2A-B77F-444F-A922-E23335AF583E}"/>
  </hyperlinks>
  <pageMargins left="0.7" right="0.7" top="0.75" bottom="0.75" header="0.3" footer="0.3"/>
  <pageSetup paperSize="9" orientation="portrait"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Hoja4">
    <tabColor theme="9"/>
  </sheetPr>
  <dimension ref="C13"/>
  <sheetViews>
    <sheetView workbookViewId="0"/>
  </sheetViews>
  <sheetFormatPr baseColWidth="10" defaultColWidth="9.1796875" defaultRowHeight="12.5" x14ac:dyDescent="0.25"/>
  <cols>
    <col min="1" max="16384" width="9.1796875" style="261"/>
  </cols>
  <sheetData>
    <row r="13" spans="3:3" s="263" customFormat="1" ht="28" x14ac:dyDescent="0.6">
      <c r="C13" s="262" t="s">
        <v>285</v>
      </c>
    </row>
  </sheetData>
  <pageMargins left="0.7" right="0.7" top="0.75" bottom="0.75" header="0.3" footer="0.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Hoja2">
    <tabColor theme="9" tint="0.79998168889431442"/>
  </sheetPr>
  <dimension ref="B1:BE103"/>
  <sheetViews>
    <sheetView showGridLines="0" topLeftCell="A78" zoomScale="70" zoomScaleNormal="70" workbookViewId="0">
      <selection activeCell="C8" sqref="C8"/>
    </sheetView>
  </sheetViews>
  <sheetFormatPr baseColWidth="10" defaultColWidth="8.81640625" defaultRowHeight="12.5" x14ac:dyDescent="0.25"/>
  <cols>
    <col min="1" max="1" width="1.81640625" customWidth="1"/>
    <col min="2" max="2" width="8.1796875" customWidth="1"/>
    <col min="3" max="3" width="51.54296875" customWidth="1"/>
    <col min="4" max="4" width="22.54296875" customWidth="1"/>
    <col min="5" max="7" width="19.1796875" customWidth="1"/>
    <col min="8" max="8" width="20.81640625" customWidth="1"/>
    <col min="9" max="9" width="23.453125" customWidth="1"/>
    <col min="10" max="10" width="19.1796875" customWidth="1"/>
    <col min="11" max="11" width="23.81640625" customWidth="1"/>
    <col min="12" max="12" width="26" customWidth="1"/>
    <col min="13" max="13" width="17.81640625" customWidth="1"/>
    <col min="14" max="14" width="14.453125" customWidth="1"/>
    <col min="15" max="15" width="16.453125" customWidth="1"/>
    <col min="17" max="17" width="24.81640625" customWidth="1"/>
  </cols>
  <sheetData>
    <row r="1" spans="2:9" s="1" customFormat="1" ht="20" x14ac:dyDescent="0.4">
      <c r="B1" s="1" t="s">
        <v>286</v>
      </c>
    </row>
    <row r="3" spans="2:9" ht="20.149999999999999" customHeight="1" x14ac:dyDescent="0.25">
      <c r="C3" s="14" t="s">
        <v>90</v>
      </c>
    </row>
    <row r="5" spans="2:9" hidden="1" x14ac:dyDescent="0.25"/>
    <row r="6" spans="2:9" ht="59.15" hidden="1" customHeight="1" x14ac:dyDescent="0.25">
      <c r="C6" s="487"/>
      <c r="D6" s="487"/>
      <c r="E6" s="487"/>
      <c r="F6" s="487"/>
    </row>
    <row r="7" spans="2:9" ht="66" hidden="1" customHeight="1" x14ac:dyDescent="0.25">
      <c r="C7" s="487"/>
      <c r="D7" s="487"/>
      <c r="E7" s="487"/>
      <c r="F7" s="487"/>
    </row>
    <row r="8" spans="2:9" ht="15.65" customHeight="1" x14ac:dyDescent="0.25">
      <c r="C8" s="163"/>
      <c r="D8" s="163"/>
      <c r="E8" s="163"/>
      <c r="F8" s="163"/>
    </row>
    <row r="9" spans="2:9" ht="22.4" customHeight="1" x14ac:dyDescent="0.3">
      <c r="C9" s="16" t="s">
        <v>63</v>
      </c>
      <c r="D9" s="88" t="s">
        <v>64</v>
      </c>
      <c r="E9" s="88" t="s">
        <v>65</v>
      </c>
      <c r="F9" s="163"/>
    </row>
    <row r="10" spans="2:9" ht="17.149999999999999" customHeight="1" x14ac:dyDescent="0.25">
      <c r="D10" s="85">
        <f>Supuestos!$C$5</f>
        <v>45658</v>
      </c>
      <c r="E10" s="85">
        <f>Supuestos!$C$6</f>
        <v>45747</v>
      </c>
      <c r="F10" s="163"/>
    </row>
    <row r="12" spans="2:9" s="18" customFormat="1" ht="15.65" customHeight="1" x14ac:dyDescent="0.25">
      <c r="B12" s="18" t="s">
        <v>287</v>
      </c>
    </row>
    <row r="13" spans="2:9" s="124" customFormat="1" ht="15.65" customHeight="1" thickBot="1" x14ac:dyDescent="0.3"/>
    <row r="14" spans="2:9" ht="13.5" thickBot="1" x14ac:dyDescent="0.35">
      <c r="C14" s="16" t="s">
        <v>288</v>
      </c>
      <c r="D14" s="153" t="s">
        <v>289</v>
      </c>
      <c r="F14" s="561"/>
      <c r="G14" s="562"/>
      <c r="H14" s="562"/>
      <c r="I14" s="563"/>
    </row>
    <row r="15" spans="2:9" ht="13.5" thickBot="1" x14ac:dyDescent="0.35">
      <c r="C15" s="16" t="s">
        <v>290</v>
      </c>
      <c r="D15" s="409">
        <v>5</v>
      </c>
      <c r="F15" s="410">
        <v>4</v>
      </c>
      <c r="G15" s="410">
        <v>5</v>
      </c>
      <c r="H15" s="410">
        <v>6</v>
      </c>
    </row>
    <row r="16" spans="2:9" s="18" customFormat="1" ht="15.65" customHeight="1" x14ac:dyDescent="0.25">
      <c r="B16" s="18" t="s">
        <v>291</v>
      </c>
    </row>
    <row r="17" spans="2:20" ht="13.5" customHeight="1" x14ac:dyDescent="0.25"/>
    <row r="18" spans="2:20" ht="13" x14ac:dyDescent="0.3">
      <c r="C18" s="559" t="s">
        <v>292</v>
      </c>
      <c r="D18" s="559"/>
      <c r="E18" s="559"/>
      <c r="F18" s="559"/>
      <c r="G18" s="559"/>
      <c r="H18" s="559"/>
      <c r="I18" s="559"/>
      <c r="J18" s="559"/>
      <c r="K18" s="559"/>
      <c r="L18" s="559"/>
      <c r="M18" s="559"/>
      <c r="N18" s="559"/>
      <c r="O18" s="559"/>
      <c r="P18" s="559"/>
      <c r="Q18" s="559"/>
      <c r="R18" s="559"/>
    </row>
    <row r="20" spans="2:20" ht="13.5" thickBot="1" x14ac:dyDescent="0.35">
      <c r="C20" s="16"/>
      <c r="D20" s="132"/>
      <c r="E20" s="16" t="s">
        <v>252</v>
      </c>
      <c r="F20" s="16" t="s">
        <v>253</v>
      </c>
      <c r="G20" s="16" t="s">
        <v>254</v>
      </c>
      <c r="H20" s="16" t="s">
        <v>255</v>
      </c>
      <c r="I20" s="16" t="s">
        <v>256</v>
      </c>
      <c r="J20" s="16" t="s">
        <v>257</v>
      </c>
    </row>
    <row r="21" spans="2:20" ht="13.4" customHeight="1" x14ac:dyDescent="0.3">
      <c r="C21" s="308" t="str">
        <f>'Informacion del AEP'!C119</f>
        <v>Facturación total mensual</v>
      </c>
      <c r="D21" s="152" t="str">
        <f>'Informacion del AEP'!D119</f>
        <v>Pesos</v>
      </c>
      <c r="E21" s="306">
        <f>IF($D$14='Hoja Auxiliar'!$B$32,'Informacion del AEP'!F119/3,0)</f>
        <v>0</v>
      </c>
      <c r="F21" s="306">
        <f>IF($D$14='Hoja Auxiliar'!$B$32,'Informacion del AEP'!G119/3,0)</f>
        <v>0</v>
      </c>
      <c r="G21" s="306">
        <f>IF($D$14='Hoja Auxiliar'!$B$32,'Informacion del AEP'!H119/3,0)</f>
        <v>0</v>
      </c>
      <c r="H21" s="306">
        <f>IF($D$14='Hoja Auxiliar'!$B$32,'Informacion del AEP'!I119/3,0)</f>
        <v>0</v>
      </c>
      <c r="I21" s="306">
        <f>IF($D$14='Hoja Auxiliar'!$B$32,'Informacion del AEP'!J119/3,0)</f>
        <v>0</v>
      </c>
      <c r="J21" s="182">
        <f>IF($D$14='Hoja Auxiliar'!$B$32,'Informacion del AEP'!K119/3,0)</f>
        <v>0</v>
      </c>
      <c r="L21" s="487"/>
      <c r="M21" s="487"/>
      <c r="N21" s="487"/>
      <c r="O21" s="487"/>
    </row>
    <row r="22" spans="2:20" ht="13" x14ac:dyDescent="0.3">
      <c r="C22" s="309" t="str">
        <f>'Informacion del AEP'!C127</f>
        <v xml:space="preserve">Unidades de bolsa de tráfico consumidas </v>
      </c>
      <c r="D22" t="s">
        <v>293</v>
      </c>
      <c r="E22" s="305">
        <f>IF($D$14='Hoja Auxiliar'!$B$33,'Informacion del AEP'!F127/3,0)</f>
        <v>0</v>
      </c>
      <c r="F22" s="305">
        <f>IF($D$14='Hoja Auxiliar'!$B$33,'Informacion del AEP'!G127/3,0)</f>
        <v>0</v>
      </c>
      <c r="G22" s="305">
        <f>IF($D$14='Hoja Auxiliar'!$B$33,'Informacion del AEP'!H127/3,0)</f>
        <v>0</v>
      </c>
      <c r="H22" s="305">
        <f>IF($D$14='Hoja Auxiliar'!$B$33,'Informacion del AEP'!I127/3,0)</f>
        <v>0</v>
      </c>
      <c r="I22" s="305">
        <f>IF($D$14='Hoja Auxiliar'!$B$33,'Informacion del AEP'!J127/3,0)</f>
        <v>0</v>
      </c>
      <c r="J22" s="183">
        <f>IF($D$14='Hoja Auxiliar'!$B$33,'Informacion del AEP'!K127/3,0)</f>
        <v>0</v>
      </c>
      <c r="L22" s="487"/>
      <c r="M22" s="487"/>
      <c r="N22" s="487"/>
      <c r="O22" s="487"/>
    </row>
    <row r="23" spans="2:20" ht="13" x14ac:dyDescent="0.3">
      <c r="C23" s="309" t="s">
        <v>294</v>
      </c>
      <c r="D23" t="s">
        <v>235</v>
      </c>
      <c r="E23" s="305">
        <f>IF($D$14='Hoja Auxiliar'!$B$35,'Informacion del AEP'!F123/3,0)</f>
        <v>1666666666.6666667</v>
      </c>
      <c r="F23" s="305">
        <f>IF($D$14='Hoja Auxiliar'!$B$35,'Informacion del AEP'!G123/3,0)</f>
        <v>1333333333.3333333</v>
      </c>
      <c r="G23" s="305">
        <f>IF($D$14='Hoja Auxiliar'!$B$35,'Informacion del AEP'!H123/3,0)</f>
        <v>1000000000</v>
      </c>
      <c r="H23" s="305">
        <f>IF($D$14='Hoja Auxiliar'!$B$35,'Informacion del AEP'!I123/3,0)</f>
        <v>666666666.66666663</v>
      </c>
      <c r="I23" s="305">
        <f>IF($D$14='Hoja Auxiliar'!$B$35,'Informacion del AEP'!J123/3,0)</f>
        <v>333333333.33333331</v>
      </c>
      <c r="J23" s="412">
        <f>IF($D$14='Hoja Auxiliar'!$B$35,'Informacion del AEP'!K123/3,0)</f>
        <v>0</v>
      </c>
      <c r="L23" s="487"/>
      <c r="M23" s="487"/>
      <c r="N23" s="487"/>
      <c r="O23" s="487"/>
    </row>
    <row r="24" spans="2:20" ht="12.75" customHeight="1" x14ac:dyDescent="0.3">
      <c r="C24" s="309" t="s">
        <v>295</v>
      </c>
      <c r="E24" s="16">
        <f>IF($D$14='Hoja Auxiliar'!$B$34,0,'Hoja Auxiliar'!C14)</f>
        <v>2</v>
      </c>
      <c r="F24" s="16">
        <f>IF($D$14='Hoja Auxiliar'!$B$34,0,'Hoja Auxiliar'!L14)</f>
        <v>2</v>
      </c>
      <c r="G24" s="16">
        <f>IF($D$14='Hoja Auxiliar'!$B$34,0,'Hoja Auxiliar'!U14)</f>
        <v>2</v>
      </c>
      <c r="H24" s="16">
        <f>IF($D$14='Hoja Auxiliar'!$B$34,0,'Hoja Auxiliar'!AD14)</f>
        <v>1</v>
      </c>
      <c r="I24" s="16">
        <f>IF($D$14='Hoja Auxiliar'!$B$34,0,'Hoja Auxiliar'!AM14)</f>
        <v>1</v>
      </c>
      <c r="J24" s="205" t="e">
        <f>IF($D$14='Hoja Auxiliar'!$B$34,0,'Hoja Auxiliar'!AV14)</f>
        <v>#N/A</v>
      </c>
      <c r="L24" s="487"/>
      <c r="M24" s="487"/>
      <c r="N24" s="487"/>
      <c r="O24" s="487"/>
    </row>
    <row r="25" spans="2:20" ht="13" x14ac:dyDescent="0.3">
      <c r="C25" s="309" t="s">
        <v>296</v>
      </c>
      <c r="E25" s="16">
        <f>IF($D$14='Hoja Auxiliar'!$B$35,'Hoja Auxiliar'!C24,"")</f>
        <v>3</v>
      </c>
      <c r="F25" s="16">
        <f>IF($D$14='Hoja Auxiliar'!$B$35,'Hoja Auxiliar'!L24,"")</f>
        <v>3</v>
      </c>
      <c r="G25" s="16">
        <f>IF($D$14='Hoja Auxiliar'!$B$35,'Hoja Auxiliar'!U24,"")</f>
        <v>3</v>
      </c>
      <c r="H25" s="16">
        <f>IF($D$14='Hoja Auxiliar'!$B$35,'Hoja Auxiliar'!AD24,"")</f>
        <v>3</v>
      </c>
      <c r="I25" s="16">
        <f>IF($D$14='Hoja Auxiliar'!$B$35,'Hoja Auxiliar'!AM24,"")</f>
        <v>3</v>
      </c>
      <c r="J25" s="205">
        <f>IF($D$14='Hoja Auxiliar'!$B$35,'Hoja Auxiliar'!AV24,"")</f>
        <v>3</v>
      </c>
      <c r="L25" s="163"/>
      <c r="M25" s="163"/>
      <c r="N25" s="163"/>
      <c r="O25" s="163"/>
    </row>
    <row r="26" spans="2:20" ht="13" x14ac:dyDescent="0.25">
      <c r="C26" s="310" t="str">
        <f>'Informacion del AEP'!C124</f>
        <v>Número de usuarios activos</v>
      </c>
      <c r="D26" s="313" t="str">
        <f>'Informacion del AEP'!D124</f>
        <v>Usuarios</v>
      </c>
      <c r="E26" s="314">
        <f>INDEX('Informacion del AEP'!$F$124:$K$124,MATCH('Precio Mayorista'!E20,'Informacion del AEP'!$F$118:$K$118,0))</f>
        <v>1000000</v>
      </c>
      <c r="F26" s="314">
        <f>INDEX('Informacion del AEP'!$F$124:$K$124,MATCH('Precio Mayorista'!F20,'Informacion del AEP'!$F$118:$K$118,0))</f>
        <v>900000</v>
      </c>
      <c r="G26" s="314">
        <f>INDEX('Informacion del AEP'!$F$124:$K$124,MATCH('Precio Mayorista'!G20,'Informacion del AEP'!$F$118:$K$118,0))</f>
        <v>800000</v>
      </c>
      <c r="H26" s="314">
        <f>INDEX('Informacion del AEP'!$F$124:$K$124,MATCH('Precio Mayorista'!H20,'Informacion del AEP'!$F$118:$K$118,0))</f>
        <v>700000</v>
      </c>
      <c r="I26" s="314">
        <f>INDEX('Informacion del AEP'!$F$124:$K$124,MATCH('Precio Mayorista'!I20,'Informacion del AEP'!$F$118:$K$118,0))</f>
        <v>600000</v>
      </c>
      <c r="J26" s="315">
        <f>INDEX('Informacion del AEP'!$F$124:$K$124,MATCH('Precio Mayorista'!J20,'Informacion del AEP'!$F$118:$K$118,0))</f>
        <v>0</v>
      </c>
      <c r="L26" s="487"/>
      <c r="M26" s="487"/>
      <c r="N26" s="487"/>
      <c r="O26" s="487"/>
    </row>
    <row r="27" spans="2:20" ht="13.5" thickBot="1" x14ac:dyDescent="0.3">
      <c r="B27" s="232"/>
      <c r="C27" s="311" t="s">
        <v>297</v>
      </c>
      <c r="D27" s="233" t="s">
        <v>113</v>
      </c>
      <c r="E27" s="307">
        <f>IF(OR($D$14='Hoja Auxiliar'!$B$33,$D$14='Hoja Auxiliar'!$B$34, AND($D$14='Hoja Auxiliar'!$B$35,E26&gt;$D$69)),INDEX($D$65:$J$65,MATCH(E24,$D$29:$J$29,0)),IF(OR($D$14='Hoja Auxiliar'!$B$32),0,$D$43))</f>
        <v>2000000</v>
      </c>
      <c r="F27" s="307">
        <f>IF(OR($D$14='Hoja Auxiliar'!$B$33,$D$14='Hoja Auxiliar'!$B$34, AND($D$14='Hoja Auxiliar'!$B$35,F26&gt;$D$69)),INDEX($D$65:$J$65,MATCH(F24,$D$29:$J$29,0)),IF(OR($D$14='Hoja Auxiliar'!$B$32),0,$D$43))</f>
        <v>2000000</v>
      </c>
      <c r="G27" s="307">
        <f>IF(OR($D$14='Hoja Auxiliar'!$B$33,$D$14='Hoja Auxiliar'!$B$34, AND($D$14='Hoja Auxiliar'!$B$35,G26&gt;$D$69)),INDEX($D$65:$J$65,MATCH(G24,$D$29:$J$29,0)),IF(OR($D$14='Hoja Auxiliar'!$B$32),0,$D$43))</f>
        <v>2000000</v>
      </c>
      <c r="H27" s="307">
        <f>IF(OR($D$14='Hoja Auxiliar'!$B$33,$D$14='Hoja Auxiliar'!$B$34, AND($D$14='Hoja Auxiliar'!$B$35,H26&gt;$D$69)),INDEX($D$65:$J$65,MATCH(H24,$D$29:$J$29,0)),IF(OR($D$14='Hoja Auxiliar'!$B$32),0,$D$43))</f>
        <v>2000000</v>
      </c>
      <c r="I27" s="307">
        <f>IF(OR($D$14='Hoja Auxiliar'!$B$33,$D$14='Hoja Auxiliar'!$B$34, AND($D$14='Hoja Auxiliar'!$B$35,I26&gt;$D$69)),INDEX($D$65:$J$65,MATCH(I24,$D$29:$J$29,0)),IF(OR($D$14='Hoja Auxiliar'!$B$32),0,$D$43))</f>
        <v>2000000</v>
      </c>
      <c r="J27" s="307">
        <f>IF(OR($D$14='Hoja Auxiliar'!$B$33,$D$14='Hoja Auxiliar'!$B$34, AND($D$14='Hoja Auxiliar'!$B$35,J26&gt;$D$69)),INDEX($D$65:$J$65,MATCH(J24,$D$29:$J$29,0)),IF(OR($D$14='Hoja Auxiliar'!$B$32),0,$D$43))</f>
        <v>0</v>
      </c>
      <c r="Q27" s="212"/>
      <c r="R27" s="212"/>
      <c r="S27" s="212"/>
      <c r="T27" s="212"/>
    </row>
    <row r="28" spans="2:20" ht="13" x14ac:dyDescent="0.25">
      <c r="B28" s="232"/>
      <c r="C28" s="303"/>
      <c r="D28" s="230"/>
      <c r="E28" s="304"/>
      <c r="F28" s="232"/>
      <c r="Q28" s="212"/>
      <c r="R28" s="212"/>
      <c r="S28" s="212"/>
      <c r="T28" s="212"/>
    </row>
    <row r="29" spans="2:20" ht="13.5" customHeight="1" x14ac:dyDescent="0.3">
      <c r="C29" s="160" t="s">
        <v>298</v>
      </c>
      <c r="D29" s="161">
        <v>0</v>
      </c>
      <c r="E29" s="161">
        <v>1</v>
      </c>
      <c r="F29" s="161">
        <v>2</v>
      </c>
      <c r="G29" s="161">
        <v>3</v>
      </c>
      <c r="H29" s="161">
        <v>4</v>
      </c>
      <c r="I29" s="161">
        <v>5</v>
      </c>
      <c r="J29" s="161">
        <v>6</v>
      </c>
      <c r="L29" s="487"/>
      <c r="M29" s="487"/>
      <c r="N29" s="487"/>
      <c r="O29" s="487"/>
      <c r="Q29" s="212"/>
      <c r="R29" s="212"/>
      <c r="S29" s="212"/>
      <c r="T29" s="212"/>
    </row>
    <row r="30" spans="2:20" ht="18" customHeight="1" x14ac:dyDescent="0.3">
      <c r="C30" s="21" t="s">
        <v>299</v>
      </c>
      <c r="D30" s="143"/>
      <c r="E30" s="143"/>
      <c r="F30" s="143"/>
      <c r="G30" s="143"/>
      <c r="H30" s="143"/>
      <c r="I30" s="143"/>
      <c r="J30" s="143"/>
      <c r="L30" s="487"/>
      <c r="M30" s="487"/>
      <c r="N30" s="487"/>
      <c r="O30" s="487"/>
      <c r="Q30" s="212"/>
      <c r="R30" s="212"/>
      <c r="S30" s="212"/>
      <c r="T30" s="212"/>
    </row>
    <row r="31" spans="2:20" ht="12.65" customHeight="1" x14ac:dyDescent="0.25">
      <c r="C31" s="141" t="s">
        <v>300</v>
      </c>
      <c r="D31" s="162"/>
      <c r="E31" s="162"/>
      <c r="F31" s="162"/>
      <c r="G31" s="158"/>
      <c r="H31" s="158"/>
      <c r="I31" s="158"/>
      <c r="J31" s="158"/>
      <c r="L31" s="487"/>
      <c r="M31" s="487"/>
      <c r="N31" s="487"/>
      <c r="O31" s="487"/>
      <c r="Q31" s="212"/>
      <c r="R31" s="212"/>
      <c r="S31" s="212"/>
      <c r="T31" s="212"/>
    </row>
    <row r="32" spans="2:20" ht="15" customHeight="1" x14ac:dyDescent="0.25">
      <c r="C32" s="141" t="s">
        <v>301</v>
      </c>
      <c r="D32" s="162"/>
      <c r="E32" s="162"/>
      <c r="F32" s="162"/>
      <c r="G32" s="158"/>
      <c r="H32" s="158"/>
      <c r="I32" s="158"/>
      <c r="J32" s="158"/>
      <c r="L32" s="487"/>
      <c r="M32" s="487"/>
      <c r="N32" s="487"/>
      <c r="O32" s="487"/>
      <c r="Q32" s="212"/>
      <c r="R32" s="212"/>
      <c r="S32" s="212"/>
      <c r="T32" s="212"/>
    </row>
    <row r="33" spans="2:20" ht="15" customHeight="1" x14ac:dyDescent="0.3">
      <c r="B33" s="15"/>
      <c r="C33" s="21" t="s">
        <v>302</v>
      </c>
      <c r="D33" s="162"/>
      <c r="E33" s="162"/>
      <c r="F33" s="162"/>
      <c r="G33" s="158"/>
      <c r="H33" s="158"/>
      <c r="I33" s="158"/>
      <c r="J33" s="158"/>
      <c r="L33" s="487"/>
      <c r="M33" s="487"/>
      <c r="N33" s="487"/>
      <c r="O33" s="487"/>
      <c r="Q33" s="212"/>
      <c r="R33" s="212"/>
      <c r="S33" s="212"/>
      <c r="T33" s="212"/>
    </row>
    <row r="34" spans="2:20" ht="15" customHeight="1" x14ac:dyDescent="0.25">
      <c r="C34" s="141" t="s">
        <v>303</v>
      </c>
      <c r="D34" s="162">
        <v>1</v>
      </c>
      <c r="E34" s="162">
        <v>100000001</v>
      </c>
      <c r="F34" s="162">
        <v>800000001</v>
      </c>
      <c r="G34" s="162"/>
      <c r="H34" s="162"/>
      <c r="I34" s="162"/>
      <c r="J34" s="162"/>
      <c r="L34" s="487"/>
      <c r="M34" s="487"/>
      <c r="N34" s="487"/>
      <c r="O34" s="487"/>
      <c r="Q34" s="212"/>
      <c r="R34" s="212"/>
      <c r="S34" s="212"/>
      <c r="T34" s="212"/>
    </row>
    <row r="35" spans="2:20" ht="15.65" customHeight="1" x14ac:dyDescent="0.25">
      <c r="C35" s="141" t="s">
        <v>304</v>
      </c>
      <c r="D35" s="162">
        <v>100000000</v>
      </c>
      <c r="E35" s="162">
        <v>800000000</v>
      </c>
      <c r="F35" s="162"/>
      <c r="G35" s="162"/>
      <c r="H35" s="162"/>
      <c r="I35" s="162"/>
      <c r="J35" s="162"/>
      <c r="L35" s="487"/>
      <c r="M35" s="487"/>
      <c r="N35" s="487"/>
      <c r="O35" s="487"/>
      <c r="Q35" s="212"/>
      <c r="R35" s="212"/>
      <c r="S35" s="212"/>
      <c r="T35" s="212"/>
    </row>
    <row r="36" spans="2:20" ht="11.15" customHeight="1" x14ac:dyDescent="0.25">
      <c r="C36" s="141"/>
      <c r="D36" s="162"/>
      <c r="E36" s="162"/>
      <c r="F36" s="162"/>
      <c r="G36" s="158"/>
      <c r="H36" s="158"/>
      <c r="I36" s="158"/>
      <c r="J36" s="158"/>
      <c r="L36" s="487"/>
      <c r="M36" s="487"/>
      <c r="N36" s="487"/>
      <c r="O36" s="487"/>
      <c r="Q36" s="212"/>
      <c r="R36" s="212"/>
      <c r="S36" s="212"/>
      <c r="T36" s="212"/>
    </row>
    <row r="37" spans="2:20" ht="12.65" customHeight="1" x14ac:dyDescent="0.3">
      <c r="C37" s="21" t="s">
        <v>294</v>
      </c>
      <c r="D37" s="162"/>
      <c r="E37" s="162"/>
      <c r="F37" s="162"/>
      <c r="G37" s="158"/>
      <c r="H37" s="158"/>
      <c r="I37" s="158"/>
      <c r="J37" s="158"/>
      <c r="L37" s="487"/>
      <c r="M37" s="487"/>
      <c r="N37" s="487"/>
      <c r="O37" s="487"/>
      <c r="Q37" s="212"/>
      <c r="R37" s="212"/>
      <c r="S37" s="212"/>
      <c r="T37" s="212"/>
    </row>
    <row r="38" spans="2:20" ht="14.15" customHeight="1" x14ac:dyDescent="0.25">
      <c r="C38" s="141" t="s">
        <v>305</v>
      </c>
      <c r="D38" s="162">
        <v>1</v>
      </c>
      <c r="E38" s="162">
        <v>100000001</v>
      </c>
      <c r="F38" s="162">
        <v>800000001</v>
      </c>
      <c r="G38" s="162"/>
      <c r="H38" s="162"/>
      <c r="I38" s="162"/>
      <c r="J38" s="162"/>
      <c r="L38" s="487"/>
      <c r="M38" s="487"/>
      <c r="N38" s="487"/>
      <c r="O38" s="487"/>
      <c r="Q38" s="560" t="str">
        <f>IF(D14='Hoja Auxiliar'!$B$35,"&gt;&gt;Rango según datos consumidos","")</f>
        <v>&gt;&gt;Rango según datos consumidos</v>
      </c>
      <c r="R38" s="212"/>
      <c r="S38" s="212"/>
      <c r="T38" s="212"/>
    </row>
    <row r="39" spans="2:20" ht="12.65" customHeight="1" x14ac:dyDescent="0.25">
      <c r="C39" s="141" t="s">
        <v>306</v>
      </c>
      <c r="D39" s="162">
        <v>100000000</v>
      </c>
      <c r="E39" s="162">
        <v>800000000</v>
      </c>
      <c r="F39" s="162"/>
      <c r="G39" s="162"/>
      <c r="H39" s="162"/>
      <c r="I39" s="162"/>
      <c r="J39" s="162"/>
      <c r="L39" s="487"/>
      <c r="M39" s="487"/>
      <c r="N39" s="487"/>
      <c r="O39" s="487"/>
      <c r="Q39" s="560"/>
      <c r="R39" s="212"/>
      <c r="S39" s="212"/>
      <c r="T39" s="212"/>
    </row>
    <row r="40" spans="2:20" ht="6.65" customHeight="1" x14ac:dyDescent="0.25">
      <c r="C40" s="141"/>
      <c r="D40" s="162"/>
      <c r="E40" s="162"/>
      <c r="F40" s="162"/>
      <c r="G40" s="158"/>
      <c r="H40" s="158"/>
      <c r="I40" s="158"/>
      <c r="J40" s="158"/>
      <c r="L40" s="487"/>
      <c r="M40" s="487"/>
      <c r="N40" s="487"/>
      <c r="O40" s="487"/>
      <c r="Q40" s="331"/>
      <c r="R40" s="212"/>
      <c r="S40" s="212"/>
      <c r="T40" s="212"/>
    </row>
    <row r="41" spans="2:20" ht="14.15" customHeight="1" x14ac:dyDescent="0.3">
      <c r="C41" s="21" t="s">
        <v>307</v>
      </c>
      <c r="D41" s="162"/>
      <c r="E41" s="162">
        <v>0</v>
      </c>
      <c r="F41" s="162"/>
      <c r="G41" s="158"/>
      <c r="H41" s="158"/>
      <c r="I41" s="158"/>
      <c r="J41" s="158"/>
      <c r="L41" s="487"/>
      <c r="M41" s="487"/>
      <c r="N41" s="487"/>
      <c r="O41" s="487"/>
      <c r="Q41" s="212"/>
      <c r="R41" s="212"/>
      <c r="S41" s="212"/>
      <c r="T41" s="212"/>
    </row>
    <row r="42" spans="2:20" ht="11.9" customHeight="1" x14ac:dyDescent="0.25">
      <c r="C42" s="141" t="s">
        <v>308</v>
      </c>
      <c r="D42" s="162">
        <v>0</v>
      </c>
      <c r="E42" s="162">
        <v>0</v>
      </c>
      <c r="F42" s="162">
        <v>0</v>
      </c>
      <c r="G42" s="162">
        <v>0</v>
      </c>
      <c r="H42" s="158"/>
      <c r="I42" s="158"/>
      <c r="J42" s="158"/>
      <c r="L42" s="487"/>
      <c r="M42" s="487"/>
      <c r="N42" s="487"/>
      <c r="O42" s="487"/>
      <c r="Q42" s="560" t="str">
        <f>IF(D14='Hoja Auxiliar'!$B$35,"&gt;&gt;Rango según usuarios activos","")</f>
        <v>&gt;&gt;Rango según usuarios activos</v>
      </c>
      <c r="R42" s="212"/>
      <c r="S42" s="212"/>
      <c r="T42" s="212"/>
    </row>
    <row r="43" spans="2:20" ht="14.15" customHeight="1" x14ac:dyDescent="0.25">
      <c r="C43" s="250" t="s">
        <v>309</v>
      </c>
      <c r="D43" s="251">
        <v>0</v>
      </c>
      <c r="E43" s="251">
        <v>0</v>
      </c>
      <c r="F43" s="251">
        <v>0</v>
      </c>
      <c r="G43" s="252"/>
      <c r="H43" s="252"/>
      <c r="I43" s="252"/>
      <c r="J43" s="252"/>
      <c r="L43" s="487"/>
      <c r="M43" s="487"/>
      <c r="N43" s="487"/>
      <c r="O43" s="487"/>
      <c r="Q43" s="560"/>
      <c r="R43" s="212"/>
      <c r="S43" s="212"/>
      <c r="T43" s="212"/>
    </row>
    <row r="44" spans="2:20" ht="16.399999999999999" customHeight="1" x14ac:dyDescent="0.25">
      <c r="C44" s="141"/>
      <c r="D44" s="162"/>
      <c r="E44" s="162"/>
      <c r="F44" s="162"/>
      <c r="G44" s="158"/>
      <c r="H44" s="158"/>
      <c r="I44" s="158"/>
      <c r="J44" s="158"/>
      <c r="L44" s="487"/>
      <c r="M44" s="487"/>
      <c r="N44" s="487"/>
      <c r="O44" s="487"/>
      <c r="Q44" s="212"/>
      <c r="R44" s="212"/>
      <c r="S44" s="212"/>
      <c r="T44" s="212"/>
    </row>
    <row r="45" spans="2:20" ht="13" x14ac:dyDescent="0.3">
      <c r="C45" s="159" t="s">
        <v>310</v>
      </c>
      <c r="D45" s="248"/>
      <c r="E45" s="248"/>
      <c r="F45" s="248"/>
      <c r="G45" s="248"/>
      <c r="H45" s="248"/>
      <c r="I45" s="248"/>
      <c r="J45" s="248"/>
      <c r="L45" s="487"/>
      <c r="M45" s="487"/>
      <c r="N45" s="487"/>
      <c r="O45" s="487"/>
      <c r="Q45" s="212"/>
      <c r="R45" s="212"/>
      <c r="S45" s="212"/>
      <c r="T45" s="212"/>
    </row>
    <row r="46" spans="2:20" ht="15.65" customHeight="1" x14ac:dyDescent="0.3">
      <c r="C46" s="21" t="s">
        <v>311</v>
      </c>
      <c r="D46" s="189"/>
      <c r="E46" s="189"/>
      <c r="F46" s="189"/>
      <c r="G46" s="189"/>
      <c r="H46" s="189"/>
      <c r="I46" s="189"/>
      <c r="J46" s="189"/>
      <c r="L46" s="487"/>
      <c r="M46" s="487"/>
      <c r="N46" s="487"/>
      <c r="O46" s="487"/>
      <c r="Q46" s="212"/>
      <c r="R46" s="212"/>
      <c r="S46" s="212"/>
      <c r="T46" s="212"/>
    </row>
    <row r="47" spans="2:20" x14ac:dyDescent="0.25">
      <c r="C47" s="142" t="s">
        <v>239</v>
      </c>
      <c r="D47" s="394">
        <v>0.03</v>
      </c>
      <c r="E47" s="395">
        <v>0.03</v>
      </c>
      <c r="F47" s="395">
        <v>0.03</v>
      </c>
      <c r="G47" s="388"/>
      <c r="H47" s="388"/>
      <c r="I47" s="388"/>
      <c r="J47" s="388"/>
      <c r="L47" s="487"/>
      <c r="M47" s="487"/>
      <c r="N47" s="487"/>
      <c r="O47" s="487"/>
      <c r="Q47" s="212"/>
      <c r="R47" s="212"/>
      <c r="S47" s="212"/>
      <c r="T47" s="212"/>
    </row>
    <row r="48" spans="2:20" x14ac:dyDescent="0.25">
      <c r="C48" s="142" t="s">
        <v>240</v>
      </c>
      <c r="D48" s="394">
        <v>1.4999999999999999E-2</v>
      </c>
      <c r="E48" s="395">
        <v>1.4999999999999999E-2</v>
      </c>
      <c r="F48" s="395">
        <v>1.4999999999999999E-2</v>
      </c>
      <c r="G48" s="388"/>
      <c r="H48" s="388"/>
      <c r="I48" s="388"/>
      <c r="J48" s="388"/>
      <c r="L48" s="487"/>
      <c r="M48" s="487"/>
      <c r="N48" s="487"/>
      <c r="O48" s="487"/>
      <c r="Q48" s="332"/>
      <c r="R48" s="332"/>
      <c r="S48" s="212"/>
      <c r="T48" s="212"/>
    </row>
    <row r="49" spans="2:20" x14ac:dyDescent="0.25">
      <c r="C49" s="142" t="s">
        <v>241</v>
      </c>
      <c r="D49" s="394">
        <v>1.7999999999999999E-2</v>
      </c>
      <c r="E49" s="395">
        <v>1.35E-2</v>
      </c>
      <c r="F49" s="395">
        <v>1.2500000000000001E-2</v>
      </c>
      <c r="G49" s="388"/>
      <c r="H49" s="388"/>
      <c r="I49" s="388"/>
      <c r="J49" s="388"/>
      <c r="L49" s="487"/>
      <c r="M49" s="487"/>
      <c r="N49" s="487"/>
      <c r="O49" s="487"/>
      <c r="Q49" s="212"/>
      <c r="R49" s="212"/>
      <c r="S49" s="212"/>
      <c r="T49" s="212"/>
    </row>
    <row r="50" spans="2:20" ht="5.15" customHeight="1" x14ac:dyDescent="0.25">
      <c r="C50" s="154"/>
      <c r="D50" s="158"/>
      <c r="E50" s="158"/>
      <c r="F50" s="158"/>
      <c r="G50" s="158"/>
      <c r="H50" s="158"/>
      <c r="I50" s="158"/>
      <c r="J50" s="158"/>
      <c r="L50" s="487"/>
      <c r="M50" s="487"/>
      <c r="N50" s="487"/>
      <c r="O50" s="487"/>
      <c r="Q50" s="212"/>
      <c r="R50" s="212"/>
      <c r="S50" s="212"/>
      <c r="T50" s="212"/>
    </row>
    <row r="51" spans="2:20" ht="13.4" customHeight="1" x14ac:dyDescent="0.3">
      <c r="C51" s="21" t="s">
        <v>312</v>
      </c>
      <c r="D51" s="382">
        <v>0</v>
      </c>
      <c r="E51" s="382">
        <v>0</v>
      </c>
      <c r="F51" s="382">
        <v>0</v>
      </c>
      <c r="G51" s="382">
        <v>0</v>
      </c>
      <c r="H51" s="382">
        <v>0</v>
      </c>
      <c r="I51" s="382">
        <v>0</v>
      </c>
      <c r="J51" s="382">
        <v>0</v>
      </c>
      <c r="L51" s="487"/>
      <c r="M51" s="487"/>
      <c r="N51" s="487"/>
      <c r="O51" s="487"/>
      <c r="Q51" s="212"/>
      <c r="R51" s="212"/>
      <c r="S51" s="212"/>
      <c r="T51" s="212"/>
    </row>
    <row r="52" spans="2:20" ht="6.65" customHeight="1" x14ac:dyDescent="0.25">
      <c r="C52" s="154"/>
      <c r="D52" s="382"/>
      <c r="E52" s="158"/>
      <c r="F52" s="158"/>
      <c r="G52" s="158"/>
      <c r="H52" s="158"/>
      <c r="I52" s="158"/>
      <c r="J52" s="158"/>
      <c r="L52" s="487"/>
      <c r="M52" s="487"/>
      <c r="N52" s="487"/>
      <c r="O52" s="487"/>
      <c r="Q52" s="212"/>
      <c r="R52" s="212"/>
      <c r="S52" s="212"/>
      <c r="T52" s="212"/>
    </row>
    <row r="53" spans="2:20" ht="13" x14ac:dyDescent="0.3">
      <c r="B53" s="15"/>
      <c r="C53" s="21" t="s">
        <v>313</v>
      </c>
      <c r="D53" s="382"/>
      <c r="E53" s="158"/>
      <c r="F53" s="158"/>
      <c r="G53" s="158"/>
      <c r="H53" s="158"/>
      <c r="I53" s="158"/>
      <c r="J53" s="158"/>
      <c r="L53" s="487"/>
      <c r="M53" s="487"/>
      <c r="N53" s="487"/>
      <c r="O53" s="487"/>
      <c r="Q53" s="212"/>
      <c r="R53" s="212"/>
      <c r="S53" s="212"/>
      <c r="T53" s="212"/>
    </row>
    <row r="54" spans="2:20" x14ac:dyDescent="0.25">
      <c r="C54" s="142" t="s">
        <v>239</v>
      </c>
      <c r="D54" s="382">
        <v>0</v>
      </c>
      <c r="E54" s="382">
        <v>0</v>
      </c>
      <c r="F54" s="382">
        <v>0</v>
      </c>
      <c r="G54" s="382">
        <v>0</v>
      </c>
      <c r="H54" s="382">
        <v>0</v>
      </c>
      <c r="I54" s="382">
        <v>0</v>
      </c>
      <c r="J54" s="382">
        <v>0</v>
      </c>
      <c r="L54" s="487"/>
      <c r="M54" s="487"/>
      <c r="N54" s="487"/>
      <c r="O54" s="487"/>
      <c r="Q54" s="212"/>
      <c r="R54" s="212"/>
      <c r="S54" s="212"/>
      <c r="T54" s="212"/>
    </row>
    <row r="55" spans="2:20" x14ac:dyDescent="0.25">
      <c r="C55" s="142" t="s">
        <v>240</v>
      </c>
      <c r="D55" s="382">
        <v>0</v>
      </c>
      <c r="E55" s="382">
        <v>0</v>
      </c>
      <c r="F55" s="382">
        <v>0</v>
      </c>
      <c r="G55" s="382">
        <v>0</v>
      </c>
      <c r="H55" s="382">
        <v>0</v>
      </c>
      <c r="I55" s="382">
        <v>0</v>
      </c>
      <c r="J55" s="382">
        <v>0</v>
      </c>
      <c r="L55" s="487"/>
      <c r="M55" s="487"/>
      <c r="N55" s="487"/>
      <c r="O55" s="487"/>
      <c r="Q55" s="212"/>
      <c r="R55" s="212"/>
      <c r="S55" s="212"/>
      <c r="T55" s="212"/>
    </row>
    <row r="56" spans="2:20" x14ac:dyDescent="0.25">
      <c r="C56" s="142" t="s">
        <v>241</v>
      </c>
      <c r="D56" s="382">
        <v>0</v>
      </c>
      <c r="E56" s="382">
        <v>0</v>
      </c>
      <c r="F56" s="382">
        <v>0</v>
      </c>
      <c r="G56" s="382">
        <v>0</v>
      </c>
      <c r="H56" s="382">
        <v>0</v>
      </c>
      <c r="I56" s="382">
        <v>0</v>
      </c>
      <c r="J56" s="382">
        <v>0</v>
      </c>
      <c r="L56" s="487"/>
      <c r="M56" s="487"/>
      <c r="N56" s="487"/>
      <c r="O56" s="487"/>
      <c r="Q56" s="212"/>
      <c r="R56" s="212"/>
      <c r="S56" s="212"/>
      <c r="T56" s="212"/>
    </row>
    <row r="57" spans="2:20" x14ac:dyDescent="0.25">
      <c r="L57" s="487"/>
      <c r="M57" s="487"/>
      <c r="N57" s="487"/>
      <c r="O57" s="487"/>
    </row>
    <row r="58" spans="2:20" ht="12.75" hidden="1" customHeight="1" x14ac:dyDescent="0.25">
      <c r="L58" s="487"/>
      <c r="M58" s="487"/>
      <c r="N58" s="487"/>
      <c r="O58" s="487"/>
    </row>
    <row r="59" spans="2:20" ht="12.75" hidden="1" customHeight="1" x14ac:dyDescent="0.25">
      <c r="L59" s="487"/>
      <c r="M59" s="487"/>
      <c r="N59" s="487"/>
      <c r="O59" s="487"/>
    </row>
    <row r="60" spans="2:20" ht="13" x14ac:dyDescent="0.3">
      <c r="C60" s="201" t="s">
        <v>314</v>
      </c>
      <c r="D60" s="248"/>
      <c r="E60" s="248"/>
      <c r="F60" s="248"/>
      <c r="G60" s="248"/>
      <c r="H60" s="248"/>
      <c r="I60" s="248"/>
      <c r="J60" s="248"/>
      <c r="L60" s="487"/>
      <c r="M60" s="487"/>
      <c r="N60" s="487"/>
      <c r="O60" s="487"/>
      <c r="P60" s="249"/>
      <c r="Q60" s="249"/>
      <c r="R60" s="249"/>
    </row>
    <row r="61" spans="2:20" ht="10.4" customHeight="1" x14ac:dyDescent="0.25">
      <c r="C61" s="15"/>
      <c r="D61" s="135"/>
      <c r="E61" s="135"/>
      <c r="F61" s="135"/>
      <c r="G61" s="135"/>
      <c r="H61" s="135"/>
      <c r="I61" s="135"/>
      <c r="J61" s="135"/>
      <c r="L61" s="487"/>
      <c r="M61" s="487"/>
      <c r="N61" s="487"/>
      <c r="O61" s="487"/>
    </row>
    <row r="62" spans="2:20" ht="13" x14ac:dyDescent="0.3">
      <c r="C62" s="21" t="s">
        <v>315</v>
      </c>
      <c r="L62" s="487"/>
      <c r="M62" s="487"/>
      <c r="N62" s="487"/>
      <c r="O62" s="487"/>
    </row>
    <row r="63" spans="2:20" ht="12.65" customHeight="1" x14ac:dyDescent="0.25">
      <c r="C63" s="236" t="s">
        <v>316</v>
      </c>
      <c r="D63" s="194">
        <v>43100</v>
      </c>
      <c r="E63" s="194">
        <v>300000</v>
      </c>
      <c r="F63" s="194">
        <v>300000</v>
      </c>
      <c r="G63" s="194"/>
      <c r="H63" s="194"/>
      <c r="I63" s="194"/>
      <c r="J63" s="194"/>
      <c r="L63" s="487"/>
      <c r="M63" s="487"/>
      <c r="N63" s="487"/>
      <c r="O63" s="487"/>
    </row>
    <row r="64" spans="2:20" ht="7.4" customHeight="1" x14ac:dyDescent="0.25">
      <c r="C64" s="15"/>
      <c r="D64" s="194"/>
      <c r="E64" s="195"/>
      <c r="L64" s="487"/>
      <c r="M64" s="487"/>
      <c r="N64" s="487"/>
      <c r="O64" s="487"/>
    </row>
    <row r="65" spans="2:57" x14ac:dyDescent="0.25">
      <c r="B65" s="15"/>
      <c r="C65" s="231" t="s">
        <v>317</v>
      </c>
      <c r="D65" s="196">
        <v>20000</v>
      </c>
      <c r="E65" s="196">
        <v>2000000</v>
      </c>
      <c r="F65" s="196">
        <v>2000000</v>
      </c>
      <c r="G65" s="196"/>
      <c r="H65" s="196"/>
      <c r="I65" s="196"/>
      <c r="J65" s="196"/>
      <c r="L65" s="487"/>
      <c r="M65" s="487"/>
      <c r="N65" s="487"/>
      <c r="O65" s="487"/>
    </row>
    <row r="66" spans="2:57" ht="13" x14ac:dyDescent="0.3">
      <c r="B66" s="15"/>
      <c r="C66" s="3" t="s">
        <v>318</v>
      </c>
      <c r="D66" s="194">
        <v>5</v>
      </c>
      <c r="E66" s="194">
        <v>3</v>
      </c>
      <c r="F66" s="194">
        <v>3</v>
      </c>
      <c r="G66" s="194"/>
      <c r="H66" s="194"/>
      <c r="I66" s="194"/>
      <c r="J66" s="194"/>
    </row>
    <row r="67" spans="2:57" ht="25" x14ac:dyDescent="0.25">
      <c r="C67" s="229" t="s">
        <v>319</v>
      </c>
      <c r="D67" s="207">
        <v>0</v>
      </c>
      <c r="E67" s="207">
        <v>0</v>
      </c>
      <c r="F67" s="207">
        <v>0</v>
      </c>
      <c r="G67" s="207"/>
      <c r="H67" s="207"/>
      <c r="I67" s="207"/>
      <c r="J67" s="207"/>
    </row>
    <row r="68" spans="2:57" ht="13" x14ac:dyDescent="0.25">
      <c r="C68" s="229"/>
      <c r="D68" s="194"/>
      <c r="E68" s="194"/>
      <c r="F68" s="194"/>
      <c r="G68" s="194"/>
      <c r="H68" s="194"/>
      <c r="I68" s="194"/>
      <c r="J68" s="194"/>
      <c r="S68" s="289"/>
      <c r="T68" s="289"/>
    </row>
    <row r="69" spans="2:57" ht="25" x14ac:dyDescent="0.25">
      <c r="B69" s="15"/>
      <c r="C69" s="229" t="s">
        <v>320</v>
      </c>
      <c r="D69" s="381">
        <v>0</v>
      </c>
      <c r="S69" s="2"/>
      <c r="T69" s="289"/>
    </row>
    <row r="70" spans="2:57" x14ac:dyDescent="0.25">
      <c r="I70" s="181"/>
      <c r="J70" s="181"/>
      <c r="K70" s="181"/>
      <c r="L70" s="181"/>
      <c r="M70" s="181"/>
      <c r="N70" s="181"/>
      <c r="O70" s="181"/>
      <c r="S70" s="185"/>
      <c r="T70" s="185"/>
    </row>
    <row r="71" spans="2:57" ht="33" customHeight="1" x14ac:dyDescent="0.3">
      <c r="C71" s="21" t="s">
        <v>321</v>
      </c>
      <c r="D71" s="383">
        <v>0</v>
      </c>
      <c r="J71" s="181"/>
      <c r="K71" s="181"/>
      <c r="L71" s="487"/>
      <c r="M71" s="487"/>
      <c r="N71" s="487"/>
      <c r="O71" s="487"/>
      <c r="S71" s="185"/>
      <c r="T71" s="185"/>
    </row>
    <row r="72" spans="2:57" x14ac:dyDescent="0.25">
      <c r="C72" s="15"/>
      <c r="D72" s="181"/>
      <c r="E72" s="181"/>
      <c r="F72" s="181"/>
      <c r="G72" s="181"/>
      <c r="H72" s="181"/>
      <c r="I72" s="181"/>
      <c r="J72" s="181"/>
      <c r="N72" s="185"/>
      <c r="O72" s="185"/>
      <c r="P72" s="185"/>
      <c r="Q72" s="140"/>
      <c r="R72" s="140"/>
    </row>
    <row r="73" spans="2:57" ht="13" x14ac:dyDescent="0.3">
      <c r="C73" s="559" t="s">
        <v>322</v>
      </c>
      <c r="D73" s="559"/>
      <c r="E73" s="559"/>
      <c r="F73" s="559"/>
      <c r="G73" s="559"/>
      <c r="H73" s="559"/>
      <c r="I73" s="559"/>
      <c r="J73" s="559"/>
      <c r="K73" s="559"/>
      <c r="L73" s="559"/>
      <c r="M73" s="559"/>
      <c r="N73" s="559"/>
      <c r="O73" s="559"/>
      <c r="P73" s="559"/>
      <c r="Q73" s="559"/>
      <c r="R73" s="559"/>
    </row>
    <row r="74" spans="2:57" ht="15.65" customHeight="1" x14ac:dyDescent="0.25">
      <c r="C74" s="163"/>
      <c r="D74" s="163"/>
      <c r="E74" s="163"/>
      <c r="F74" s="163"/>
    </row>
    <row r="75" spans="2:57" ht="40.4" customHeight="1" x14ac:dyDescent="0.3">
      <c r="D75" s="179" t="s">
        <v>123</v>
      </c>
      <c r="F75" s="73" t="s">
        <v>42</v>
      </c>
      <c r="G75" s="133" t="s">
        <v>323</v>
      </c>
      <c r="H75" s="179"/>
    </row>
    <row r="76" spans="2:57" ht="13" x14ac:dyDescent="0.3">
      <c r="C76" t="str">
        <f>IF(Supuestos!B48="","",Supuestos!B48)</f>
        <v>Datos</v>
      </c>
      <c r="D76" s="392">
        <v>0</v>
      </c>
      <c r="F76" s="258" t="b">
        <f>G76=C76</f>
        <v>1</v>
      </c>
      <c r="G76" s="258" t="str">
        <f>IF(Supuestos!B48="","",Supuestos!B48)</f>
        <v>Datos</v>
      </c>
      <c r="I76" s="16" t="s">
        <v>324</v>
      </c>
    </row>
    <row r="77" spans="2:57" s="22" customFormat="1" ht="38.9" customHeight="1" x14ac:dyDescent="0.25">
      <c r="C77" t="str">
        <f>IF(Supuestos!B49="","",Supuestos!B49)</f>
        <v>Originación voz on-net local</v>
      </c>
      <c r="D77" s="392">
        <v>0</v>
      </c>
      <c r="F77" s="258" t="b">
        <f t="shared" ref="F77:F94" si="0">G77=C77</f>
        <v>1</v>
      </c>
      <c r="G77" s="258" t="str">
        <f>IF(Supuestos!B49="","",Supuestos!B49)</f>
        <v>Originación voz on-net local</v>
      </c>
      <c r="I77" s="253" t="s">
        <v>325</v>
      </c>
      <c r="AR77"/>
      <c r="AS77"/>
      <c r="AT77"/>
      <c r="AU77"/>
      <c r="AV77"/>
      <c r="AW77"/>
      <c r="AX77"/>
      <c r="AY77"/>
      <c r="AZ77"/>
      <c r="BA77"/>
      <c r="BB77"/>
      <c r="BC77"/>
      <c r="BD77"/>
      <c r="BE77"/>
    </row>
    <row r="78" spans="2:57" s="22" customFormat="1" ht="38.9" customHeight="1" x14ac:dyDescent="0.25">
      <c r="C78" t="str">
        <f>IF(Supuestos!B50="","",Supuestos!B50)</f>
        <v>Originación voz off-net móvil local</v>
      </c>
      <c r="D78" s="392">
        <v>4.2221000000000002E-2</v>
      </c>
      <c r="F78" s="258" t="b">
        <f t="shared" si="0"/>
        <v>1</v>
      </c>
      <c r="G78" s="258" t="str">
        <f>IF(Supuestos!B50="","",Supuestos!B50)</f>
        <v>Originación voz off-net móvil local</v>
      </c>
      <c r="AR78"/>
      <c r="AS78"/>
      <c r="AT78"/>
      <c r="AU78"/>
      <c r="AV78"/>
      <c r="AW78"/>
      <c r="AX78"/>
      <c r="AY78"/>
      <c r="AZ78"/>
      <c r="BA78"/>
      <c r="BB78"/>
      <c r="BC78"/>
      <c r="BD78"/>
      <c r="BE78"/>
    </row>
    <row r="79" spans="2:57" s="22" customFormat="1" ht="38.9" customHeight="1" x14ac:dyDescent="0.25">
      <c r="C79" t="str">
        <f>IF(Supuestos!B51="","",Supuestos!B51)</f>
        <v>Originación voz off-net fijo local</v>
      </c>
      <c r="D79" s="392">
        <v>3.3430000000000001E-3</v>
      </c>
      <c r="F79" s="258" t="b">
        <f t="shared" si="0"/>
        <v>1</v>
      </c>
      <c r="G79" s="258" t="str">
        <f>IF(Supuestos!B51="","",Supuestos!B51)</f>
        <v>Originación voz off-net fijo local</v>
      </c>
      <c r="J79" s="190"/>
      <c r="AR79"/>
      <c r="AS79"/>
      <c r="AT79"/>
      <c r="AU79"/>
      <c r="AV79"/>
      <c r="AW79"/>
      <c r="AX79"/>
      <c r="AY79"/>
      <c r="AZ79"/>
      <c r="BA79"/>
      <c r="BB79"/>
      <c r="BC79"/>
      <c r="BD79"/>
      <c r="BE79"/>
    </row>
    <row r="80" spans="2:57" s="22" customFormat="1" ht="38.9" customHeight="1" x14ac:dyDescent="0.25">
      <c r="C80" t="str">
        <f>IF(Supuestos!B52="","",Supuestos!B52)</f>
        <v>Originación voz on-net LDN</v>
      </c>
      <c r="D80" s="392">
        <v>0</v>
      </c>
      <c r="F80" s="258" t="b">
        <f t="shared" si="0"/>
        <v>1</v>
      </c>
      <c r="G80" s="258" t="str">
        <f>IF(Supuestos!B52="","",Supuestos!B52)</f>
        <v>Originación voz on-net LDN</v>
      </c>
      <c r="J80" s="190"/>
      <c r="AR80"/>
      <c r="AS80"/>
      <c r="AT80"/>
      <c r="AU80"/>
      <c r="AV80"/>
      <c r="AW80"/>
      <c r="AX80"/>
      <c r="AY80"/>
      <c r="AZ80"/>
      <c r="BA80"/>
      <c r="BB80"/>
      <c r="BC80"/>
      <c r="BD80"/>
      <c r="BE80"/>
    </row>
    <row r="81" spans="3:57" s="22" customFormat="1" ht="38.9" customHeight="1" x14ac:dyDescent="0.25">
      <c r="C81" t="str">
        <f>IF(Supuestos!B53="","",Supuestos!B53)</f>
        <v>Originación voz off-net móvil LDN</v>
      </c>
      <c r="D81" s="392">
        <v>4.2221000000000002E-2</v>
      </c>
      <c r="F81" s="258" t="b">
        <f t="shared" si="0"/>
        <v>1</v>
      </c>
      <c r="G81" s="258" t="str">
        <f>IF(Supuestos!B53="","",Supuestos!B53)</f>
        <v>Originación voz off-net móvil LDN</v>
      </c>
      <c r="J81" s="190"/>
      <c r="AR81"/>
      <c r="AS81"/>
      <c r="AT81"/>
      <c r="AU81"/>
      <c r="AV81"/>
      <c r="AW81"/>
      <c r="AX81"/>
      <c r="AY81"/>
      <c r="AZ81"/>
      <c r="BA81"/>
      <c r="BB81"/>
      <c r="BC81"/>
      <c r="BD81"/>
      <c r="BE81"/>
    </row>
    <row r="82" spans="3:57" s="22" customFormat="1" ht="38.9" customHeight="1" x14ac:dyDescent="0.25">
      <c r="C82" t="str">
        <f>IF(Supuestos!B54="","",Supuestos!B54)</f>
        <v>Originación voz off-net fijo LDN</v>
      </c>
      <c r="D82" s="392">
        <v>3.3430000000000001E-3</v>
      </c>
      <c r="F82" s="258" t="b">
        <f t="shared" si="0"/>
        <v>1</v>
      </c>
      <c r="G82" s="258" t="str">
        <f>IF(Supuestos!B54="","",Supuestos!B54)</f>
        <v>Originación voz off-net fijo LDN</v>
      </c>
      <c r="J82" s="190"/>
      <c r="AR82"/>
      <c r="AS82"/>
      <c r="AT82"/>
      <c r="AU82"/>
      <c r="AV82"/>
      <c r="AW82"/>
      <c r="AX82"/>
      <c r="AY82"/>
      <c r="AZ82"/>
      <c r="BA82"/>
      <c r="BB82"/>
      <c r="BC82"/>
      <c r="BD82"/>
      <c r="BE82"/>
    </row>
    <row r="83" spans="3:57" s="22" customFormat="1" ht="38.9" customHeight="1" x14ac:dyDescent="0.25">
      <c r="C83" t="str">
        <f>IF(Supuestos!B55="","",Supuestos!B55)</f>
        <v>Originación voz internacional USA-Canadá</v>
      </c>
      <c r="D83" s="392">
        <v>0.05</v>
      </c>
      <c r="F83" s="258" t="b">
        <f t="shared" si="0"/>
        <v>1</v>
      </c>
      <c r="G83" s="258" t="str">
        <f>IF(Supuestos!B55="","",Supuestos!B55)</f>
        <v>Originación voz internacional USA-Canadá</v>
      </c>
      <c r="J83" s="190"/>
      <c r="AR83"/>
      <c r="AS83"/>
      <c r="AT83"/>
      <c r="AU83"/>
      <c r="AV83"/>
      <c r="AW83"/>
      <c r="AX83"/>
      <c r="AY83"/>
      <c r="AZ83"/>
      <c r="BA83"/>
      <c r="BB83"/>
      <c r="BC83"/>
      <c r="BD83"/>
      <c r="BE83"/>
    </row>
    <row r="84" spans="3:57" s="22" customFormat="1" ht="38.9" customHeight="1" x14ac:dyDescent="0.25">
      <c r="C84" t="str">
        <f>IF(Supuestos!B56="","",Supuestos!B56)</f>
        <v>Originación voz internacional Mundial Centroamérica</v>
      </c>
      <c r="D84" s="392">
        <v>2.5</v>
      </c>
      <c r="F84" s="258" t="b">
        <f t="shared" si="0"/>
        <v>1</v>
      </c>
      <c r="G84" s="258" t="str">
        <f>IF(Supuestos!B56="","",Supuestos!B56)</f>
        <v>Originación voz internacional Mundial Centroamérica</v>
      </c>
      <c r="J84" s="190"/>
      <c r="AR84"/>
      <c r="AS84"/>
      <c r="AT84"/>
      <c r="AU84"/>
      <c r="AV84"/>
      <c r="AW84"/>
      <c r="AX84"/>
      <c r="AY84"/>
      <c r="AZ84"/>
      <c r="BA84"/>
      <c r="BB84"/>
      <c r="BC84"/>
      <c r="BD84"/>
      <c r="BE84"/>
    </row>
    <row r="85" spans="3:57" s="22" customFormat="1" ht="38.9" customHeight="1" x14ac:dyDescent="0.25">
      <c r="C85" t="str">
        <f>IF(Supuestos!B57="","",Supuestos!B57)</f>
        <v>Originación voz internacional Mundial LATAM y Caribe</v>
      </c>
      <c r="D85" s="392">
        <v>5</v>
      </c>
      <c r="F85" s="258" t="b">
        <f t="shared" si="0"/>
        <v>1</v>
      </c>
      <c r="G85" s="258" t="str">
        <f>IF(Supuestos!B57="","",Supuestos!B57)</f>
        <v>Originación voz internacional Mundial LATAM y Caribe</v>
      </c>
      <c r="J85" s="190"/>
    </row>
    <row r="86" spans="3:57" s="22" customFormat="1" ht="38.9" customHeight="1" x14ac:dyDescent="0.25">
      <c r="C86" t="str">
        <f>IF(Supuestos!B58="","",Supuestos!B58)</f>
        <v>Originación voz internacional Europa</v>
      </c>
      <c r="D86" s="392">
        <v>5</v>
      </c>
      <c r="F86" s="258" t="b">
        <f t="shared" si="0"/>
        <v>1</v>
      </c>
      <c r="G86" s="258" t="str">
        <f>IF(Supuestos!B58="","",Supuestos!B58)</f>
        <v>Originación voz internacional Europa</v>
      </c>
      <c r="J86" s="190"/>
    </row>
    <row r="87" spans="3:57" s="22" customFormat="1" ht="38.9" customHeight="1" x14ac:dyDescent="0.25">
      <c r="C87" t="str">
        <f>IF(Supuestos!B59="","",Supuestos!B59)</f>
        <v>Originación voz internacional Mundial Otros geográficos</v>
      </c>
      <c r="D87" s="392">
        <v>5</v>
      </c>
      <c r="F87" s="258" t="b">
        <f t="shared" si="0"/>
        <v>1</v>
      </c>
      <c r="G87" s="258" t="str">
        <f>IF(Supuestos!B59="","",Supuestos!B59)</f>
        <v>Originación voz internacional Mundial Otros geográficos</v>
      </c>
      <c r="J87" s="190"/>
    </row>
    <row r="88" spans="3:57" s="22" customFormat="1" ht="38.9" customHeight="1" x14ac:dyDescent="0.25">
      <c r="C88" t="str">
        <f>IF(Supuestos!B60="","",Supuestos!B60)</f>
        <v>Originación voz internacional Cuba</v>
      </c>
      <c r="D88" s="392">
        <v>15</v>
      </c>
      <c r="F88" s="258" t="b">
        <f t="shared" si="0"/>
        <v>1</v>
      </c>
      <c r="G88" s="258" t="str">
        <f>IF(Supuestos!B60="","",Supuestos!B60)</f>
        <v>Originación voz internacional Cuba</v>
      </c>
      <c r="J88" s="190"/>
    </row>
    <row r="89" spans="3:57" s="22" customFormat="1" ht="38.9" customHeight="1" x14ac:dyDescent="0.25">
      <c r="C89" t="str">
        <f>IF(Supuestos!B61="","",Supuestos!B61)</f>
        <v>Originación voz Mundial destinos no geográficos</v>
      </c>
      <c r="D89" s="392">
        <v>75</v>
      </c>
      <c r="F89" s="258" t="b">
        <f t="shared" si="0"/>
        <v>1</v>
      </c>
      <c r="G89" s="258" t="str">
        <f>IF(Supuestos!B61="","",Supuestos!B61)</f>
        <v>Originación voz Mundial destinos no geográficos</v>
      </c>
      <c r="J89" s="190"/>
    </row>
    <row r="90" spans="3:57" s="22" customFormat="1" ht="38.9" customHeight="1" x14ac:dyDescent="0.25">
      <c r="C90" t="str">
        <f>IF(Supuestos!B62="","",Supuestos!B66)</f>
        <v>Otros servicios (incluyendo marcaciones especiales)</v>
      </c>
      <c r="D90" s="392">
        <v>0</v>
      </c>
      <c r="F90" s="258" t="b">
        <f t="shared" si="0"/>
        <v>1</v>
      </c>
      <c r="G90" s="258" t="str">
        <f>IF(Supuestos!B66="","",Supuestos!B66)</f>
        <v>Otros servicios (incluyendo marcaciones especiales)</v>
      </c>
      <c r="I90" s="549" t="s">
        <v>326</v>
      </c>
      <c r="J90" s="550"/>
      <c r="K90" s="550"/>
      <c r="L90" s="550"/>
      <c r="M90" s="550"/>
      <c r="N90" s="550"/>
      <c r="O90" s="551"/>
    </row>
    <row r="91" spans="3:57" s="22" customFormat="1" ht="38.9" customHeight="1" x14ac:dyDescent="0.25">
      <c r="C91" t="str">
        <f>IF(Supuestos!B63="","",Supuestos!B62)</f>
        <v>Originación SMS on-net</v>
      </c>
      <c r="D91" s="392">
        <v>0</v>
      </c>
      <c r="F91" s="258" t="b">
        <f t="shared" si="0"/>
        <v>1</v>
      </c>
      <c r="G91" s="258" t="str">
        <f>IF(Supuestos!B62="","",Supuestos!B62)</f>
        <v>Originación SMS on-net</v>
      </c>
      <c r="J91" s="190"/>
    </row>
    <row r="92" spans="3:57" s="22" customFormat="1" ht="38.9" customHeight="1" x14ac:dyDescent="0.25">
      <c r="C92" t="str">
        <f>IF(Supuestos!B64="","",Supuestos!B63)</f>
        <v>Originación SMS - off-net nacional</v>
      </c>
      <c r="D92" s="392">
        <v>9.2720000000000007E-3</v>
      </c>
      <c r="F92" s="258" t="b">
        <f t="shared" si="0"/>
        <v>1</v>
      </c>
      <c r="G92" s="258" t="str">
        <f>IF(Supuestos!B63="","",Supuestos!B63)</f>
        <v>Originación SMS - off-net nacional</v>
      </c>
      <c r="J92" s="190"/>
    </row>
    <row r="93" spans="3:57" s="22" customFormat="1" ht="38.9" customHeight="1" x14ac:dyDescent="0.25">
      <c r="C93" t="str">
        <f>IF(Supuestos!B65="","",Supuestos!B64)</f>
        <v>Originación SMS internacional (USA-Canadá)</v>
      </c>
      <c r="D93" s="392">
        <v>0.5</v>
      </c>
      <c r="F93" s="258" t="b">
        <f t="shared" si="0"/>
        <v>1</v>
      </c>
      <c r="G93" s="258" t="str">
        <f>IF(Supuestos!B64="","",Supuestos!B64)</f>
        <v>Originación SMS internacional (USA-Canadá)</v>
      </c>
      <c r="J93" s="190"/>
    </row>
    <row r="94" spans="3:57" s="22" customFormat="1" ht="38.9" customHeight="1" x14ac:dyDescent="0.25">
      <c r="C94" t="str">
        <f>IF(Supuestos!B66="","",Supuestos!B65)</f>
        <v>Originación SMS internacional (Resto del Mundo)</v>
      </c>
      <c r="D94" s="392">
        <v>0.75</v>
      </c>
      <c r="F94" s="258" t="b">
        <f t="shared" si="0"/>
        <v>1</v>
      </c>
      <c r="G94" s="258" t="str">
        <f>IF(Supuestos!B65="","",Supuestos!B65)</f>
        <v>Originación SMS internacional (Resto del Mundo)</v>
      </c>
      <c r="J94" s="191"/>
    </row>
    <row r="95" spans="3:57" ht="13" x14ac:dyDescent="0.25">
      <c r="C95" s="192"/>
      <c r="H95" s="190"/>
    </row>
    <row r="97" spans="2:18" s="124" customFormat="1" ht="15.65" customHeight="1" x14ac:dyDescent="0.25">
      <c r="B97" s="124" t="s">
        <v>121</v>
      </c>
      <c r="C97" s="558" t="s">
        <v>327</v>
      </c>
      <c r="D97" s="558"/>
      <c r="E97" s="558"/>
      <c r="F97" s="558"/>
      <c r="G97" s="558"/>
      <c r="H97" s="558"/>
      <c r="I97" s="558"/>
      <c r="J97" s="558"/>
      <c r="K97" s="558"/>
      <c r="L97" s="558"/>
      <c r="M97" s="558"/>
      <c r="N97" s="558"/>
      <c r="O97" s="558"/>
      <c r="P97" s="558"/>
      <c r="Q97" s="558"/>
      <c r="R97" s="558"/>
    </row>
    <row r="99" spans="2:18" ht="13" x14ac:dyDescent="0.25">
      <c r="C99" s="40" t="s">
        <v>84</v>
      </c>
      <c r="D99" s="134" t="s">
        <v>23</v>
      </c>
      <c r="E99" s="134"/>
    </row>
    <row r="100" spans="2:18" ht="51" customHeight="1" x14ac:dyDescent="0.3">
      <c r="C100" s="22" t="s">
        <v>328</v>
      </c>
      <c r="D100" s="79">
        <v>2.0920000000000001E-3</v>
      </c>
      <c r="F100" s="420" t="s">
        <v>329</v>
      </c>
      <c r="I100" s="552" t="s">
        <v>330</v>
      </c>
      <c r="J100" s="553"/>
      <c r="K100" s="553"/>
      <c r="L100" s="553"/>
      <c r="M100" s="553"/>
      <c r="N100" s="553"/>
      <c r="O100" s="554"/>
    </row>
    <row r="101" spans="2:18" ht="65.150000000000006" customHeight="1" x14ac:dyDescent="0.3">
      <c r="C101" s="15" t="s">
        <v>331</v>
      </c>
      <c r="D101" s="79">
        <v>5000000</v>
      </c>
      <c r="E101" s="419" t="s">
        <v>332</v>
      </c>
      <c r="I101" s="555" t="s">
        <v>333</v>
      </c>
      <c r="J101" s="556"/>
      <c r="K101" s="556"/>
      <c r="L101" s="556"/>
      <c r="M101" s="556"/>
      <c r="N101" s="556"/>
      <c r="O101" s="557"/>
    </row>
    <row r="103" spans="2:18" ht="84" customHeight="1" x14ac:dyDescent="0.25"/>
  </sheetData>
  <mergeCells count="15">
    <mergeCell ref="C7:F7"/>
    <mergeCell ref="C6:F6"/>
    <mergeCell ref="C18:R18"/>
    <mergeCell ref="L21:O24"/>
    <mergeCell ref="L26:O26"/>
    <mergeCell ref="F14:I14"/>
    <mergeCell ref="L29:O65"/>
    <mergeCell ref="I90:O90"/>
    <mergeCell ref="I100:O100"/>
    <mergeCell ref="I101:O101"/>
    <mergeCell ref="C97:R97"/>
    <mergeCell ref="C73:R73"/>
    <mergeCell ref="Q38:Q39"/>
    <mergeCell ref="Q42:Q43"/>
    <mergeCell ref="L71:O71"/>
  </mergeCells>
  <conditionalFormatting sqref="F76:F94">
    <cfRule type="cellIs" dxfId="4" priority="3" operator="equal">
      <formula>TRUE</formula>
    </cfRule>
  </conditionalFormatting>
  <dataValidations count="3">
    <dataValidation showInputMessage="1" showErrorMessage="1" sqref="D31" xr:uid="{00000000-0002-0000-0C00-000000000000}"/>
    <dataValidation type="custom" allowBlank="1" showInputMessage="1" showErrorMessage="1" sqref="D32 E31:J32" xr:uid="{00000000-0002-0000-0C00-000001000000}">
      <formula1>#REF!="Facturación"&amp;" total"</formula1>
    </dataValidation>
    <dataValidation type="list" allowBlank="1" showInputMessage="1" showErrorMessage="1" sqref="D15" xr:uid="{503D8F65-AE73-4301-A5BA-CA860112AC40}">
      <formula1>$F$15:$H$15</formula1>
    </dataValidation>
  </dataValidations>
  <hyperlinks>
    <hyperlink ref="C3" location="'Resultados &gt;&gt;'!A1" display="Ir a Resultados &gt;&gt;" xr:uid="{00000000-0004-0000-0C00-000000000000}"/>
    <hyperlink ref="I77" r:id="rId1" location="gsc.tab=0" xr:uid="{9795A2BB-A5B1-4A65-93DC-448E9639BE1D}"/>
  </hyperlinks>
  <pageMargins left="0.7" right="0.7" top="0.75" bottom="0.75" header="0.3" footer="0.3"/>
  <pageSetup paperSize="9" orientation="portrait" r:id="rId2"/>
  <extLst>
    <ext xmlns:x14="http://schemas.microsoft.com/office/spreadsheetml/2009/9/main" uri="{78C0D931-6437-407d-A8EE-F0AAD7539E65}">
      <x14:conditionalFormattings>
        <x14:conditionalFormatting xmlns:xm="http://schemas.microsoft.com/office/excel/2006/main">
          <x14:cfRule type="expression" priority="134" id="{63A77D6C-7BA4-4AF4-9CC4-021A1355138F}">
            <xm:f>$D$14='Hoja Auxiliar'!$B$34</xm:f>
            <x14:dxf>
              <font>
                <color rgb="FF0000FF"/>
              </font>
              <fill>
                <patternFill>
                  <bgColor theme="5" tint="0.79998168889431442"/>
                </patternFill>
              </fill>
            </x14:dxf>
          </x14:cfRule>
          <xm:sqref>D65 D71</xm:sqref>
        </x14:conditionalFormatting>
        <x14:conditionalFormatting xmlns:xm="http://schemas.microsoft.com/office/excel/2006/main">
          <x14:cfRule type="expression" priority="142" id="{0D299F70-0211-4AA9-AE32-F4787D41C20D}">
            <xm:f>$D$14='Hoja Auxiliar'!$B$35</xm:f>
            <x14:dxf>
              <font>
                <color theme="0"/>
              </font>
              <fill>
                <patternFill>
                  <bgColor theme="6"/>
                </patternFill>
              </fill>
            </x14:dxf>
          </x14:cfRule>
          <xm:sqref>D18:J18 D29:J29 Q38 Q42</xm:sqref>
        </x14:conditionalFormatting>
        <x14:conditionalFormatting xmlns:xm="http://schemas.microsoft.com/office/excel/2006/main">
          <x14:cfRule type="expression" priority="127" id="{3A41E047-2F1D-4133-AF4E-3FC70C2CB8A9}">
            <xm:f>$D$14='Hoja Auxiliar'!$B$32</xm:f>
            <x14:dxf>
              <font>
                <color rgb="FF0000FF"/>
              </font>
              <fill>
                <patternFill>
                  <bgColor theme="5" tint="0.79998168889431442"/>
                </patternFill>
              </fill>
            </x14:dxf>
          </x14:cfRule>
          <xm:sqref>D31:J32</xm:sqref>
        </x14:conditionalFormatting>
        <x14:conditionalFormatting xmlns:xm="http://schemas.microsoft.com/office/excel/2006/main">
          <x14:cfRule type="expression" priority="130" id="{A83839B6-33A7-4B4D-AB6A-DB9E1312AC41}">
            <xm:f>$D$14='Hoja Auxiliar'!$B$33</xm:f>
            <x14:dxf>
              <font>
                <color rgb="FF0000FF"/>
              </font>
              <fill>
                <patternFill>
                  <bgColor theme="5" tint="0.79998168889431442"/>
                </patternFill>
              </fill>
            </x14:dxf>
          </x14:cfRule>
          <xm:sqref>D34:J35 D51:J51 D54:J56 D63:J63</xm:sqref>
        </x14:conditionalFormatting>
        <x14:conditionalFormatting xmlns:xm="http://schemas.microsoft.com/office/excel/2006/main">
          <x14:cfRule type="expression" priority="1" id="{E220A7F1-BA3A-4695-9357-5AA73D4A0914}">
            <xm:f>$D$14='Hoja Auxiliar'!$B$33</xm:f>
            <x14:dxf>
              <font>
                <color rgb="FF0000FF"/>
              </font>
              <fill>
                <patternFill>
                  <bgColor theme="5" tint="0.79998168889431442"/>
                </patternFill>
              </fill>
            </x14:dxf>
          </x14:cfRule>
          <xm:sqref>D38:J39</xm:sqref>
        </x14:conditionalFormatting>
        <x14:conditionalFormatting xmlns:xm="http://schemas.microsoft.com/office/excel/2006/main">
          <x14:cfRule type="expression" priority="136" id="{132AC0F4-40B5-4F6F-ACED-FE9F5D40DCBD}">
            <xm:f>$D$14='Hoja Auxiliar'!$B$35</xm:f>
            <x14:dxf>
              <font>
                <color rgb="FF0000FF"/>
              </font>
              <fill>
                <patternFill>
                  <bgColor theme="5" tint="0.79998168889431442"/>
                </patternFill>
              </fill>
            </x14:dxf>
          </x14:cfRule>
          <xm:sqref>D42:J43 D63:J63 D69</xm:sqref>
        </x14:conditionalFormatting>
        <x14:conditionalFormatting xmlns:xm="http://schemas.microsoft.com/office/excel/2006/main">
          <x14:cfRule type="expression" priority="128" id="{3FCEBA95-593C-4363-BD30-8BED139BFB6C}">
            <xm:f>$D$14='Hoja Auxiliar'!$B$35</xm:f>
            <x14:dxf>
              <font>
                <color rgb="FF0000FF"/>
              </font>
              <fill>
                <patternFill>
                  <bgColor theme="5" tint="0.79998168889431442"/>
                </patternFill>
              </fill>
            </x14:dxf>
          </x14:cfRule>
          <x14:cfRule type="expression" priority="129" id="{4CEFACD4-DE37-4EB5-97E7-0E6648FB42E8}">
            <xm:f>$D$14='Hoja Auxiliar'!$B$32</xm:f>
            <x14:dxf>
              <font>
                <color rgb="FF0000FF"/>
              </font>
              <fill>
                <patternFill>
                  <bgColor theme="5" tint="0.79998168889431442"/>
                </patternFill>
              </fill>
            </x14:dxf>
          </x14:cfRule>
          <xm:sqref>D47:J49</xm:sqref>
        </x14:conditionalFormatting>
        <x14:conditionalFormatting xmlns:xm="http://schemas.microsoft.com/office/excel/2006/main">
          <x14:cfRule type="expression" priority="148" id="{B646FCD0-3010-4829-BFE7-2177C97EB8E6}">
            <xm:f>$D$14='Hoja Auxiliar'!B$34</xm:f>
            <x14:dxf>
              <fill>
                <patternFill>
                  <bgColor theme="5" tint="0.79998168889431442"/>
                </patternFill>
              </fill>
            </x14:dxf>
          </x14:cfRule>
          <xm:sqref>D54:J56 D66</xm:sqref>
        </x14:conditionalFormatting>
        <x14:conditionalFormatting xmlns:xm="http://schemas.microsoft.com/office/excel/2006/main">
          <x14:cfRule type="expression" priority="140" id="{7E2B9426-A665-4861-BB14-D9870232ADA6}">
            <xm:f>$D$14='Hoja Auxiliar'!$B$33</xm:f>
            <x14:dxf>
              <font>
                <color rgb="FF0000FF"/>
              </font>
              <fill>
                <patternFill>
                  <bgColor theme="5" tint="0.79998168889431442"/>
                </patternFill>
              </fill>
            </x14:dxf>
          </x14:cfRule>
          <x14:cfRule type="expression" priority="141" id="{BDFFBBCF-22C0-409B-AAD5-DA72FAD3A118}">
            <xm:f>$D$14='Hoja Auxiliar'!$B$35</xm:f>
            <x14:dxf>
              <font>
                <color rgb="FF0000FF"/>
              </font>
              <fill>
                <patternFill>
                  <bgColor theme="5" tint="0.79998168889431442"/>
                </patternFill>
              </fill>
            </x14:dxf>
          </x14:cfRule>
          <xm:sqref>D65:J66</xm:sqref>
        </x14:conditionalFormatting>
      </x14:conditionalFormattings>
    </ext>
    <ext xmlns:x14="http://schemas.microsoft.com/office/spreadsheetml/2009/9/main" uri="{CCE6A557-97BC-4b89-ADB6-D9C93CAAB3DF}">
      <x14:dataValidations xmlns:xm="http://schemas.microsoft.com/office/excel/2006/main" count="1">
        <x14:dataValidation type="list" allowBlank="1" showInputMessage="1" showErrorMessage="1" xr:uid="{00000000-0002-0000-0C00-000003000000}">
          <x14:formula1>
            <xm:f>'Hoja Auxiliar'!$B$32:$B$35</xm:f>
          </x14:formula1>
          <xm:sqref>D14</xm:sqref>
        </x14:dataValidation>
      </x14:dataValidations>
    </ext>
  </extLst>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Hoja3">
    <tabColor theme="9" tint="0.79998168889431442"/>
  </sheetPr>
  <dimension ref="A1:AS118"/>
  <sheetViews>
    <sheetView showGridLines="0" zoomScale="60" zoomScaleNormal="60" workbookViewId="0">
      <selection activeCell="F11" sqref="F11"/>
    </sheetView>
  </sheetViews>
  <sheetFormatPr baseColWidth="10" defaultColWidth="8.81640625" defaultRowHeight="12.5" x14ac:dyDescent="0.25"/>
  <cols>
    <col min="2" max="2" width="28.81640625" customWidth="1"/>
    <col min="3" max="3" width="13.1796875" customWidth="1"/>
    <col min="5" max="5" width="27.1796875" customWidth="1"/>
    <col min="6" max="11" width="16.1796875" customWidth="1"/>
    <col min="12" max="12" width="12.81640625" customWidth="1"/>
    <col min="13" max="13" width="13" customWidth="1"/>
    <col min="14" max="14" width="19" customWidth="1"/>
    <col min="15" max="15" width="19.1796875" customWidth="1"/>
    <col min="16" max="19" width="16.1796875" customWidth="1"/>
    <col min="20" max="22" width="15.453125" customWidth="1"/>
    <col min="24" max="24" width="16.453125" customWidth="1"/>
    <col min="25" max="25" width="13.81640625" customWidth="1"/>
    <col min="26" max="26" width="15.1796875" customWidth="1"/>
    <col min="27" max="27" width="14.81640625" customWidth="1"/>
    <col min="28" max="28" width="12.81640625" customWidth="1"/>
    <col min="29" max="29" width="16.1796875" customWidth="1"/>
    <col min="30" max="30" width="13" customWidth="1"/>
    <col min="31" max="31" width="12" customWidth="1"/>
    <col min="32" max="35" width="12.81640625" bestFit="1" customWidth="1"/>
    <col min="36" max="36" width="11.81640625" bestFit="1" customWidth="1"/>
    <col min="37" max="37" width="12.81640625" bestFit="1" customWidth="1"/>
    <col min="40" max="40" width="12.81640625" customWidth="1"/>
    <col min="41" max="41" width="12.1796875" customWidth="1"/>
    <col min="42" max="42" width="12.81640625" customWidth="1"/>
    <col min="43" max="43" width="11.54296875" customWidth="1"/>
    <col min="44" max="44" width="10.1796875" customWidth="1"/>
    <col min="45" max="45" width="12.453125" customWidth="1"/>
  </cols>
  <sheetData>
    <row r="1" spans="2:45" s="1" customFormat="1" ht="20" x14ac:dyDescent="0.4">
      <c r="B1" s="1" t="s">
        <v>334</v>
      </c>
    </row>
    <row r="3" spans="2:45" ht="20.149999999999999" customHeight="1" x14ac:dyDescent="0.3">
      <c r="B3" s="14" t="s">
        <v>90</v>
      </c>
      <c r="C3" s="343"/>
      <c r="H3" s="342"/>
      <c r="I3" s="342"/>
      <c r="J3" s="342"/>
      <c r="K3" s="342"/>
      <c r="L3" s="342"/>
    </row>
    <row r="4" spans="2:45" ht="20.149999999999999" customHeight="1" x14ac:dyDescent="0.25"/>
    <row r="5" spans="2:45" s="170" customFormat="1" ht="12" customHeight="1" x14ac:dyDescent="0.25">
      <c r="B5" s="330" t="str">
        <f>'Hoja Auxiliar'!$B$32</f>
        <v xml:space="preserve">Facturación total </v>
      </c>
      <c r="F5" s="167"/>
      <c r="G5" s="168"/>
      <c r="H5" s="169"/>
      <c r="I5" s="169"/>
      <c r="J5" s="169"/>
    </row>
    <row r="6" spans="2:45" ht="13" thickBot="1" x14ac:dyDescent="0.3"/>
    <row r="7" spans="2:45" ht="13" x14ac:dyDescent="0.3">
      <c r="B7" s="344" t="s">
        <v>335</v>
      </c>
      <c r="C7" s="345"/>
      <c r="E7" s="300" t="s">
        <v>336</v>
      </c>
      <c r="F7" s="299"/>
      <c r="G7" s="299"/>
      <c r="H7" s="299"/>
      <c r="I7" s="299"/>
      <c r="J7" s="299"/>
      <c r="K7" s="299"/>
      <c r="M7" s="300" t="s">
        <v>337</v>
      </c>
      <c r="N7" s="299"/>
      <c r="O7" s="299"/>
      <c r="P7" s="299"/>
      <c r="Q7" s="299"/>
      <c r="R7" s="299"/>
      <c r="S7" s="299"/>
      <c r="T7" s="299"/>
      <c r="U7" s="299"/>
      <c r="V7" s="299"/>
      <c r="W7" s="299"/>
      <c r="X7" s="299"/>
      <c r="Y7" s="299"/>
      <c r="Z7" s="299"/>
      <c r="AA7" s="299"/>
      <c r="AB7" s="299"/>
      <c r="AC7" s="299"/>
      <c r="AD7" s="299"/>
      <c r="AE7" s="299"/>
      <c r="AF7" s="299"/>
      <c r="AG7" s="299"/>
      <c r="AH7" s="299"/>
      <c r="AI7" s="299"/>
      <c r="AJ7" s="299"/>
      <c r="AK7" s="299"/>
      <c r="AL7" s="299"/>
      <c r="AM7" s="299"/>
      <c r="AN7" s="299"/>
      <c r="AO7" s="299"/>
      <c r="AP7" s="299"/>
      <c r="AQ7" s="299"/>
      <c r="AR7" s="299"/>
      <c r="AS7" s="299"/>
    </row>
    <row r="8" spans="2:45" ht="12" customHeight="1" x14ac:dyDescent="0.25">
      <c r="B8" s="346"/>
      <c r="C8" s="347"/>
    </row>
    <row r="9" spans="2:45" ht="12" customHeight="1" x14ac:dyDescent="0.3">
      <c r="B9" s="348" t="s">
        <v>233</v>
      </c>
      <c r="C9" s="355"/>
      <c r="E9" s="300" t="s">
        <v>233</v>
      </c>
      <c r="M9" s="300" t="s">
        <v>233</v>
      </c>
      <c r="X9" s="16"/>
      <c r="Y9" s="16"/>
    </row>
    <row r="10" spans="2:45" ht="12" customHeight="1" x14ac:dyDescent="0.3">
      <c r="B10" s="349" t="s">
        <v>259</v>
      </c>
      <c r="C10" s="356"/>
      <c r="E10" s="237" t="s">
        <v>259</v>
      </c>
      <c r="F10" s="16" t="s">
        <v>252</v>
      </c>
      <c r="G10" s="16" t="s">
        <v>253</v>
      </c>
      <c r="H10" s="16" t="s">
        <v>254</v>
      </c>
      <c r="I10" s="16" t="s">
        <v>255</v>
      </c>
      <c r="J10" s="16" t="s">
        <v>256</v>
      </c>
      <c r="K10" s="16" t="s">
        <v>257</v>
      </c>
      <c r="M10" s="237" t="s">
        <v>293</v>
      </c>
      <c r="N10" s="16" t="s">
        <v>252</v>
      </c>
      <c r="O10" s="16" t="s">
        <v>253</v>
      </c>
      <c r="P10" s="16" t="s">
        <v>254</v>
      </c>
      <c r="Q10" s="16" t="s">
        <v>255</v>
      </c>
      <c r="R10" s="16" t="s">
        <v>256</v>
      </c>
      <c r="S10" s="16" t="s">
        <v>257</v>
      </c>
      <c r="T10" s="16"/>
      <c r="U10" s="16"/>
      <c r="V10" s="16"/>
      <c r="X10" s="237"/>
      <c r="Y10" s="16"/>
      <c r="Z10" s="16"/>
      <c r="AA10" s="16"/>
      <c r="AB10" s="16"/>
      <c r="AC10" s="16"/>
      <c r="AD10" s="16"/>
    </row>
    <row r="11" spans="2:45" ht="12" customHeight="1" x14ac:dyDescent="0.25">
      <c r="B11" s="350" t="s">
        <v>239</v>
      </c>
      <c r="C11" s="389">
        <f>IF('Precio Mayorista'!$D$15=6,SUMPRODUCT(F11:K11,N11:S11)/SUM(N11:S11),IF('Precio Mayorista'!$D$15=5,SUMPRODUCT(F11:J11,N11:R11)/SUM(N11:R11),IF('Precio Mayorista'!$D$15=4,SUMPRODUCT(F11:I11,N11:Q11)/SUM(N11:Q11))))</f>
        <v>0.03</v>
      </c>
      <c r="E11" s="202" t="s">
        <v>239</v>
      </c>
      <c r="F11" s="335">
        <f>INDEX('Precio Mayorista'!$D$47:$J$49,MATCH($E11,'Precio Mayorista'!$C$47:$C$49,0),MATCH('Precio Mayorista'!E$24,'Precio Mayorista'!$D$29:$J$29,0))</f>
        <v>0.03</v>
      </c>
      <c r="G11" s="335">
        <f>INDEX('Precio Mayorista'!$D$47:$J$49,MATCH($E11,'Precio Mayorista'!$C$47:$C$49,0),MATCH('Precio Mayorista'!F$24,'Precio Mayorista'!$D$29:$J$29,0))</f>
        <v>0.03</v>
      </c>
      <c r="H11" s="335">
        <f>INDEX('Precio Mayorista'!$D$47:$J$49,MATCH($E11,'Precio Mayorista'!$C$47:$C$49,0),MATCH('Precio Mayorista'!G$24,'Precio Mayorista'!$D$29:$J$29,0))</f>
        <v>0.03</v>
      </c>
      <c r="I11" s="335">
        <f>INDEX('Precio Mayorista'!$D$47:$J$49,MATCH($E11,'Precio Mayorista'!$C$47:$C$49,0),MATCH('Precio Mayorista'!H$24,'Precio Mayorista'!$D$29:$J$29,0))</f>
        <v>0.03</v>
      </c>
      <c r="J11" s="335">
        <f>INDEX('Precio Mayorista'!$D$47:$J$49,MATCH($E11,'Precio Mayorista'!$C$47:$C$49,0),MATCH('Precio Mayorista'!I$24,'Precio Mayorista'!$D$29:$J$29,0))</f>
        <v>0.03</v>
      </c>
      <c r="K11" s="335" t="e">
        <f>INDEX('Precio Mayorista'!$D$47:$J$49,MATCH($E11,'Precio Mayorista'!$C$47:$C$49,0),MATCH('Precio Mayorista'!J$24,'Precio Mayorista'!$D$29:$J$29,0))</f>
        <v>#N/A</v>
      </c>
      <c r="M11" s="202" t="s">
        <v>239</v>
      </c>
      <c r="N11" s="316">
        <f>INDEX('Informacion del AEP'!$F$120:$K$128,MATCH('Precios mayoristas efectivos'!$M11,'Informacion del AEP'!$B$120:$B$128,0),MATCH('Precios mayoristas efectivos'!N$10,'Informacion del AEP'!$F$118:$K$118,0))/3</f>
        <v>30000000</v>
      </c>
      <c r="O11" s="316">
        <f>INDEX('Informacion del AEP'!$F$120:$K$128,MATCH('Precios mayoristas efectivos'!$M11,'Informacion del AEP'!$B$120:$B$128,0),MATCH('Precios mayoristas efectivos'!O$10,'Informacion del AEP'!$F$118:$K$118,0))/3</f>
        <v>26666666.666666668</v>
      </c>
      <c r="P11" s="316">
        <f>INDEX('Informacion del AEP'!$F$120:$K$128,MATCH('Precios mayoristas efectivos'!$M11,'Informacion del AEP'!$B$120:$B$128,0),MATCH('Precios mayoristas efectivos'!P$10,'Informacion del AEP'!$F$118:$K$118,0))/3</f>
        <v>23333333.333333332</v>
      </c>
      <c r="Q11" s="316">
        <f>INDEX('Informacion del AEP'!$F$120:$K$128,MATCH('Precios mayoristas efectivos'!$M11,'Informacion del AEP'!$B$120:$B$128,0),MATCH('Precios mayoristas efectivos'!Q$10,'Informacion del AEP'!$F$118:$K$118,0))/3</f>
        <v>20000000</v>
      </c>
      <c r="R11" s="316">
        <f>INDEX('Informacion del AEP'!$F$120:$K$128,MATCH('Precios mayoristas efectivos'!$M11,'Informacion del AEP'!$B$120:$B$128,0),MATCH('Precios mayoristas efectivos'!R$10,'Informacion del AEP'!$F$118:$K$118,0))/3</f>
        <v>16666666.666666666</v>
      </c>
      <c r="S11" s="316">
        <f>INDEX('Informacion del AEP'!$F$120:$K$128,MATCH('Precios mayoristas efectivos'!$M11,'Informacion del AEP'!$B$120:$B$128,0),MATCH('Precios mayoristas efectivos'!S$10,'Informacion del AEP'!$F$118:$K$118,0))/3</f>
        <v>0</v>
      </c>
      <c r="X11" s="202"/>
      <c r="Y11" s="316"/>
      <c r="Z11" s="316"/>
      <c r="AA11" s="316"/>
      <c r="AB11" s="316"/>
      <c r="AC11" s="316"/>
      <c r="AD11" s="316"/>
    </row>
    <row r="12" spans="2:45" ht="12" customHeight="1" x14ac:dyDescent="0.25">
      <c r="B12" s="350" t="s">
        <v>240</v>
      </c>
      <c r="C12" s="389">
        <f>IF('Precio Mayorista'!$D$15=6,SUMPRODUCT(F12:K12,N12:S12)/SUM(N12:S12),IF('Precio Mayorista'!$D$15=5,SUMPRODUCT(F12:J12,N12:R12)/SUM(N12:R12),IF('Precio Mayorista'!$D$15=4,SUMPRODUCT(F12:I12,N12:Q12)/SUM(N12:Q12))))</f>
        <v>1.4999999999999999E-2</v>
      </c>
      <c r="E12" s="202" t="s">
        <v>240</v>
      </c>
      <c r="F12" s="335">
        <f>INDEX('Precio Mayorista'!$D$47:$J$49,MATCH($E12,'Precio Mayorista'!$C$47:$C$49,0),MATCH('Precio Mayorista'!E$24,'Precio Mayorista'!$D$29:$J$29,0))</f>
        <v>1.4999999999999999E-2</v>
      </c>
      <c r="G12" s="335">
        <f>INDEX('Precio Mayorista'!$D$47:$J$49,MATCH($E12,'Precio Mayorista'!$C$47:$C$49,0),MATCH('Precio Mayorista'!F$24,'Precio Mayorista'!$D$29:$J$29,0))</f>
        <v>1.4999999999999999E-2</v>
      </c>
      <c r="H12" s="335">
        <f>INDEX('Precio Mayorista'!$D$47:$J$49,MATCH($E12,'Precio Mayorista'!$C$47:$C$49,0),MATCH('Precio Mayorista'!G$24,'Precio Mayorista'!$D$29:$J$29,0))</f>
        <v>1.4999999999999999E-2</v>
      </c>
      <c r="I12" s="335">
        <f>INDEX('Precio Mayorista'!$D$47:$J$49,MATCH($E12,'Precio Mayorista'!$C$47:$C$49,0),MATCH('Precio Mayorista'!H$24,'Precio Mayorista'!$D$29:$J$29,0))</f>
        <v>1.4999999999999999E-2</v>
      </c>
      <c r="J12" s="335">
        <f>INDEX('Precio Mayorista'!$D$47:$J$49,MATCH($E12,'Precio Mayorista'!$C$47:$C$49,0),MATCH('Precio Mayorista'!I$24,'Precio Mayorista'!$D$29:$J$29,0))</f>
        <v>1.4999999999999999E-2</v>
      </c>
      <c r="K12" s="335" t="e">
        <f>INDEX('Precio Mayorista'!$D$47:$J$49,MATCH($E12,'Precio Mayorista'!$C$47:$C$49,0),MATCH('Precio Mayorista'!J$24,'Precio Mayorista'!$D$29:$J$29,0))</f>
        <v>#N/A</v>
      </c>
      <c r="M12" s="202" t="s">
        <v>240</v>
      </c>
      <c r="N12" s="316">
        <f>INDEX('Informacion del AEP'!$F$120:$K$128,MATCH('Precios mayoristas efectivos'!$M12,'Informacion del AEP'!$B$120:$B$128,0),MATCH('Precios mayoristas efectivos'!N$10,'Informacion del AEP'!$F$118:$K$118,0))/3</f>
        <v>3333333.3333333335</v>
      </c>
      <c r="O12" s="316">
        <f>INDEX('Informacion del AEP'!$F$120:$K$128,MATCH('Precios mayoristas efectivos'!$M12,'Informacion del AEP'!$B$120:$B$128,0),MATCH('Precios mayoristas efectivos'!O$10,'Informacion del AEP'!$F$118:$K$118,0))/3</f>
        <v>3000000</v>
      </c>
      <c r="P12" s="316">
        <f>INDEX('Informacion del AEP'!$F$120:$K$128,MATCH('Precios mayoristas efectivos'!$M12,'Informacion del AEP'!$B$120:$B$128,0),MATCH('Precios mayoristas efectivos'!P$10,'Informacion del AEP'!$F$118:$K$118,0))/3</f>
        <v>2666666.6666666665</v>
      </c>
      <c r="Q12" s="316">
        <f>INDEX('Informacion del AEP'!$F$120:$K$128,MATCH('Precios mayoristas efectivos'!$M12,'Informacion del AEP'!$B$120:$B$128,0),MATCH('Precios mayoristas efectivos'!Q$10,'Informacion del AEP'!$F$118:$K$118,0))/3</f>
        <v>2333333.3333333335</v>
      </c>
      <c r="R12" s="316">
        <f>INDEX('Informacion del AEP'!$F$120:$K$128,MATCH('Precios mayoristas efectivos'!$M12,'Informacion del AEP'!$B$120:$B$128,0),MATCH('Precios mayoristas efectivos'!R$10,'Informacion del AEP'!$F$118:$K$118,0))/3</f>
        <v>2000000</v>
      </c>
      <c r="S12" s="316">
        <f>INDEX('Informacion del AEP'!$F$120:$K$128,MATCH('Precios mayoristas efectivos'!$M12,'Informacion del AEP'!$B$120:$B$128,0),MATCH('Precios mayoristas efectivos'!S$10,'Informacion del AEP'!$F$118:$K$118,0))/3</f>
        <v>0</v>
      </c>
      <c r="X12" s="202"/>
      <c r="Y12" s="316"/>
      <c r="Z12" s="316"/>
      <c r="AA12" s="316"/>
      <c r="AB12" s="316"/>
      <c r="AC12" s="316"/>
      <c r="AD12" s="316"/>
    </row>
    <row r="13" spans="2:45" ht="12" customHeight="1" x14ac:dyDescent="0.25">
      <c r="B13" s="350" t="s">
        <v>241</v>
      </c>
      <c r="C13" s="389">
        <f>IF('Precio Mayorista'!$D$15=6,SUMPRODUCT(F13:K13,N13:S13)/SUM(N13:S13),IF('Precio Mayorista'!$D$15=5,SUMPRODUCT(F13:J13,N13:R13)/SUM(N13:R13),IF('Precio Mayorista'!$D$15=4,SUMPRODUCT(F13:I13,N13:Q13)/SUM(N13:Q13))))</f>
        <v>1.2699999999999999E-2</v>
      </c>
      <c r="E13" s="202" t="s">
        <v>241</v>
      </c>
      <c r="F13" s="335">
        <f>INDEX('Precio Mayorista'!$D$47:$J$49,MATCH($E13,'Precio Mayorista'!$C$47:$C$49,0),MATCH('Precio Mayorista'!E$24,'Precio Mayorista'!$D$29:$J$29,0))</f>
        <v>1.2500000000000001E-2</v>
      </c>
      <c r="G13" s="335">
        <f>INDEX('Precio Mayorista'!$D$47:$J$49,MATCH($E13,'Precio Mayorista'!$C$47:$C$49,0),MATCH('Precio Mayorista'!F$24,'Precio Mayorista'!$D$29:$J$29,0))</f>
        <v>1.2500000000000001E-2</v>
      </c>
      <c r="H13" s="335">
        <f>INDEX('Precio Mayorista'!$D$47:$J$49,MATCH($E13,'Precio Mayorista'!$C$47:$C$49,0),MATCH('Precio Mayorista'!G$24,'Precio Mayorista'!$D$29:$J$29,0))</f>
        <v>1.2500000000000001E-2</v>
      </c>
      <c r="I13" s="335">
        <f>INDEX('Precio Mayorista'!$D$47:$J$49,MATCH($E13,'Precio Mayorista'!$C$47:$C$49,0),MATCH('Precio Mayorista'!H$24,'Precio Mayorista'!$D$29:$J$29,0))</f>
        <v>1.35E-2</v>
      </c>
      <c r="J13" s="335">
        <f>INDEX('Precio Mayorista'!$D$47:$J$49,MATCH($E13,'Precio Mayorista'!$C$47:$C$49,0),MATCH('Precio Mayorista'!I$24,'Precio Mayorista'!$D$29:$J$29,0))</f>
        <v>1.35E-2</v>
      </c>
      <c r="K13" s="335" t="e">
        <f>INDEX('Precio Mayorista'!$D$47:$J$49,MATCH($E13,'Precio Mayorista'!$C$47:$C$49,0),MATCH('Precio Mayorista'!J$24,'Precio Mayorista'!$D$29:$J$29,0))</f>
        <v>#N/A</v>
      </c>
      <c r="M13" s="202" t="s">
        <v>241</v>
      </c>
      <c r="N13" s="316">
        <f>INDEX('Informacion del AEP'!$F$120:$K$128,MATCH('Precios mayoristas efectivos'!$M13,'Informacion del AEP'!$B$120:$B$128,0),MATCH('Precios mayoristas efectivos'!N$10,'Informacion del AEP'!$F$118:$K$118,0))/3</f>
        <v>1666666666.6666667</v>
      </c>
      <c r="O13" s="316">
        <f>INDEX('Informacion del AEP'!$F$120:$K$128,MATCH('Precios mayoristas efectivos'!$M13,'Informacion del AEP'!$B$120:$B$128,0),MATCH('Precios mayoristas efectivos'!O$10,'Informacion del AEP'!$F$118:$K$118,0))/3</f>
        <v>1333333333.3333333</v>
      </c>
      <c r="P13" s="316">
        <f>INDEX('Informacion del AEP'!$F$120:$K$128,MATCH('Precios mayoristas efectivos'!$M13,'Informacion del AEP'!$B$120:$B$128,0),MATCH('Precios mayoristas efectivos'!P$10,'Informacion del AEP'!$F$118:$K$118,0))/3</f>
        <v>1000000000</v>
      </c>
      <c r="Q13" s="316">
        <f>INDEX('Informacion del AEP'!$F$120:$K$128,MATCH('Precios mayoristas efectivos'!$M13,'Informacion del AEP'!$B$120:$B$128,0),MATCH('Precios mayoristas efectivos'!Q$10,'Informacion del AEP'!$F$118:$K$118,0))/3</f>
        <v>666666666.66666663</v>
      </c>
      <c r="R13" s="316">
        <f>INDEX('Informacion del AEP'!$F$120:$K$128,MATCH('Precios mayoristas efectivos'!$M13,'Informacion del AEP'!$B$120:$B$128,0),MATCH('Precios mayoristas efectivos'!R$10,'Informacion del AEP'!$F$118:$K$118,0))/3</f>
        <v>333333333.33333331</v>
      </c>
      <c r="S13" s="316">
        <f>INDEX('Informacion del AEP'!$F$120:$K$128,MATCH('Precios mayoristas efectivos'!$M13,'Informacion del AEP'!$B$120:$B$128,0),MATCH('Precios mayoristas efectivos'!S$10,'Informacion del AEP'!$F$118:$K$118,0))/3</f>
        <v>0</v>
      </c>
      <c r="X13" s="202"/>
      <c r="Y13" s="316"/>
      <c r="Z13" s="316"/>
      <c r="AA13" s="316"/>
      <c r="AB13" s="316"/>
      <c r="AC13" s="316"/>
      <c r="AD13" s="316"/>
    </row>
    <row r="14" spans="2:45" ht="12" customHeight="1" x14ac:dyDescent="0.25">
      <c r="B14" s="357"/>
      <c r="C14" s="356"/>
      <c r="E14" s="202"/>
      <c r="M14" s="202" t="s">
        <v>124</v>
      </c>
      <c r="N14" s="316">
        <f t="shared" ref="N14:S14" si="0">SUM(N11:N13)</f>
        <v>1700000000</v>
      </c>
      <c r="O14" s="316">
        <f t="shared" si="0"/>
        <v>1363000000</v>
      </c>
      <c r="P14" s="316">
        <f t="shared" si="0"/>
        <v>1026000000</v>
      </c>
      <c r="Q14" s="316">
        <f t="shared" si="0"/>
        <v>689000000</v>
      </c>
      <c r="R14" s="316">
        <f t="shared" si="0"/>
        <v>352000000</v>
      </c>
      <c r="S14" s="316">
        <f t="shared" si="0"/>
        <v>0</v>
      </c>
      <c r="X14" s="202"/>
      <c r="Y14" s="316"/>
      <c r="Z14" s="316"/>
      <c r="AA14" s="316"/>
      <c r="AB14" s="316"/>
      <c r="AC14" s="316"/>
      <c r="AD14" s="316"/>
    </row>
    <row r="15" spans="2:45" ht="12" customHeight="1" x14ac:dyDescent="0.25">
      <c r="B15" s="357"/>
      <c r="C15" s="356"/>
      <c r="E15" s="202"/>
      <c r="M15" s="202"/>
      <c r="X15" s="202"/>
      <c r="Y15" s="316"/>
      <c r="Z15" s="316"/>
      <c r="AA15" s="316"/>
      <c r="AB15" s="316"/>
      <c r="AC15" s="316"/>
      <c r="AD15" s="316"/>
    </row>
    <row r="16" spans="2:45" ht="12" customHeight="1" x14ac:dyDescent="0.3">
      <c r="B16" s="348" t="s">
        <v>113</v>
      </c>
      <c r="C16" s="347"/>
      <c r="E16" s="300" t="s">
        <v>113</v>
      </c>
      <c r="M16" s="300" t="s">
        <v>113</v>
      </c>
    </row>
    <row r="17" spans="2:45" ht="13.5" thickBot="1" x14ac:dyDescent="0.35">
      <c r="B17" s="353" t="s">
        <v>259</v>
      </c>
      <c r="C17" s="354">
        <v>0</v>
      </c>
      <c r="E17" s="237" t="s">
        <v>259</v>
      </c>
      <c r="F17" s="16" t="s">
        <v>252</v>
      </c>
      <c r="G17" s="16" t="s">
        <v>253</v>
      </c>
      <c r="H17" s="16" t="s">
        <v>254</v>
      </c>
      <c r="I17" s="16" t="s">
        <v>255</v>
      </c>
      <c r="J17" s="16" t="s">
        <v>256</v>
      </c>
      <c r="K17" s="16" t="s">
        <v>257</v>
      </c>
      <c r="M17" s="237" t="s">
        <v>293</v>
      </c>
      <c r="N17" s="16" t="s">
        <v>252</v>
      </c>
      <c r="O17" s="16" t="s">
        <v>253</v>
      </c>
      <c r="P17" s="16" t="s">
        <v>254</v>
      </c>
      <c r="Q17" s="16" t="s">
        <v>255</v>
      </c>
      <c r="R17" s="16" t="s">
        <v>256</v>
      </c>
      <c r="S17" s="16" t="s">
        <v>257</v>
      </c>
      <c r="T17" s="16"/>
      <c r="U17" s="16"/>
      <c r="V17" s="16"/>
    </row>
    <row r="18" spans="2:45" ht="12" customHeight="1" x14ac:dyDescent="0.3">
      <c r="E18" s="237"/>
      <c r="F18" s="15">
        <v>0</v>
      </c>
      <c r="G18" s="15">
        <v>0</v>
      </c>
      <c r="H18" s="15">
        <v>0</v>
      </c>
      <c r="I18" s="15">
        <v>0</v>
      </c>
      <c r="J18" s="15">
        <v>0</v>
      </c>
      <c r="K18" s="15">
        <v>0</v>
      </c>
      <c r="N18">
        <v>0</v>
      </c>
      <c r="O18">
        <v>0</v>
      </c>
      <c r="P18">
        <v>0</v>
      </c>
      <c r="Q18">
        <v>0</v>
      </c>
      <c r="R18">
        <v>0</v>
      </c>
      <c r="S18">
        <v>0</v>
      </c>
    </row>
    <row r="20" spans="2:45" s="170" customFormat="1" ht="12" customHeight="1" x14ac:dyDescent="0.25">
      <c r="B20" s="166" t="str">
        <f>'Hoja Auxiliar'!$B$33</f>
        <v>Bolsa de tráfico</v>
      </c>
      <c r="F20" s="167"/>
      <c r="G20" s="168"/>
      <c r="H20" s="169"/>
      <c r="I20" s="169"/>
      <c r="J20" s="169"/>
    </row>
    <row r="21" spans="2:45" ht="12" customHeight="1" thickBot="1" x14ac:dyDescent="0.3"/>
    <row r="22" spans="2:45" ht="13" x14ac:dyDescent="0.3">
      <c r="B22" s="344" t="s">
        <v>335</v>
      </c>
      <c r="C22" s="345"/>
      <c r="E22" s="300" t="s">
        <v>336</v>
      </c>
      <c r="F22" s="299"/>
      <c r="G22" s="299"/>
      <c r="H22" s="299"/>
      <c r="I22" s="299"/>
      <c r="J22" s="299"/>
      <c r="K22" s="299"/>
      <c r="M22" s="300" t="s">
        <v>337</v>
      </c>
      <c r="N22" s="299"/>
      <c r="O22" s="299"/>
      <c r="P22" s="299"/>
      <c r="Q22" s="299"/>
      <c r="R22" s="299"/>
      <c r="S22" s="299"/>
      <c r="W22" s="300" t="s">
        <v>338</v>
      </c>
      <c r="X22" s="300"/>
      <c r="Y22" s="300"/>
      <c r="Z22" s="300"/>
      <c r="AA22" s="300"/>
      <c r="AB22" s="300"/>
      <c r="AC22" s="300"/>
      <c r="AE22" s="300" t="s">
        <v>339</v>
      </c>
      <c r="AF22" s="300"/>
      <c r="AG22" s="300"/>
      <c r="AH22" s="300"/>
      <c r="AI22" s="300"/>
      <c r="AJ22" s="300"/>
      <c r="AK22" s="300"/>
      <c r="AL22" s="16"/>
      <c r="AM22" s="300" t="s">
        <v>340</v>
      </c>
      <c r="AN22" s="300"/>
      <c r="AO22" s="300"/>
      <c r="AP22" s="300"/>
      <c r="AQ22" s="300"/>
      <c r="AR22" s="300"/>
      <c r="AS22" s="300"/>
    </row>
    <row r="23" spans="2:45" ht="12" customHeight="1" x14ac:dyDescent="0.25">
      <c r="B23" s="346"/>
      <c r="C23" s="347"/>
    </row>
    <row r="24" spans="2:45" ht="12" customHeight="1" x14ac:dyDescent="0.3">
      <c r="B24" s="348" t="s">
        <v>233</v>
      </c>
      <c r="C24" s="347"/>
      <c r="E24" s="300" t="s">
        <v>233</v>
      </c>
    </row>
    <row r="25" spans="2:45" ht="12" customHeight="1" x14ac:dyDescent="0.3">
      <c r="B25" s="349" t="s">
        <v>259</v>
      </c>
      <c r="C25" s="205"/>
      <c r="E25" s="237" t="s">
        <v>259</v>
      </c>
      <c r="F25" s="16" t="s">
        <v>252</v>
      </c>
      <c r="G25" s="16" t="s">
        <v>253</v>
      </c>
      <c r="H25" s="16" t="s">
        <v>254</v>
      </c>
      <c r="I25" s="16" t="s">
        <v>255</v>
      </c>
      <c r="J25" s="16" t="s">
        <v>256</v>
      </c>
      <c r="K25" s="16" t="s">
        <v>257</v>
      </c>
      <c r="M25" s="237" t="s">
        <v>293</v>
      </c>
      <c r="N25" s="16" t="s">
        <v>252</v>
      </c>
      <c r="O25" s="16" t="s">
        <v>253</v>
      </c>
      <c r="P25" s="16" t="s">
        <v>254</v>
      </c>
      <c r="Q25" s="16" t="s">
        <v>255</v>
      </c>
      <c r="R25" s="16" t="s">
        <v>256</v>
      </c>
      <c r="S25" s="16" t="s">
        <v>257</v>
      </c>
      <c r="T25" s="16"/>
      <c r="U25" s="16"/>
      <c r="V25" s="16"/>
      <c r="W25" s="237" t="s">
        <v>259</v>
      </c>
      <c r="X25" s="16" t="s">
        <v>252</v>
      </c>
      <c r="Y25" s="16" t="s">
        <v>253</v>
      </c>
      <c r="Z25" s="16" t="s">
        <v>254</v>
      </c>
      <c r="AA25" s="16" t="s">
        <v>255</v>
      </c>
      <c r="AB25" s="16" t="s">
        <v>256</v>
      </c>
      <c r="AC25" s="16" t="s">
        <v>257</v>
      </c>
      <c r="AE25" s="237" t="s">
        <v>293</v>
      </c>
      <c r="AF25" s="16" t="s">
        <v>252</v>
      </c>
      <c r="AG25" s="16" t="s">
        <v>253</v>
      </c>
      <c r="AH25" s="16" t="s">
        <v>254</v>
      </c>
      <c r="AI25" s="16" t="s">
        <v>255</v>
      </c>
      <c r="AJ25" s="16" t="s">
        <v>256</v>
      </c>
      <c r="AK25" s="16" t="s">
        <v>257</v>
      </c>
      <c r="AM25" s="237" t="s">
        <v>259</v>
      </c>
      <c r="AN25" s="16" t="s">
        <v>252</v>
      </c>
      <c r="AO25" s="16" t="s">
        <v>253</v>
      </c>
      <c r="AP25" s="16" t="s">
        <v>254</v>
      </c>
      <c r="AQ25" s="16" t="s">
        <v>255</v>
      </c>
      <c r="AR25" s="16" t="s">
        <v>256</v>
      </c>
      <c r="AS25" s="16" t="s">
        <v>257</v>
      </c>
    </row>
    <row r="26" spans="2:45" ht="15" customHeight="1" x14ac:dyDescent="0.3">
      <c r="B26" s="350" t="s">
        <v>239</v>
      </c>
      <c r="C26" s="389">
        <f>IF('Precio Mayorista'!$D$15=6,SUMPRODUCT(F26:K26,N26:S26)/SUM(N26:S26),IF('Precio Mayorista'!$D$15=5,SUMPRODUCT(F26:J26,N26:R26)/SUM(N26:R26),IF('Precio Mayorista'!$D$15=4,SUMPRODUCT(F26:I26,N26:Q26)/SUM(N26:Q26))))</f>
        <v>0</v>
      </c>
      <c r="E26" s="202" t="s">
        <v>239</v>
      </c>
      <c r="F26" s="358">
        <f t="shared" ref="F26:K28" si="1">X26/N26</f>
        <v>0</v>
      </c>
      <c r="G26" s="358">
        <f t="shared" si="1"/>
        <v>0</v>
      </c>
      <c r="H26" s="358">
        <f t="shared" si="1"/>
        <v>0</v>
      </c>
      <c r="I26" s="358">
        <f t="shared" si="1"/>
        <v>0</v>
      </c>
      <c r="J26" s="358">
        <f t="shared" si="1"/>
        <v>0</v>
      </c>
      <c r="K26" s="358" t="e">
        <f t="shared" si="1"/>
        <v>#N/A</v>
      </c>
      <c r="M26" s="202" t="s">
        <v>273</v>
      </c>
      <c r="N26" s="235">
        <f>INDEX('Informacion del AEP'!$F$120:$K$129,MATCH('Precios mayoristas efectivos'!$M26,'Informacion del AEP'!$B$120:$B$129,0),MATCH('Precios mayoristas efectivos'!N$25,'Informacion del AEP'!$F$118:$K$118,0))/3</f>
        <v>30000000</v>
      </c>
      <c r="O26" s="235">
        <f>INDEX('Informacion del AEP'!$F$120:$K$129,MATCH('Precios mayoristas efectivos'!$M26,'Informacion del AEP'!$B$120:$B$129,0),MATCH('Precios mayoristas efectivos'!O$25,'Informacion del AEP'!$F$118:$K$118,0))/3</f>
        <v>26666666.666666668</v>
      </c>
      <c r="P26" s="235">
        <f>INDEX('Informacion del AEP'!$F$120:$K$129,MATCH('Precios mayoristas efectivos'!$M26,'Informacion del AEP'!$B$120:$B$129,0),MATCH('Precios mayoristas efectivos'!P$25,'Informacion del AEP'!$F$118:$K$118,0))/3</f>
        <v>23333333.333333332</v>
      </c>
      <c r="Q26" s="235">
        <f>INDEX('Informacion del AEP'!$F$120:$K$129,MATCH('Precios mayoristas efectivos'!$M26,'Informacion del AEP'!$B$120:$B$129,0),MATCH('Precios mayoristas efectivos'!Q$25,'Informacion del AEP'!$F$118:$K$118,0))/3</f>
        <v>20000000</v>
      </c>
      <c r="R26" s="235">
        <f>INDEX('Informacion del AEP'!$F$120:$K$129,MATCH('Precios mayoristas efectivos'!$M26,'Informacion del AEP'!$B$120:$B$129,0),MATCH('Precios mayoristas efectivos'!R$25,'Informacion del AEP'!$F$118:$K$118,0))/3</f>
        <v>16666666.666666666</v>
      </c>
      <c r="S26" s="235">
        <f>INDEX('Informacion del AEP'!$F$120:$K$129,MATCH('Precios mayoristas efectivos'!$M26,'Informacion del AEP'!$B$120:$B$129,0),MATCH('Precios mayoristas efectivos'!S$25,'Informacion del AEP'!$F$118:$K$118,0))/3</f>
        <v>0</v>
      </c>
      <c r="W26" s="202" t="s">
        <v>239</v>
      </c>
      <c r="X26" s="337">
        <f t="shared" ref="X26:AC28" si="2">X36+X46</f>
        <v>0</v>
      </c>
      <c r="Y26" s="337">
        <f t="shared" si="2"/>
        <v>0</v>
      </c>
      <c r="Z26" s="337">
        <f t="shared" si="2"/>
        <v>0</v>
      </c>
      <c r="AA26" s="337">
        <f t="shared" si="2"/>
        <v>0</v>
      </c>
      <c r="AB26" s="337">
        <f t="shared" si="2"/>
        <v>0</v>
      </c>
      <c r="AC26" s="337" t="e">
        <f t="shared" si="2"/>
        <v>#N/A</v>
      </c>
      <c r="AE26" s="237"/>
      <c r="AF26" s="316">
        <f>INDEX('Precio Mayorista'!$E$26:$J$26,MATCH('Precios mayoristas efectivos'!AF$25,'Precio Mayorista'!$E$20:$J$20,0))</f>
        <v>1000000</v>
      </c>
      <c r="AG26" s="316">
        <f>INDEX('Precio Mayorista'!$E$26:$J$26,MATCH('Precios mayoristas efectivos'!AG$25,'Precio Mayorista'!$E$20:$J$20,0))</f>
        <v>900000</v>
      </c>
      <c r="AH26" s="316">
        <f>INDEX('Precio Mayorista'!$E$26:$J$26,MATCH('Precios mayoristas efectivos'!AH$25,'Precio Mayorista'!$E$20:$J$20,0))</f>
        <v>800000</v>
      </c>
      <c r="AI26" s="316">
        <f>INDEX('Precio Mayorista'!$E$26:$J$26,MATCH('Precios mayoristas efectivos'!AI$25,'Precio Mayorista'!$E$20:$J$20,0))</f>
        <v>700000</v>
      </c>
      <c r="AJ26" s="316">
        <f>INDEX('Precio Mayorista'!$E$26:$J$26,MATCH('Precios mayoristas efectivos'!AJ$25,'Precio Mayorista'!$E$20:$J$20,0))</f>
        <v>600000</v>
      </c>
      <c r="AK26" s="316">
        <f>INDEX('Precio Mayorista'!$E$26:$J$26,MATCH('Precios mayoristas efectivos'!AK$25,'Precio Mayorista'!$E$20:$J$20,0))</f>
        <v>0</v>
      </c>
      <c r="AM26" s="202"/>
      <c r="AN26" s="235">
        <f t="shared" ref="AN26:AS26" si="3">AN36+AN46</f>
        <v>-2700000</v>
      </c>
      <c r="AO26" s="235">
        <f t="shared" si="3"/>
        <v>-3000000</v>
      </c>
      <c r="AP26" s="235">
        <f t="shared" si="3"/>
        <v>-3300000</v>
      </c>
      <c r="AQ26" s="235">
        <f t="shared" si="3"/>
        <v>-3600000</v>
      </c>
      <c r="AR26" s="235">
        <f t="shared" si="3"/>
        <v>-3900000</v>
      </c>
      <c r="AS26" s="235" t="e">
        <f t="shared" si="3"/>
        <v>#N/A</v>
      </c>
    </row>
    <row r="27" spans="2:45" ht="12" customHeight="1" x14ac:dyDescent="0.3">
      <c r="B27" s="350" t="s">
        <v>240</v>
      </c>
      <c r="C27" s="389">
        <f>IF('Precio Mayorista'!$D$15=6,SUMPRODUCT(F27:K27,N27:S27)/SUM(N27:S27),IF('Precio Mayorista'!$D$15=5,SUMPRODUCT(F27:J27,N27:R27)/SUM(N27:R27),IF('Precio Mayorista'!$D$15=4,SUMPRODUCT(F27:I27,N27:Q27)/SUM(N27:Q27))))</f>
        <v>0</v>
      </c>
      <c r="E27" s="202" t="s">
        <v>240</v>
      </c>
      <c r="F27" s="358">
        <f t="shared" si="1"/>
        <v>0</v>
      </c>
      <c r="G27" s="358">
        <f t="shared" si="1"/>
        <v>0</v>
      </c>
      <c r="H27" s="358">
        <f t="shared" si="1"/>
        <v>0</v>
      </c>
      <c r="I27" s="358">
        <f t="shared" si="1"/>
        <v>0</v>
      </c>
      <c r="J27" s="358">
        <f t="shared" si="1"/>
        <v>0</v>
      </c>
      <c r="K27" s="358" t="e">
        <f t="shared" si="1"/>
        <v>#N/A</v>
      </c>
      <c r="M27" s="202" t="s">
        <v>240</v>
      </c>
      <c r="N27" s="235">
        <f>INDEX('Informacion del AEP'!$F$120:$K$129,MATCH('Precios mayoristas efectivos'!$M27,'Informacion del AEP'!$B$120:$B$129,0),MATCH('Precios mayoristas efectivos'!N$25,'Informacion del AEP'!$F$118:$K$118,0))/3</f>
        <v>3333333.3333333335</v>
      </c>
      <c r="O27" s="235">
        <f>INDEX('Informacion del AEP'!$F$120:$K$129,MATCH('Precios mayoristas efectivos'!$M27,'Informacion del AEP'!$B$120:$B$129,0),MATCH('Precios mayoristas efectivos'!O$25,'Informacion del AEP'!$F$118:$K$118,0))/3</f>
        <v>3000000</v>
      </c>
      <c r="P27" s="235">
        <f>INDEX('Informacion del AEP'!$F$120:$K$129,MATCH('Precios mayoristas efectivos'!$M27,'Informacion del AEP'!$B$120:$B$129,0),MATCH('Precios mayoristas efectivos'!P$25,'Informacion del AEP'!$F$118:$K$118,0))/3</f>
        <v>2666666.6666666665</v>
      </c>
      <c r="Q27" s="235">
        <f>INDEX('Informacion del AEP'!$F$120:$K$129,MATCH('Precios mayoristas efectivos'!$M27,'Informacion del AEP'!$B$120:$B$129,0),MATCH('Precios mayoristas efectivos'!Q$25,'Informacion del AEP'!$F$118:$K$118,0))/3</f>
        <v>2333333.3333333335</v>
      </c>
      <c r="R27" s="235">
        <f>INDEX('Informacion del AEP'!$F$120:$K$129,MATCH('Precios mayoristas efectivos'!$M27,'Informacion del AEP'!$B$120:$B$129,0),MATCH('Precios mayoristas efectivos'!R$25,'Informacion del AEP'!$F$118:$K$118,0))/3</f>
        <v>2000000</v>
      </c>
      <c r="S27" s="235">
        <f>INDEX('Informacion del AEP'!$F$120:$K$129,MATCH('Precios mayoristas efectivos'!$M27,'Informacion del AEP'!$B$120:$B$129,0),MATCH('Precios mayoristas efectivos'!S$25,'Informacion del AEP'!$F$118:$K$118,0))/3</f>
        <v>0</v>
      </c>
      <c r="W27" s="202" t="s">
        <v>240</v>
      </c>
      <c r="X27" s="337">
        <f t="shared" si="2"/>
        <v>0</v>
      </c>
      <c r="Y27" s="337">
        <f t="shared" si="2"/>
        <v>0</v>
      </c>
      <c r="Z27" s="337">
        <f t="shared" si="2"/>
        <v>0</v>
      </c>
      <c r="AA27" s="337">
        <f t="shared" si="2"/>
        <v>0</v>
      </c>
      <c r="AB27" s="337">
        <f t="shared" si="2"/>
        <v>0</v>
      </c>
      <c r="AC27" s="337" t="e">
        <f t="shared" si="2"/>
        <v>#N/A</v>
      </c>
      <c r="AE27" s="237"/>
      <c r="AF27" s="16"/>
      <c r="AG27" s="16"/>
      <c r="AH27" s="16"/>
      <c r="AI27" s="16"/>
      <c r="AJ27" s="16"/>
      <c r="AK27" s="16"/>
      <c r="AM27" s="202"/>
    </row>
    <row r="28" spans="2:45" ht="12" customHeight="1" x14ac:dyDescent="0.25">
      <c r="B28" s="350" t="s">
        <v>241</v>
      </c>
      <c r="C28" s="389">
        <f>IF('Precio Mayorista'!$D$15=6,SUMPRODUCT(F28:K28,N28:S28)/SUM(N28:S28),IF('Precio Mayorista'!$D$15=5,SUMPRODUCT(F28:J28,N28:R28)/SUM(N28:R28),IF('Precio Mayorista'!$D$15=4,SUMPRODUCT(F28:I28,N28:Q28)/SUM(N28:Q28))))</f>
        <v>0</v>
      </c>
      <c r="E28" s="202" t="s">
        <v>241</v>
      </c>
      <c r="F28" s="358">
        <f t="shared" si="1"/>
        <v>0</v>
      </c>
      <c r="G28" s="358">
        <f t="shared" si="1"/>
        <v>0</v>
      </c>
      <c r="H28" s="358">
        <f t="shared" si="1"/>
        <v>0</v>
      </c>
      <c r="I28" s="358">
        <f t="shared" si="1"/>
        <v>0</v>
      </c>
      <c r="J28" s="358">
        <f t="shared" si="1"/>
        <v>0</v>
      </c>
      <c r="K28" s="358" t="e">
        <f t="shared" si="1"/>
        <v>#N/A</v>
      </c>
      <c r="M28" s="202" t="s">
        <v>241</v>
      </c>
      <c r="N28" s="235">
        <f>INDEX('Informacion del AEP'!$F$120:$K$129,MATCH('Precios mayoristas efectivos'!$M28,'Informacion del AEP'!$B$120:$B$129,0),MATCH('Precios mayoristas efectivos'!N$25,'Informacion del AEP'!$F$118:$K$118,0))/3</f>
        <v>1666666666.6666667</v>
      </c>
      <c r="O28" s="235">
        <f>INDEX('Informacion del AEP'!$F$120:$K$129,MATCH('Precios mayoristas efectivos'!$M28,'Informacion del AEP'!$B$120:$B$129,0),MATCH('Precios mayoristas efectivos'!O$25,'Informacion del AEP'!$F$118:$K$118,0))/3</f>
        <v>1333333333.3333333</v>
      </c>
      <c r="P28" s="235">
        <f>INDEX('Informacion del AEP'!$F$120:$K$129,MATCH('Precios mayoristas efectivos'!$M28,'Informacion del AEP'!$B$120:$B$129,0),MATCH('Precios mayoristas efectivos'!P$25,'Informacion del AEP'!$F$118:$K$118,0))/3</f>
        <v>1000000000</v>
      </c>
      <c r="Q28" s="235">
        <f>INDEX('Informacion del AEP'!$F$120:$K$129,MATCH('Precios mayoristas efectivos'!$M28,'Informacion del AEP'!$B$120:$B$129,0),MATCH('Precios mayoristas efectivos'!Q$25,'Informacion del AEP'!$F$118:$K$118,0))/3</f>
        <v>666666666.66666663</v>
      </c>
      <c r="R28" s="235">
        <f>INDEX('Informacion del AEP'!$F$120:$K$129,MATCH('Precios mayoristas efectivos'!$M28,'Informacion del AEP'!$B$120:$B$129,0),MATCH('Precios mayoristas efectivos'!R$25,'Informacion del AEP'!$F$118:$K$118,0))/3</f>
        <v>333333333.33333331</v>
      </c>
      <c r="S28" s="235">
        <f>INDEX('Informacion del AEP'!$F$120:$K$129,MATCH('Precios mayoristas efectivos'!$M28,'Informacion del AEP'!$B$120:$B$129,0),MATCH('Precios mayoristas efectivos'!S$25,'Informacion del AEP'!$F$118:$K$118,0))/3</f>
        <v>0</v>
      </c>
      <c r="W28" s="202" t="s">
        <v>241</v>
      </c>
      <c r="X28" s="337">
        <f t="shared" si="2"/>
        <v>0</v>
      </c>
      <c r="Y28" s="337">
        <f t="shared" si="2"/>
        <v>0</v>
      </c>
      <c r="Z28" s="337">
        <f t="shared" si="2"/>
        <v>0</v>
      </c>
      <c r="AA28" s="337">
        <f t="shared" si="2"/>
        <v>0</v>
      </c>
      <c r="AB28" s="337">
        <f t="shared" si="2"/>
        <v>0</v>
      </c>
      <c r="AC28" s="337" t="e">
        <f t="shared" si="2"/>
        <v>#N/A</v>
      </c>
    </row>
    <row r="29" spans="2:45" ht="12" customHeight="1" x14ac:dyDescent="0.25">
      <c r="B29" s="346"/>
      <c r="C29" s="352"/>
      <c r="E29" s="202"/>
      <c r="M29" s="202"/>
      <c r="N29" s="235"/>
      <c r="O29" s="235"/>
      <c r="P29" s="235"/>
      <c r="Q29" s="235"/>
      <c r="R29" s="235"/>
      <c r="S29" s="235"/>
      <c r="W29" s="202" t="s">
        <v>124</v>
      </c>
      <c r="X29" s="235">
        <f t="shared" ref="X29:AC29" si="4">SUM(X26:X28)</f>
        <v>0</v>
      </c>
      <c r="Y29" s="235">
        <f t="shared" si="4"/>
        <v>0</v>
      </c>
      <c r="Z29" s="235">
        <f t="shared" si="4"/>
        <v>0</v>
      </c>
      <c r="AA29" s="235">
        <f t="shared" si="4"/>
        <v>0</v>
      </c>
      <c r="AB29" s="235">
        <f t="shared" si="4"/>
        <v>0</v>
      </c>
      <c r="AC29" s="235" t="e">
        <f t="shared" si="4"/>
        <v>#N/A</v>
      </c>
    </row>
    <row r="30" spans="2:45" ht="31.4" customHeight="1" x14ac:dyDescent="0.25">
      <c r="B30" s="346"/>
      <c r="C30" s="352"/>
      <c r="E30" s="202"/>
      <c r="M30" s="487"/>
      <c r="N30" s="487"/>
      <c r="O30" s="487"/>
      <c r="P30" s="487"/>
      <c r="Q30" s="487"/>
      <c r="R30" s="487"/>
      <c r="S30" s="487"/>
      <c r="W30" s="202"/>
      <c r="X30" s="235"/>
      <c r="Y30" s="235"/>
      <c r="Z30" s="235"/>
      <c r="AA30" s="235"/>
      <c r="AB30" s="235"/>
      <c r="AC30" s="235"/>
    </row>
    <row r="31" spans="2:45" ht="12" customHeight="1" x14ac:dyDescent="0.25">
      <c r="B31" s="346"/>
      <c r="C31" s="352"/>
    </row>
    <row r="32" spans="2:45" ht="12" customHeight="1" x14ac:dyDescent="0.3">
      <c r="B32" s="348" t="s">
        <v>113</v>
      </c>
      <c r="C32" s="347"/>
      <c r="E32" s="300" t="s">
        <v>113</v>
      </c>
      <c r="M32" s="300" t="s">
        <v>341</v>
      </c>
      <c r="N32" s="299"/>
      <c r="O32" s="299"/>
      <c r="P32" s="299"/>
      <c r="Q32" s="299"/>
      <c r="R32" s="299"/>
      <c r="S32" s="299"/>
      <c r="W32" s="300" t="s">
        <v>342</v>
      </c>
      <c r="X32" s="300"/>
      <c r="Y32" s="300"/>
      <c r="Z32" s="300"/>
      <c r="AA32" s="300"/>
      <c r="AB32" s="300"/>
      <c r="AC32" s="300"/>
      <c r="AE32" s="300" t="s">
        <v>343</v>
      </c>
      <c r="AF32" s="300"/>
      <c r="AG32" s="300"/>
      <c r="AH32" s="300"/>
      <c r="AI32" s="300"/>
      <c r="AJ32" s="300"/>
      <c r="AK32" s="300"/>
      <c r="AM32" s="300" t="s">
        <v>344</v>
      </c>
      <c r="AN32" s="300"/>
      <c r="AO32" s="300"/>
      <c r="AP32" s="300"/>
      <c r="AQ32" s="300"/>
      <c r="AR32" s="300"/>
      <c r="AS32" s="300"/>
    </row>
    <row r="33" spans="1:45" ht="12" customHeight="1" thickBot="1" x14ac:dyDescent="0.35">
      <c r="B33" s="353" t="s">
        <v>259</v>
      </c>
      <c r="C33" s="354">
        <f>IF('Precio Mayorista'!$D$15=6,SUMPRODUCT(F34:K34,AF26:AK26)/SUM(AF26:AK26),IF('Precio Mayorista'!$D$15=5,SUMPRODUCT(F34:J34,AF26:AJ26)/SUM(AF26:AJ26),IF('Precio Mayorista'!$D$15=4,SUMPRODUCT(F34:I34,AF26:AI26)/SUM(AF26:AI26))))</f>
        <v>-4.125</v>
      </c>
      <c r="E33" s="237" t="s">
        <v>259</v>
      </c>
      <c r="F33" s="16" t="s">
        <v>252</v>
      </c>
      <c r="G33" s="16" t="s">
        <v>253</v>
      </c>
      <c r="H33" s="16" t="s">
        <v>254</v>
      </c>
      <c r="I33" s="16" t="s">
        <v>255</v>
      </c>
      <c r="J33" s="16" t="s">
        <v>256</v>
      </c>
      <c r="K33" s="16" t="s">
        <v>257</v>
      </c>
    </row>
    <row r="34" spans="1:45" ht="12" customHeight="1" x14ac:dyDescent="0.3">
      <c r="C34" s="340"/>
      <c r="E34" s="237"/>
      <c r="F34" s="359">
        <f t="shared" ref="F34:K34" si="5">AN26/AF26</f>
        <v>-2.7</v>
      </c>
      <c r="G34" s="359">
        <f t="shared" si="5"/>
        <v>-3.3333333333333335</v>
      </c>
      <c r="H34" s="359">
        <f t="shared" si="5"/>
        <v>-4.125</v>
      </c>
      <c r="I34" s="359">
        <f t="shared" si="5"/>
        <v>-5.1428571428571432</v>
      </c>
      <c r="J34" s="359">
        <f t="shared" si="5"/>
        <v>-6.5</v>
      </c>
      <c r="K34" s="359" t="e">
        <f t="shared" si="5"/>
        <v>#N/A</v>
      </c>
      <c r="M34" s="15"/>
      <c r="N34" s="16"/>
    </row>
    <row r="35" spans="1:45" ht="12" customHeight="1" x14ac:dyDescent="0.3">
      <c r="E35" s="237"/>
      <c r="G35" s="16"/>
      <c r="H35" s="16"/>
      <c r="I35" s="16"/>
      <c r="J35" s="16"/>
      <c r="K35" s="16"/>
      <c r="M35" s="237" t="s">
        <v>293</v>
      </c>
      <c r="N35" s="16" t="s">
        <v>252</v>
      </c>
      <c r="O35" s="16" t="s">
        <v>253</v>
      </c>
      <c r="P35" s="16" t="s">
        <v>254</v>
      </c>
      <c r="Q35" s="16" t="s">
        <v>255</v>
      </c>
      <c r="R35" s="16" t="s">
        <v>256</v>
      </c>
      <c r="S35" s="16" t="s">
        <v>257</v>
      </c>
      <c r="W35" s="237" t="s">
        <v>259</v>
      </c>
      <c r="X35" s="338" t="s">
        <v>252</v>
      </c>
      <c r="Y35" s="338" t="s">
        <v>253</v>
      </c>
      <c r="Z35" s="338" t="s">
        <v>254</v>
      </c>
      <c r="AA35" s="338" t="s">
        <v>255</v>
      </c>
      <c r="AB35" s="338" t="s">
        <v>256</v>
      </c>
      <c r="AC35" s="338" t="s">
        <v>257</v>
      </c>
      <c r="AE35" s="237" t="s">
        <v>293</v>
      </c>
      <c r="AF35" s="16" t="s">
        <v>252</v>
      </c>
      <c r="AG35" s="16" t="s">
        <v>253</v>
      </c>
      <c r="AH35" s="16" t="s">
        <v>254</v>
      </c>
      <c r="AI35" s="16" t="s">
        <v>255</v>
      </c>
      <c r="AJ35" s="16" t="s">
        <v>256</v>
      </c>
      <c r="AK35" s="16" t="s">
        <v>257</v>
      </c>
      <c r="AM35" s="237" t="s">
        <v>259</v>
      </c>
      <c r="AN35" s="16" t="s">
        <v>252</v>
      </c>
      <c r="AO35" s="16" t="s">
        <v>253</v>
      </c>
      <c r="AP35" s="16" t="s">
        <v>254</v>
      </c>
      <c r="AQ35" s="16" t="s">
        <v>255</v>
      </c>
      <c r="AR35" s="16" t="s">
        <v>256</v>
      </c>
      <c r="AS35" s="16" t="s">
        <v>257</v>
      </c>
    </row>
    <row r="36" spans="1:45" ht="12" customHeight="1" x14ac:dyDescent="0.3">
      <c r="E36" s="237"/>
      <c r="F36" s="411"/>
      <c r="G36" s="16"/>
      <c r="H36" s="16"/>
      <c r="I36" s="16"/>
      <c r="J36" s="16"/>
      <c r="K36" s="16"/>
      <c r="M36" s="202" t="s">
        <v>273</v>
      </c>
      <c r="N36" s="234">
        <f t="shared" ref="N36:S38" si="6">N$39*N53</f>
        <v>0</v>
      </c>
      <c r="O36" s="234">
        <f t="shared" si="6"/>
        <v>0</v>
      </c>
      <c r="P36" s="234">
        <f t="shared" si="6"/>
        <v>0</v>
      </c>
      <c r="Q36" s="234">
        <f t="shared" si="6"/>
        <v>23222060.957910016</v>
      </c>
      <c r="R36" s="234">
        <f t="shared" si="6"/>
        <v>37878787.878787875</v>
      </c>
      <c r="S36" s="234" t="e">
        <f t="shared" si="6"/>
        <v>#N/A</v>
      </c>
      <c r="W36" s="202" t="s">
        <v>239</v>
      </c>
      <c r="X36" s="235">
        <f t="shared" ref="X36:AC38" si="7">X$39*X53</f>
        <v>0</v>
      </c>
      <c r="Y36" s="235">
        <f t="shared" si="7"/>
        <v>0</v>
      </c>
      <c r="Z36" s="235">
        <f t="shared" si="7"/>
        <v>0</v>
      </c>
      <c r="AA36" s="235">
        <f t="shared" si="7"/>
        <v>0</v>
      </c>
      <c r="AB36" s="235">
        <f t="shared" si="7"/>
        <v>0</v>
      </c>
      <c r="AC36" s="235" t="e">
        <f t="shared" si="7"/>
        <v>#N/A</v>
      </c>
      <c r="AE36" s="237"/>
      <c r="AF36" s="316">
        <f>INDEX('Precio Mayorista'!$E$27:$J$27,MATCH('Precios mayoristas efectivos'!AF$35,'Precio Mayorista'!$E$20:$J$20,0))</f>
        <v>2000000</v>
      </c>
      <c r="AG36" s="316">
        <f>INDEX('Precio Mayorista'!$E$27:$J$27,MATCH('Precios mayoristas efectivos'!AG$35,'Precio Mayorista'!$E$20:$J$20,0))</f>
        <v>2000000</v>
      </c>
      <c r="AH36" s="316">
        <f>INDEX('Precio Mayorista'!$E$27:$J$27,MATCH('Precios mayoristas efectivos'!AH$35,'Precio Mayorista'!$E$20:$J$20,0))</f>
        <v>2000000</v>
      </c>
      <c r="AI36" s="316">
        <f>INDEX('Precio Mayorista'!$E$27:$J$27,MATCH('Precios mayoristas efectivos'!AI$35,'Precio Mayorista'!$E$20:$J$20,0))</f>
        <v>2000000</v>
      </c>
      <c r="AJ36" s="316">
        <f>INDEX('Precio Mayorista'!$E$27:$J$27,MATCH('Precios mayoristas efectivos'!AJ$35,'Precio Mayorista'!$E$20:$J$20,0))</f>
        <v>2000000</v>
      </c>
      <c r="AK36" s="316">
        <f>INDEX('Precio Mayorista'!$E$27:$J$27,MATCH('Precios mayoristas efectivos'!AK$35,'Precio Mayorista'!$E$20:$J$20,0))</f>
        <v>0</v>
      </c>
      <c r="AM36" s="341"/>
      <c r="AN36" s="316">
        <f>INDEX('Precio Mayorista'!$D$63:$J$63,1,MATCH('Precio Mayorista'!E$24,'Precio Mayorista'!$D$29:$J$29,0))</f>
        <v>300000</v>
      </c>
      <c r="AO36" s="316">
        <f>INDEX('Precio Mayorista'!$D$63:$J$63,1,MATCH('Precio Mayorista'!F$24,'Precio Mayorista'!$D$29:$J$29,0))</f>
        <v>300000</v>
      </c>
      <c r="AP36" s="316">
        <f>INDEX('Precio Mayorista'!$D$63:$J$63,1,MATCH('Precio Mayorista'!G$24,'Precio Mayorista'!$D$29:$J$29,0))</f>
        <v>300000</v>
      </c>
      <c r="AQ36" s="316">
        <f>INDEX('Precio Mayorista'!$D$63:$J$63,1,MATCH('Precio Mayorista'!H$24,'Precio Mayorista'!$D$29:$J$29,0))</f>
        <v>300000</v>
      </c>
      <c r="AR36" s="316">
        <f>INDEX('Precio Mayorista'!$D$63:$J$63,1,MATCH('Precio Mayorista'!I$24,'Precio Mayorista'!$D$29:$J$29,0))</f>
        <v>300000</v>
      </c>
      <c r="AS36" s="316" t="e">
        <f>INDEX('Precio Mayorista'!$D$63:$J$63,1,MATCH('Precio Mayorista'!J$24,'Precio Mayorista'!$D$29:$J$29,0))</f>
        <v>#N/A</v>
      </c>
    </row>
    <row r="37" spans="1:45" ht="13" x14ac:dyDescent="0.3">
      <c r="F37" s="411"/>
      <c r="M37" s="202" t="s">
        <v>240</v>
      </c>
      <c r="N37" s="234">
        <f t="shared" si="6"/>
        <v>0</v>
      </c>
      <c r="O37" s="234">
        <f t="shared" si="6"/>
        <v>0</v>
      </c>
      <c r="P37" s="234">
        <f t="shared" si="6"/>
        <v>0</v>
      </c>
      <c r="Q37" s="234">
        <f t="shared" si="6"/>
        <v>2709240.4450895018</v>
      </c>
      <c r="R37" s="234">
        <f t="shared" si="6"/>
        <v>4545454.5454545459</v>
      </c>
      <c r="S37" s="234" t="e">
        <f t="shared" si="6"/>
        <v>#N/A</v>
      </c>
      <c r="W37" s="202" t="s">
        <v>240</v>
      </c>
      <c r="X37" s="316">
        <f t="shared" si="7"/>
        <v>0</v>
      </c>
      <c r="Y37" s="316">
        <f t="shared" si="7"/>
        <v>0</v>
      </c>
      <c r="Z37" s="316">
        <f t="shared" si="7"/>
        <v>0</v>
      </c>
      <c r="AA37" s="316">
        <f t="shared" si="7"/>
        <v>0</v>
      </c>
      <c r="AB37" s="316">
        <f t="shared" si="7"/>
        <v>0</v>
      </c>
      <c r="AC37" s="316" t="e">
        <f t="shared" si="7"/>
        <v>#N/A</v>
      </c>
      <c r="AE37" s="237"/>
      <c r="AF37" s="16"/>
      <c r="AG37" s="16"/>
      <c r="AH37" s="16"/>
      <c r="AI37" s="16"/>
      <c r="AJ37" s="16"/>
      <c r="AK37" s="16"/>
    </row>
    <row r="38" spans="1:45" ht="26" x14ac:dyDescent="0.25">
      <c r="M38" s="202" t="s">
        <v>241</v>
      </c>
      <c r="N38" s="234">
        <f>N$39*N55</f>
        <v>0</v>
      </c>
      <c r="O38" s="234">
        <f t="shared" si="6"/>
        <v>0</v>
      </c>
      <c r="P38" s="234">
        <f t="shared" si="6"/>
        <v>0</v>
      </c>
      <c r="Q38" s="234">
        <f t="shared" si="6"/>
        <v>774068698.59700048</v>
      </c>
      <c r="R38" s="234">
        <f t="shared" si="6"/>
        <v>757575757.5757575</v>
      </c>
      <c r="S38" s="234" t="e">
        <f t="shared" si="6"/>
        <v>#N/A</v>
      </c>
      <c r="W38" s="202" t="s">
        <v>241</v>
      </c>
      <c r="X38" s="316">
        <f t="shared" si="7"/>
        <v>0</v>
      </c>
      <c r="Y38" s="316">
        <f t="shared" si="7"/>
        <v>0</v>
      </c>
      <c r="Z38" s="316">
        <f t="shared" si="7"/>
        <v>0</v>
      </c>
      <c r="AA38" s="316">
        <f t="shared" si="7"/>
        <v>0</v>
      </c>
      <c r="AB38" s="316">
        <f t="shared" si="7"/>
        <v>0</v>
      </c>
      <c r="AC38" s="316" t="e">
        <f t="shared" si="7"/>
        <v>#N/A</v>
      </c>
    </row>
    <row r="39" spans="1:45" ht="13" x14ac:dyDescent="0.25">
      <c r="M39" s="202" t="s">
        <v>124</v>
      </c>
      <c r="N39" s="316">
        <f>INDEX('Precio Mayorista'!$D$35:$J$35,MATCH('Precio Mayorista'!E$24,'Precio Mayorista'!$D$29:$J$29,0))</f>
        <v>0</v>
      </c>
      <c r="O39" s="316">
        <f>INDEX('Precio Mayorista'!$D$35:$J$35,MATCH('Precio Mayorista'!F$24,'Precio Mayorista'!$D$29:$J$29,0))</f>
        <v>0</v>
      </c>
      <c r="P39" s="316">
        <f>INDEX('Precio Mayorista'!$D$35:$J$35,MATCH('Precio Mayorista'!G$24,'Precio Mayorista'!$D$29:$J$29,0))</f>
        <v>0</v>
      </c>
      <c r="Q39" s="316">
        <f>INDEX('Precio Mayorista'!$D$35:$J$35,MATCH('Precio Mayorista'!H$24,'Precio Mayorista'!$D$29:$J$29,0))</f>
        <v>800000000</v>
      </c>
      <c r="R39" s="316">
        <f>INDEX('Precio Mayorista'!$D$35:$J$35,MATCH('Precio Mayorista'!I$24,'Precio Mayorista'!$D$29:$J$29,0))</f>
        <v>800000000</v>
      </c>
      <c r="S39" s="316" t="e">
        <f>INDEX('Precio Mayorista'!$D$35:$J$35,MATCH('Precio Mayorista'!J$24,'Precio Mayorista'!$D$29:$J$29,0))</f>
        <v>#N/A</v>
      </c>
      <c r="W39" s="202" t="s">
        <v>124</v>
      </c>
      <c r="X39" s="316">
        <f>INDEX('Precio Mayorista'!$D$51:$J$51,MATCH('Precio Mayorista'!E$24,'Precio Mayorista'!$D$29:$J$29,0))</f>
        <v>0</v>
      </c>
      <c r="Y39" s="316">
        <f>INDEX('Precio Mayorista'!$D$51:$J$51,MATCH('Precio Mayorista'!F$24,'Precio Mayorista'!$D$29:$J$29,0))</f>
        <v>0</v>
      </c>
      <c r="Z39" s="316">
        <f>INDEX('Precio Mayorista'!$D$51:$J$51,MATCH('Precio Mayorista'!G$24,'Precio Mayorista'!$D$29:$J$29,0))</f>
        <v>0</v>
      </c>
      <c r="AA39" s="316">
        <f>INDEX('Precio Mayorista'!$D$51:$J$51,MATCH('Precio Mayorista'!H$24,'Precio Mayorista'!$D$29:$J$29,0))</f>
        <v>0</v>
      </c>
      <c r="AB39" s="316">
        <f>INDEX('Precio Mayorista'!$D$51:$J$51,MATCH('Precio Mayorista'!I$24,'Precio Mayorista'!$D$29:$J$29,0))</f>
        <v>0</v>
      </c>
      <c r="AC39" s="316" t="e">
        <f>INDEX('Precio Mayorista'!$D$51:$J$51,MATCH('Precio Mayorista'!J$24,'Precio Mayorista'!$D$29:$J$29,0))</f>
        <v>#N/A</v>
      </c>
    </row>
    <row r="40" spans="1:45" x14ac:dyDescent="0.25">
      <c r="A40" s="301"/>
      <c r="B40" s="301"/>
      <c r="C40" s="301"/>
      <c r="D40" s="301"/>
    </row>
    <row r="41" spans="1:45" ht="13" x14ac:dyDescent="0.3">
      <c r="L41" s="132"/>
    </row>
    <row r="42" spans="1:45" ht="13" x14ac:dyDescent="0.3">
      <c r="L42" s="132"/>
    </row>
    <row r="43" spans="1:45" ht="13" x14ac:dyDescent="0.3">
      <c r="L43" s="322"/>
      <c r="M43" s="300" t="s">
        <v>345</v>
      </c>
      <c r="N43" s="300"/>
      <c r="O43" s="300"/>
      <c r="P43" s="300"/>
      <c r="Q43" s="300"/>
      <c r="R43" s="300"/>
      <c r="S43" s="300"/>
      <c r="W43" s="300" t="s">
        <v>346</v>
      </c>
      <c r="X43" s="300"/>
      <c r="Y43" s="300"/>
      <c r="Z43" s="300"/>
      <c r="AA43" s="300"/>
      <c r="AB43" s="300"/>
      <c r="AC43" s="300"/>
      <c r="AE43" s="300" t="s">
        <v>347</v>
      </c>
      <c r="AF43" s="300"/>
      <c r="AG43" s="300"/>
      <c r="AH43" s="300"/>
      <c r="AI43" s="300"/>
      <c r="AJ43" s="300"/>
      <c r="AK43" s="300"/>
      <c r="AM43" s="300" t="s">
        <v>348</v>
      </c>
      <c r="AN43" s="300"/>
      <c r="AO43" s="300"/>
      <c r="AP43" s="300"/>
      <c r="AQ43" s="300"/>
      <c r="AR43" s="300"/>
      <c r="AS43" s="300"/>
    </row>
    <row r="44" spans="1:45" ht="13" x14ac:dyDescent="0.25">
      <c r="L44" s="322"/>
      <c r="X44" s="235"/>
      <c r="Y44" s="235"/>
      <c r="Z44" s="235"/>
      <c r="AA44" s="235"/>
      <c r="AB44" s="235"/>
      <c r="AC44" s="235"/>
    </row>
    <row r="45" spans="1:45" ht="13" x14ac:dyDescent="0.3">
      <c r="L45" s="322"/>
      <c r="M45" s="237" t="s">
        <v>293</v>
      </c>
      <c r="N45" s="16" t="s">
        <v>252</v>
      </c>
      <c r="O45" s="16" t="s">
        <v>253</v>
      </c>
      <c r="P45" s="16" t="s">
        <v>254</v>
      </c>
      <c r="Q45" s="16" t="s">
        <v>255</v>
      </c>
      <c r="R45" s="16" t="s">
        <v>256</v>
      </c>
      <c r="S45" s="16" t="s">
        <v>257</v>
      </c>
      <c r="W45" s="237" t="s">
        <v>259</v>
      </c>
      <c r="X45" s="339" t="s">
        <v>252</v>
      </c>
      <c r="Y45" s="339" t="s">
        <v>253</v>
      </c>
      <c r="Z45" s="339" t="s">
        <v>254</v>
      </c>
      <c r="AA45" s="339" t="s">
        <v>255</v>
      </c>
      <c r="AB45" s="339" t="s">
        <v>256</v>
      </c>
      <c r="AC45" s="339" t="s">
        <v>257</v>
      </c>
      <c r="AE45" s="237" t="s">
        <v>293</v>
      </c>
      <c r="AF45" s="16" t="s">
        <v>252</v>
      </c>
      <c r="AG45" s="16" t="s">
        <v>253</v>
      </c>
      <c r="AH45" s="16" t="s">
        <v>254</v>
      </c>
      <c r="AI45" s="16" t="s">
        <v>255</v>
      </c>
      <c r="AJ45" s="16" t="s">
        <v>256</v>
      </c>
      <c r="AK45" s="16" t="s">
        <v>257</v>
      </c>
      <c r="AM45" s="237" t="s">
        <v>259</v>
      </c>
      <c r="AN45" s="16" t="s">
        <v>252</v>
      </c>
      <c r="AO45" s="16" t="s">
        <v>253</v>
      </c>
      <c r="AP45" s="16" t="s">
        <v>254</v>
      </c>
      <c r="AQ45" s="16" t="s">
        <v>255</v>
      </c>
      <c r="AR45" s="16" t="s">
        <v>256</v>
      </c>
      <c r="AS45" s="16" t="s">
        <v>257</v>
      </c>
    </row>
    <row r="46" spans="1:45" ht="26" x14ac:dyDescent="0.3">
      <c r="M46" s="202" t="s">
        <v>239</v>
      </c>
      <c r="N46" s="337">
        <f t="shared" ref="N46:S48" si="8">IF((N26-N36)&lt;=0,0,N26-N36)</f>
        <v>30000000</v>
      </c>
      <c r="O46" s="337">
        <f t="shared" si="8"/>
        <v>26666666.666666668</v>
      </c>
      <c r="P46" s="337">
        <f t="shared" si="8"/>
        <v>23333333.333333332</v>
      </c>
      <c r="Q46" s="337">
        <f t="shared" si="8"/>
        <v>0</v>
      </c>
      <c r="R46" s="337">
        <f t="shared" si="8"/>
        <v>0</v>
      </c>
      <c r="S46" s="337" t="e">
        <f t="shared" si="8"/>
        <v>#N/A</v>
      </c>
      <c r="W46" s="202" t="s">
        <v>239</v>
      </c>
      <c r="X46" s="319">
        <f>N46*INDEX('Precio Mayorista'!$D$54:$J$56,MATCH($W46,'Precio Mayorista'!$C$54:$C$56,0),MATCH('Precio Mayorista'!E$24,'Precio Mayorista'!$D$29:$J$29,0))</f>
        <v>0</v>
      </c>
      <c r="Y46" s="319">
        <f>O46*INDEX('Precio Mayorista'!$D$54:$J$56,MATCH($W46,'Precio Mayorista'!$C$54:$C$56,0),MATCH('Precio Mayorista'!F$24,'Precio Mayorista'!$D$29:$J$29,0))</f>
        <v>0</v>
      </c>
      <c r="Z46" s="319">
        <f>P46*INDEX('Precio Mayorista'!$D$54:$J$56,MATCH($W46,'Precio Mayorista'!$C$54:$C$56,0),MATCH('Precio Mayorista'!G$24,'Precio Mayorista'!$D$29:$J$29,0))</f>
        <v>0</v>
      </c>
      <c r="AA46" s="319">
        <f>Q46*INDEX('Precio Mayorista'!$D$54:$J$56,MATCH($W46,'Precio Mayorista'!$C$54:$C$56,0),MATCH('Precio Mayorista'!H$24,'Precio Mayorista'!$D$29:$J$29,0))</f>
        <v>0</v>
      </c>
      <c r="AB46" s="319">
        <f>R46*INDEX('Precio Mayorista'!$D$54:$J$56,MATCH($W46,'Precio Mayorista'!$C$54:$C$56,0),MATCH('Precio Mayorista'!I$24,'Precio Mayorista'!$D$29:$J$29,0))</f>
        <v>0</v>
      </c>
      <c r="AC46" s="319" t="e">
        <f>S46*INDEX('Precio Mayorista'!$D$54:$J$56,MATCH($W46,'Precio Mayorista'!$C$54:$C$56,0),MATCH('Precio Mayorista'!J$24,'Precio Mayorista'!$D$29:$J$29,0))</f>
        <v>#N/A</v>
      </c>
      <c r="AE46" s="237"/>
      <c r="AF46" s="235">
        <f t="shared" ref="AF46:AK46" si="9">AF26-AF36</f>
        <v>-1000000</v>
      </c>
      <c r="AG46" s="235">
        <f t="shared" si="9"/>
        <v>-1100000</v>
      </c>
      <c r="AH46" s="235">
        <f t="shared" si="9"/>
        <v>-1200000</v>
      </c>
      <c r="AI46" s="235">
        <f t="shared" si="9"/>
        <v>-1300000</v>
      </c>
      <c r="AJ46" s="235">
        <f t="shared" si="9"/>
        <v>-1400000</v>
      </c>
      <c r="AK46" s="235">
        <f t="shared" si="9"/>
        <v>0</v>
      </c>
      <c r="AM46" s="237"/>
      <c r="AN46" s="319">
        <f>AF46*INDEX('Precio Mayorista'!$D$66:$J$66,MATCH('Precio Mayorista'!E24,'Precio Mayorista'!$D$29:$J$29,0))</f>
        <v>-3000000</v>
      </c>
      <c r="AO46" s="319">
        <f>AG46*INDEX('Precio Mayorista'!$D$66:$J$66,MATCH('Precio Mayorista'!F24,'Precio Mayorista'!$D$29:$J$29,0))</f>
        <v>-3300000</v>
      </c>
      <c r="AP46" s="319">
        <f>AH46*INDEX('Precio Mayorista'!$D$66:$J$66,MATCH('Precio Mayorista'!G24,'Precio Mayorista'!$D$29:$J$29,0))</f>
        <v>-3600000</v>
      </c>
      <c r="AQ46" s="319">
        <f>AI46*INDEX('Precio Mayorista'!$D$66:$J$66,MATCH('Precio Mayorista'!H24,'Precio Mayorista'!$D$29:$J$29,0))</f>
        <v>-3900000</v>
      </c>
      <c r="AR46" s="319">
        <f>AJ46*INDEX('Precio Mayorista'!$D$66:$J$66,MATCH('Precio Mayorista'!I24,'Precio Mayorista'!$D$29:$J$29,0))</f>
        <v>-4200000</v>
      </c>
      <c r="AS46" s="319" t="e">
        <f>AK46*INDEX('Precio Mayorista'!$D$66:$J$66,MATCH('Precio Mayorista'!J24,'Precio Mayorista'!$D$29:$J$29,0))</f>
        <v>#N/A</v>
      </c>
    </row>
    <row r="47" spans="1:45" ht="13" x14ac:dyDescent="0.25">
      <c r="M47" s="202" t="s">
        <v>240</v>
      </c>
      <c r="N47" s="337">
        <f t="shared" si="8"/>
        <v>3333333.3333333335</v>
      </c>
      <c r="O47" s="337">
        <f t="shared" si="8"/>
        <v>3000000</v>
      </c>
      <c r="P47" s="337">
        <f t="shared" si="8"/>
        <v>2666666.6666666665</v>
      </c>
      <c r="Q47" s="337">
        <f t="shared" si="8"/>
        <v>0</v>
      </c>
      <c r="R47" s="337">
        <f t="shared" si="8"/>
        <v>0</v>
      </c>
      <c r="S47" s="337" t="e">
        <f t="shared" si="8"/>
        <v>#N/A</v>
      </c>
      <c r="W47" s="202" t="s">
        <v>240</v>
      </c>
      <c r="X47" s="319">
        <f>N47*INDEX('Precio Mayorista'!$D$54:$J$56,MATCH($W47,'Precio Mayorista'!$C$54:$C$56,0),MATCH('Precio Mayorista'!E$24,'Precio Mayorista'!$D$29:$J$29,0))</f>
        <v>0</v>
      </c>
      <c r="Y47" s="319">
        <f>O47*INDEX('Precio Mayorista'!$D$54:$J$56,MATCH($W47,'Precio Mayorista'!$C$54:$C$56,0),MATCH('Precio Mayorista'!F$24,'Precio Mayorista'!$D$29:$J$29,0))</f>
        <v>0</v>
      </c>
      <c r="Z47" s="319">
        <f>P47*INDEX('Precio Mayorista'!$D$54:$J$56,MATCH($W47,'Precio Mayorista'!$C$54:$C$56,0),MATCH('Precio Mayorista'!G$24,'Precio Mayorista'!$D$29:$J$29,0))</f>
        <v>0</v>
      </c>
      <c r="AA47" s="319">
        <f>Q47*INDEX('Precio Mayorista'!$D$54:$J$56,MATCH($W47,'Precio Mayorista'!$C$54:$C$56,0),MATCH('Precio Mayorista'!H$24,'Precio Mayorista'!$D$29:$J$29,0))</f>
        <v>0</v>
      </c>
      <c r="AB47" s="319">
        <f>R47*INDEX('Precio Mayorista'!$D$54:$J$56,MATCH($W47,'Precio Mayorista'!$C$54:$C$56,0),MATCH('Precio Mayorista'!I$24,'Precio Mayorista'!$D$29:$J$29,0))</f>
        <v>0</v>
      </c>
      <c r="AC47" s="319" t="e">
        <f>S47*INDEX('Precio Mayorista'!$D$54:$J$56,MATCH($W47,'Precio Mayorista'!$C$54:$C$56,0),MATCH('Precio Mayorista'!J$24,'Precio Mayorista'!$D$29:$J$29,0))</f>
        <v>#N/A</v>
      </c>
    </row>
    <row r="48" spans="1:45" ht="26" x14ac:dyDescent="0.25">
      <c r="A48" s="15"/>
      <c r="B48" s="15"/>
      <c r="C48" s="15"/>
      <c r="D48" s="15"/>
      <c r="M48" s="202" t="s">
        <v>241</v>
      </c>
      <c r="N48" s="337">
        <f t="shared" si="8"/>
        <v>1666666666.6666667</v>
      </c>
      <c r="O48" s="337">
        <f t="shared" si="8"/>
        <v>1333333333.3333333</v>
      </c>
      <c r="P48" s="337">
        <f t="shared" si="8"/>
        <v>1000000000</v>
      </c>
      <c r="Q48" s="337">
        <f t="shared" si="8"/>
        <v>0</v>
      </c>
      <c r="R48" s="337">
        <f t="shared" si="8"/>
        <v>0</v>
      </c>
      <c r="S48" s="337" t="e">
        <f t="shared" si="8"/>
        <v>#N/A</v>
      </c>
      <c r="W48" s="202" t="s">
        <v>241</v>
      </c>
      <c r="X48" s="319">
        <f>N48*INDEX('Precio Mayorista'!$D$54:$J$56,MATCH($W48,'Precio Mayorista'!$C$54:$C$56,0),MATCH('Precio Mayorista'!E$24,'Precio Mayorista'!$D$29:$J$29,0))</f>
        <v>0</v>
      </c>
      <c r="Y48" s="319">
        <f>O48*INDEX('Precio Mayorista'!$D$54:$J$56,MATCH($W48,'Precio Mayorista'!$C$54:$C$56,0),MATCH('Precio Mayorista'!F$24,'Precio Mayorista'!$D$29:$J$29,0))</f>
        <v>0</v>
      </c>
      <c r="Z48" s="319">
        <f>P48*INDEX('Precio Mayorista'!$D$54:$J$56,MATCH($W48,'Precio Mayorista'!$C$54:$C$56,0),MATCH('Precio Mayorista'!G$24,'Precio Mayorista'!$D$29:$J$29,0))</f>
        <v>0</v>
      </c>
      <c r="AA48" s="319">
        <f>Q48*INDEX('Precio Mayorista'!$D$54:$J$56,MATCH($W48,'Precio Mayorista'!$C$54:$C$56,0),MATCH('Precio Mayorista'!H$24,'Precio Mayorista'!$D$29:$J$29,0))</f>
        <v>0</v>
      </c>
      <c r="AB48" s="319">
        <f>R48*INDEX('Precio Mayorista'!$D$54:$J$56,MATCH($W48,'Precio Mayorista'!$C$54:$C$56,0),MATCH('Precio Mayorista'!I$24,'Precio Mayorista'!$D$29:$J$29,0))</f>
        <v>0</v>
      </c>
      <c r="AC48" s="319" t="e">
        <f>S48*INDEX('Precio Mayorista'!$D$54:$J$56,MATCH($W48,'Precio Mayorista'!$C$54:$C$56,0),MATCH('Precio Mayorista'!J$24,'Precio Mayorista'!$D$29:$J$29,0))</f>
        <v>#N/A</v>
      </c>
    </row>
    <row r="49" spans="1:45" ht="13" x14ac:dyDescent="0.25">
      <c r="W49" s="202"/>
      <c r="X49" s="319"/>
      <c r="Y49" s="319"/>
      <c r="Z49" s="319"/>
      <c r="AA49" s="319"/>
      <c r="AB49" s="319"/>
      <c r="AC49" s="319"/>
    </row>
    <row r="50" spans="1:45" ht="13" x14ac:dyDescent="0.3">
      <c r="M50" s="300" t="s">
        <v>349</v>
      </c>
      <c r="N50" s="299"/>
      <c r="O50" s="299"/>
      <c r="P50" s="299"/>
      <c r="Q50" s="299"/>
      <c r="R50" s="299"/>
      <c r="S50" s="299"/>
      <c r="W50" s="300" t="s">
        <v>349</v>
      </c>
      <c r="X50" s="299"/>
      <c r="Y50" s="299"/>
      <c r="Z50" s="299"/>
      <c r="AA50" s="299"/>
      <c r="AB50" s="299"/>
      <c r="AC50" s="299"/>
    </row>
    <row r="52" spans="1:45" ht="13" x14ac:dyDescent="0.3">
      <c r="M52" s="237" t="s">
        <v>139</v>
      </c>
      <c r="N52" s="16" t="s">
        <v>252</v>
      </c>
      <c r="O52" s="16" t="s">
        <v>253</v>
      </c>
      <c r="P52" s="16" t="s">
        <v>254</v>
      </c>
      <c r="Q52" s="16" t="s">
        <v>255</v>
      </c>
      <c r="R52" s="16" t="s">
        <v>256</v>
      </c>
      <c r="S52" s="16" t="s">
        <v>257</v>
      </c>
      <c r="W52" s="237" t="s">
        <v>139</v>
      </c>
      <c r="X52" s="16" t="s">
        <v>252</v>
      </c>
      <c r="Y52" s="16" t="s">
        <v>253</v>
      </c>
      <c r="Z52" s="16" t="s">
        <v>254</v>
      </c>
      <c r="AA52" s="16" t="s">
        <v>255</v>
      </c>
      <c r="AB52" s="16" t="s">
        <v>256</v>
      </c>
      <c r="AC52" s="16" t="s">
        <v>257</v>
      </c>
    </row>
    <row r="53" spans="1:45" ht="26" x14ac:dyDescent="0.25">
      <c r="M53" s="202" t="s">
        <v>239</v>
      </c>
      <c r="N53" s="391">
        <f>N26/$N$56</f>
        <v>1.7647058823529412E-2</v>
      </c>
      <c r="O53" s="318">
        <f>O26/O$56</f>
        <v>1.9564685742235265E-2</v>
      </c>
      <c r="P53" s="318">
        <f>P26/P$56</f>
        <v>2.2742040285899934E-2</v>
      </c>
      <c r="Q53" s="318">
        <f>Q26/Q$56</f>
        <v>2.9027576197387519E-2</v>
      </c>
      <c r="R53" s="318">
        <f>R26/R$56</f>
        <v>4.7348484848484848E-2</v>
      </c>
      <c r="S53" s="318" t="e">
        <f>S26/S$56</f>
        <v>#DIV/0!</v>
      </c>
      <c r="W53" s="202" t="s">
        <v>239</v>
      </c>
      <c r="X53" s="391">
        <f>N26/$N$56</f>
        <v>1.7647058823529412E-2</v>
      </c>
      <c r="Y53" s="318">
        <f t="shared" ref="Y53:AC55" si="10">O26/Y$56</f>
        <v>1.9564685742235265E-2</v>
      </c>
      <c r="Z53" s="318">
        <f t="shared" si="10"/>
        <v>2.2742040285899934E-2</v>
      </c>
      <c r="AA53" s="318">
        <f t="shared" si="10"/>
        <v>2.9027576197387519E-2</v>
      </c>
      <c r="AB53" s="318">
        <f t="shared" si="10"/>
        <v>4.7348484848484848E-2</v>
      </c>
      <c r="AC53" s="318" t="e">
        <f t="shared" si="10"/>
        <v>#DIV/0!</v>
      </c>
    </row>
    <row r="54" spans="1:45" ht="13" x14ac:dyDescent="0.25">
      <c r="M54" s="202" t="s">
        <v>240</v>
      </c>
      <c r="N54" s="391">
        <f>N27/$N$56</f>
        <v>1.9607843137254902E-3</v>
      </c>
      <c r="O54" s="318">
        <f t="shared" ref="O54:S55" si="11">O27/O$56</f>
        <v>2.2010271460014674E-3</v>
      </c>
      <c r="P54" s="318">
        <f t="shared" si="11"/>
        <v>2.5990903183885639E-3</v>
      </c>
      <c r="Q54" s="318">
        <f t="shared" si="11"/>
        <v>3.3865505563618775E-3</v>
      </c>
      <c r="R54" s="318">
        <f t="shared" si="11"/>
        <v>5.681818181818182E-3</v>
      </c>
      <c r="S54" s="318" t="e">
        <f t="shared" si="11"/>
        <v>#DIV/0!</v>
      </c>
      <c r="W54" s="202" t="s">
        <v>240</v>
      </c>
      <c r="X54" s="391">
        <f>N27/$N$56</f>
        <v>1.9607843137254902E-3</v>
      </c>
      <c r="Y54" s="318">
        <f t="shared" si="10"/>
        <v>2.2010271460014674E-3</v>
      </c>
      <c r="Z54" s="318">
        <f t="shared" si="10"/>
        <v>2.5990903183885639E-3</v>
      </c>
      <c r="AA54" s="318">
        <f t="shared" si="10"/>
        <v>3.3865505563618775E-3</v>
      </c>
      <c r="AB54" s="318">
        <f t="shared" si="10"/>
        <v>5.681818181818182E-3</v>
      </c>
      <c r="AC54" s="318" t="e">
        <f t="shared" si="10"/>
        <v>#DIV/0!</v>
      </c>
    </row>
    <row r="55" spans="1:45" ht="26" x14ac:dyDescent="0.25">
      <c r="A55" s="15"/>
      <c r="B55" s="15"/>
      <c r="C55" s="15"/>
      <c r="D55" s="15"/>
      <c r="M55" s="202" t="s">
        <v>241</v>
      </c>
      <c r="N55" s="391">
        <f>N28/$N$56</f>
        <v>0.98039215686274517</v>
      </c>
      <c r="O55" s="318">
        <f t="shared" si="11"/>
        <v>0.97823428711176319</v>
      </c>
      <c r="P55" s="318">
        <f t="shared" si="11"/>
        <v>0.97465886939571145</v>
      </c>
      <c r="Q55" s="318">
        <f t="shared" si="11"/>
        <v>0.96758587324625056</v>
      </c>
      <c r="R55" s="318">
        <f t="shared" si="11"/>
        <v>0.94696969696969691</v>
      </c>
      <c r="S55" s="318" t="e">
        <f t="shared" si="11"/>
        <v>#DIV/0!</v>
      </c>
      <c r="W55" s="202" t="s">
        <v>241</v>
      </c>
      <c r="X55" s="391">
        <f>N28/$N$56</f>
        <v>0.98039215686274517</v>
      </c>
      <c r="Y55" s="318">
        <f t="shared" si="10"/>
        <v>0.97823428711176319</v>
      </c>
      <c r="Z55" s="318">
        <f t="shared" si="10"/>
        <v>0.97465886939571145</v>
      </c>
      <c r="AA55" s="318">
        <f t="shared" si="10"/>
        <v>0.96758587324625056</v>
      </c>
      <c r="AB55" s="318">
        <f t="shared" si="10"/>
        <v>0.94696969696969691</v>
      </c>
      <c r="AC55" s="318" t="e">
        <f t="shared" si="10"/>
        <v>#DIV/0!</v>
      </c>
    </row>
    <row r="56" spans="1:45" ht="13" x14ac:dyDescent="0.25">
      <c r="M56" s="202" t="s">
        <v>124</v>
      </c>
      <c r="N56" s="316">
        <f t="shared" ref="N56:S56" si="12">SUM(N26:N28)</f>
        <v>1700000000</v>
      </c>
      <c r="O56" s="316">
        <f t="shared" si="12"/>
        <v>1363000000</v>
      </c>
      <c r="P56" s="316">
        <f t="shared" si="12"/>
        <v>1026000000</v>
      </c>
      <c r="Q56" s="316">
        <f t="shared" si="12"/>
        <v>689000000</v>
      </c>
      <c r="R56" s="316">
        <f t="shared" si="12"/>
        <v>352000000</v>
      </c>
      <c r="S56" s="316">
        <f t="shared" si="12"/>
        <v>0</v>
      </c>
      <c r="W56" s="202" t="s">
        <v>124</v>
      </c>
      <c r="X56" s="316">
        <f t="shared" ref="X56:AC56" si="13">SUM(N26:N28)</f>
        <v>1700000000</v>
      </c>
      <c r="Y56" s="316">
        <f t="shared" si="13"/>
        <v>1363000000</v>
      </c>
      <c r="Z56" s="316">
        <f t="shared" si="13"/>
        <v>1026000000</v>
      </c>
      <c r="AA56" s="316">
        <f t="shared" si="13"/>
        <v>689000000</v>
      </c>
      <c r="AB56" s="316">
        <f t="shared" si="13"/>
        <v>352000000</v>
      </c>
      <c r="AC56" s="316">
        <f t="shared" si="13"/>
        <v>0</v>
      </c>
    </row>
    <row r="57" spans="1:45" ht="13" x14ac:dyDescent="0.3">
      <c r="M57" s="73" t="s">
        <v>42</v>
      </c>
      <c r="N57" t="b">
        <f t="shared" ref="N57:S57" si="14">SUM(N53:N55)=1</f>
        <v>1</v>
      </c>
      <c r="O57" t="b">
        <f t="shared" si="14"/>
        <v>1</v>
      </c>
      <c r="P57" t="b">
        <f t="shared" si="14"/>
        <v>1</v>
      </c>
      <c r="Q57" t="b">
        <f t="shared" si="14"/>
        <v>1</v>
      </c>
      <c r="R57" t="b">
        <f t="shared" si="14"/>
        <v>1</v>
      </c>
      <c r="S57" t="e">
        <f t="shared" si="14"/>
        <v>#DIV/0!</v>
      </c>
      <c r="W57" s="73" t="s">
        <v>42</v>
      </c>
      <c r="X57" t="b">
        <f t="shared" ref="X57:AC57" si="15">SUM(X53:X55)=1</f>
        <v>1</v>
      </c>
      <c r="Y57" t="b">
        <f t="shared" si="15"/>
        <v>1</v>
      </c>
      <c r="Z57" t="b">
        <f t="shared" si="15"/>
        <v>1</v>
      </c>
      <c r="AA57" t="b">
        <f t="shared" si="15"/>
        <v>1</v>
      </c>
      <c r="AB57" t="b">
        <f t="shared" si="15"/>
        <v>1</v>
      </c>
      <c r="AC57" t="e">
        <f t="shared" si="15"/>
        <v>#DIV/0!</v>
      </c>
    </row>
    <row r="59" spans="1:45" ht="13" x14ac:dyDescent="0.25">
      <c r="M59" s="324" t="s">
        <v>350</v>
      </c>
      <c r="N59" s="325"/>
      <c r="P59" s="325"/>
      <c r="Q59" s="325"/>
      <c r="R59" s="326"/>
      <c r="W59" s="324" t="s">
        <v>350</v>
      </c>
      <c r="X59" s="325"/>
      <c r="Z59" s="325"/>
      <c r="AA59" s="325"/>
      <c r="AB59" s="326"/>
    </row>
    <row r="62" spans="1:45" s="170" customFormat="1" ht="12" customHeight="1" x14ac:dyDescent="0.25">
      <c r="B62" s="166" t="str">
        <f>'Hoja Auxiliar'!$B$34</f>
        <v>Compromiso de pago</v>
      </c>
      <c r="F62" s="167"/>
      <c r="G62" s="168"/>
      <c r="H62" s="169"/>
      <c r="I62" s="169"/>
      <c r="J62" s="169"/>
    </row>
    <row r="63" spans="1:45" ht="13" thickBot="1" x14ac:dyDescent="0.3"/>
    <row r="64" spans="1:45" ht="13" x14ac:dyDescent="0.3">
      <c r="B64" s="344" t="s">
        <v>335</v>
      </c>
      <c r="C64" s="345"/>
      <c r="E64" s="300" t="s">
        <v>336</v>
      </c>
      <c r="F64" s="299"/>
      <c r="G64" s="299"/>
      <c r="H64" s="299"/>
      <c r="I64" s="299"/>
      <c r="J64" s="299"/>
      <c r="K64" s="299"/>
      <c r="M64" s="300" t="s">
        <v>337</v>
      </c>
      <c r="N64" s="299"/>
      <c r="O64" s="299"/>
      <c r="P64" s="299"/>
      <c r="Q64" s="299"/>
      <c r="R64" s="299"/>
      <c r="S64" s="299"/>
      <c r="W64" s="300" t="s">
        <v>338</v>
      </c>
      <c r="X64" s="299"/>
      <c r="Y64" s="299"/>
      <c r="Z64" s="299"/>
      <c r="AA64" s="299"/>
      <c r="AB64" s="299"/>
      <c r="AC64" s="299"/>
      <c r="AE64" s="300" t="s">
        <v>339</v>
      </c>
      <c r="AF64" s="300"/>
      <c r="AG64" s="300"/>
      <c r="AH64" s="300"/>
      <c r="AI64" s="300"/>
      <c r="AJ64" s="300"/>
      <c r="AK64" s="300"/>
      <c r="AM64" s="300" t="s">
        <v>340</v>
      </c>
      <c r="AN64" s="300"/>
      <c r="AO64" s="300"/>
      <c r="AP64" s="300"/>
      <c r="AQ64" s="300"/>
      <c r="AR64" s="300"/>
      <c r="AS64" s="300"/>
    </row>
    <row r="65" spans="1:45" ht="12" customHeight="1" x14ac:dyDescent="0.25">
      <c r="B65" s="346"/>
      <c r="C65" s="347"/>
    </row>
    <row r="66" spans="1:45" ht="12" customHeight="1" x14ac:dyDescent="0.3">
      <c r="B66" s="348" t="s">
        <v>233</v>
      </c>
      <c r="C66" s="347"/>
      <c r="E66" s="300" t="s">
        <v>233</v>
      </c>
      <c r="M66" s="237" t="s">
        <v>293</v>
      </c>
      <c r="N66" s="16" t="s">
        <v>252</v>
      </c>
      <c r="O66" s="16" t="s">
        <v>253</v>
      </c>
      <c r="P66" s="16" t="s">
        <v>254</v>
      </c>
      <c r="Q66" s="16" t="s">
        <v>255</v>
      </c>
      <c r="R66" s="16" t="s">
        <v>256</v>
      </c>
      <c r="S66" s="16" t="s">
        <v>257</v>
      </c>
      <c r="W66" s="237" t="s">
        <v>259</v>
      </c>
      <c r="X66" s="16" t="s">
        <v>252</v>
      </c>
      <c r="Y66" s="16" t="s">
        <v>253</v>
      </c>
      <c r="Z66" s="16" t="s">
        <v>254</v>
      </c>
      <c r="AA66" s="16" t="s">
        <v>255</v>
      </c>
      <c r="AB66" s="16" t="s">
        <v>256</v>
      </c>
      <c r="AC66" s="16" t="s">
        <v>257</v>
      </c>
      <c r="AE66" s="237" t="s">
        <v>293</v>
      </c>
      <c r="AF66" s="16" t="s">
        <v>252</v>
      </c>
      <c r="AG66" s="16" t="s">
        <v>253</v>
      </c>
      <c r="AH66" s="16" t="s">
        <v>254</v>
      </c>
      <c r="AI66" s="16" t="s">
        <v>255</v>
      </c>
      <c r="AJ66" s="16" t="s">
        <v>256</v>
      </c>
      <c r="AK66" s="16" t="s">
        <v>257</v>
      </c>
      <c r="AM66" s="237" t="s">
        <v>259</v>
      </c>
      <c r="AN66" s="16" t="s">
        <v>252</v>
      </c>
      <c r="AO66" s="16" t="s">
        <v>253</v>
      </c>
      <c r="AP66" s="16" t="s">
        <v>254</v>
      </c>
      <c r="AQ66" s="16" t="s">
        <v>255</v>
      </c>
      <c r="AR66" s="16" t="s">
        <v>256</v>
      </c>
      <c r="AS66" s="16" t="s">
        <v>257</v>
      </c>
    </row>
    <row r="67" spans="1:45" ht="12" customHeight="1" x14ac:dyDescent="0.3">
      <c r="B67" s="349" t="s">
        <v>259</v>
      </c>
      <c r="C67" s="347"/>
      <c r="E67" s="237" t="s">
        <v>259</v>
      </c>
      <c r="F67" s="16" t="s">
        <v>252</v>
      </c>
      <c r="G67" s="16" t="s">
        <v>253</v>
      </c>
      <c r="H67" s="16" t="s">
        <v>254</v>
      </c>
      <c r="I67" s="16" t="s">
        <v>255</v>
      </c>
      <c r="J67" s="16" t="s">
        <v>256</v>
      </c>
      <c r="K67" s="16" t="s">
        <v>257</v>
      </c>
      <c r="M67" s="202" t="s">
        <v>239</v>
      </c>
      <c r="N67" s="235">
        <f>INDEX('Informacion del AEP'!$F$120:$K$128,MATCH('Precios mayoristas efectivos'!$M67,'Informacion del AEP'!$B$120:$B$128,0),MATCH('Precios mayoristas efectivos'!N$66,'Informacion del AEP'!$F$118:$K$118,0))/3</f>
        <v>30000000</v>
      </c>
      <c r="O67" s="235">
        <f>INDEX('Informacion del AEP'!$F$120:$K$128,MATCH('Precios mayoristas efectivos'!$M67,'Informacion del AEP'!$B$120:$B$128,0),MATCH('Precios mayoristas efectivos'!O$66,'Informacion del AEP'!$F$118:$K$118,0))/3</f>
        <v>26666666.666666668</v>
      </c>
      <c r="P67" s="235">
        <f>INDEX('Informacion del AEP'!$F$120:$K$128,MATCH('Precios mayoristas efectivos'!$M67,'Informacion del AEP'!$B$120:$B$128,0),MATCH('Precios mayoristas efectivos'!P$66,'Informacion del AEP'!$F$118:$K$118,0))/3</f>
        <v>23333333.333333332</v>
      </c>
      <c r="Q67" s="235">
        <f>INDEX('Informacion del AEP'!$F$120:$K$128,MATCH('Precios mayoristas efectivos'!$M67,'Informacion del AEP'!$B$120:$B$128,0),MATCH('Precios mayoristas efectivos'!Q$66,'Informacion del AEP'!$F$118:$K$118,0))/3</f>
        <v>20000000</v>
      </c>
      <c r="R67" s="235">
        <f>INDEX('Informacion del AEP'!$F$120:$K$128,MATCH('Precios mayoristas efectivos'!$M67,'Informacion del AEP'!$B$120:$B$128,0),MATCH('Precios mayoristas efectivos'!R$66,'Informacion del AEP'!$F$118:$K$118,0))/3</f>
        <v>16666666.666666666</v>
      </c>
      <c r="S67" s="235">
        <f>INDEX('Informacion del AEP'!$F$120:$K$128,MATCH('Precios mayoristas efectivos'!$M67,'Informacion del AEP'!$B$120:$B$128,0),MATCH('Precios mayoristas efectivos'!S$66,'Informacion del AEP'!$F$118:$K$118,0))/3</f>
        <v>0</v>
      </c>
      <c r="T67" s="16"/>
      <c r="U67" s="16"/>
      <c r="V67" s="16"/>
      <c r="W67" s="202" t="s">
        <v>239</v>
      </c>
      <c r="X67" s="329">
        <f t="shared" ref="X67:AC69" si="16">IF(X$80&gt;=X$89,X77,X86)</f>
        <v>0</v>
      </c>
      <c r="Y67" s="329">
        <f t="shared" si="16"/>
        <v>0</v>
      </c>
      <c r="Z67" s="329">
        <f t="shared" si="16"/>
        <v>0</v>
      </c>
      <c r="AA67" s="329">
        <f t="shared" si="16"/>
        <v>0</v>
      </c>
      <c r="AB67" s="329">
        <f t="shared" si="16"/>
        <v>0</v>
      </c>
      <c r="AC67" s="329" t="e">
        <f t="shared" si="16"/>
        <v>#N/A</v>
      </c>
      <c r="AF67" s="316">
        <f>INDEX('Precio Mayorista'!$E$26:$J$26,MATCH('Precios mayoristas efectivos'!AF$66,'Precio Mayorista'!$E$20:$J$20,0))</f>
        <v>1000000</v>
      </c>
      <c r="AG67" s="316">
        <f>INDEX('Precio Mayorista'!$E$26:$J$26,MATCH('Precios mayoristas efectivos'!AG$66,'Precio Mayorista'!$E$20:$J$20,0))</f>
        <v>900000</v>
      </c>
      <c r="AH67" s="316">
        <f>INDEX('Precio Mayorista'!$E$26:$J$26,MATCH('Precios mayoristas efectivos'!AH$66,'Precio Mayorista'!$E$20:$J$20,0))</f>
        <v>800000</v>
      </c>
      <c r="AI67" s="316">
        <f>INDEX('Precio Mayorista'!$E$26:$J$26,MATCH('Precios mayoristas efectivos'!AI$66,'Precio Mayorista'!$E$20:$J$20,0))</f>
        <v>700000</v>
      </c>
      <c r="AJ67" s="316">
        <f>INDEX('Precio Mayorista'!$E$26:$J$26,MATCH('Precios mayoristas efectivos'!AJ$66,'Precio Mayorista'!$E$20:$J$20,0))</f>
        <v>600000</v>
      </c>
      <c r="AK67" s="316">
        <f>INDEX('Precio Mayorista'!$E$26:$J$26,MATCH('Precios mayoristas efectivos'!AK$66,'Precio Mayorista'!$E$20:$J$20,0))</f>
        <v>0</v>
      </c>
      <c r="AM67" s="202"/>
      <c r="AN67" s="235">
        <f t="shared" ref="AN67:AS67" si="17">AN77+AN86</f>
        <v>-3000000</v>
      </c>
      <c r="AO67" s="235">
        <f t="shared" si="17"/>
        <v>-3300000</v>
      </c>
      <c r="AP67" s="235">
        <f t="shared" si="17"/>
        <v>-3600000</v>
      </c>
      <c r="AQ67" s="235">
        <f t="shared" si="17"/>
        <v>-3900000</v>
      </c>
      <c r="AR67" s="235">
        <f t="shared" si="17"/>
        <v>-4200000</v>
      </c>
      <c r="AS67" s="235">
        <f t="shared" si="17"/>
        <v>0</v>
      </c>
    </row>
    <row r="68" spans="1:45" ht="12" customHeight="1" x14ac:dyDescent="0.3">
      <c r="B68" s="350" t="s">
        <v>239</v>
      </c>
      <c r="C68" s="389">
        <f>IF('Precio Mayorista'!$D$15=6,SUMPRODUCT(F68:K68,N67:S67)/SUM(N67:S67),IF('Precio Mayorista'!$D$15=5,SUMPRODUCT(F68:J68,N67:R67)/SUM(N67:R67),IF('Precio Mayorista'!$D$15=4,SUMPRODUCT(F68:I68,N67:Q67)/SUM(N67:Q67))))</f>
        <v>0</v>
      </c>
      <c r="E68" s="202" t="s">
        <v>239</v>
      </c>
      <c r="F68" s="360">
        <f t="shared" ref="F68:K70" si="18">X67/N67</f>
        <v>0</v>
      </c>
      <c r="G68" s="360">
        <f t="shared" si="18"/>
        <v>0</v>
      </c>
      <c r="H68" s="360">
        <f t="shared" si="18"/>
        <v>0</v>
      </c>
      <c r="I68" s="360">
        <f t="shared" si="18"/>
        <v>0</v>
      </c>
      <c r="J68" s="360">
        <f t="shared" si="18"/>
        <v>0</v>
      </c>
      <c r="K68" s="360" t="e">
        <f t="shared" si="18"/>
        <v>#N/A</v>
      </c>
      <c r="M68" s="202" t="s">
        <v>240</v>
      </c>
      <c r="N68" s="235">
        <f>INDEX('Informacion del AEP'!$F$120:$K$128,MATCH('Precios mayoristas efectivos'!$M68,'Informacion del AEP'!$B$120:$B$128,0),MATCH('Precios mayoristas efectivos'!N$66,'Informacion del AEP'!$F$118:$K$118,0))/3</f>
        <v>3333333.3333333335</v>
      </c>
      <c r="O68" s="235">
        <f>INDEX('Informacion del AEP'!$F$120:$K$128,MATCH('Precios mayoristas efectivos'!$M68,'Informacion del AEP'!$B$120:$B$128,0),MATCH('Precios mayoristas efectivos'!O$66,'Informacion del AEP'!$F$118:$K$118,0))/3</f>
        <v>3000000</v>
      </c>
      <c r="P68" s="235">
        <f>INDEX('Informacion del AEP'!$F$120:$K$128,MATCH('Precios mayoristas efectivos'!$M68,'Informacion del AEP'!$B$120:$B$128,0),MATCH('Precios mayoristas efectivos'!P$66,'Informacion del AEP'!$F$118:$K$118,0))/3</f>
        <v>2666666.6666666665</v>
      </c>
      <c r="Q68" s="235">
        <f>INDEX('Informacion del AEP'!$F$120:$K$128,MATCH('Precios mayoristas efectivos'!$M68,'Informacion del AEP'!$B$120:$B$128,0),MATCH('Precios mayoristas efectivos'!Q$66,'Informacion del AEP'!$F$118:$K$118,0))/3</f>
        <v>2333333.3333333335</v>
      </c>
      <c r="R68" s="235">
        <f>INDEX('Informacion del AEP'!$F$120:$K$128,MATCH('Precios mayoristas efectivos'!$M68,'Informacion del AEP'!$B$120:$B$128,0),MATCH('Precios mayoristas efectivos'!R$66,'Informacion del AEP'!$F$118:$K$118,0))/3</f>
        <v>2000000</v>
      </c>
      <c r="S68" s="235">
        <f>INDEX('Informacion del AEP'!$F$120:$K$128,MATCH('Precios mayoristas efectivos'!$M68,'Informacion del AEP'!$B$120:$B$128,0),MATCH('Precios mayoristas efectivos'!S$66,'Informacion del AEP'!$F$118:$K$118,0))/3</f>
        <v>0</v>
      </c>
      <c r="W68" s="202" t="s">
        <v>240</v>
      </c>
      <c r="X68" s="329">
        <f t="shared" si="16"/>
        <v>0</v>
      </c>
      <c r="Y68" s="329">
        <f t="shared" si="16"/>
        <v>0</v>
      </c>
      <c r="Z68" s="329">
        <f t="shared" si="16"/>
        <v>0</v>
      </c>
      <c r="AA68" s="329">
        <f t="shared" si="16"/>
        <v>0</v>
      </c>
      <c r="AB68" s="329">
        <f t="shared" si="16"/>
        <v>0</v>
      </c>
      <c r="AC68" s="329" t="e">
        <f t="shared" si="16"/>
        <v>#N/A</v>
      </c>
      <c r="AF68" s="16"/>
    </row>
    <row r="69" spans="1:45" ht="12" customHeight="1" x14ac:dyDescent="0.3">
      <c r="B69" s="350" t="s">
        <v>240</v>
      </c>
      <c r="C69" s="351">
        <f>IF('Precio Mayorista'!$D$15=6,SUMPRODUCT(F69:K69,N68:S68)/SUM(N68:S68),IF('Precio Mayorista'!$D$15=5,SUMPRODUCT(F69:J69,N68:R68)/SUM(N68:R68),IF('Precio Mayorista'!$D$15=4,SUMPRODUCT(F69:I69,N68:Q68)/SUM(N68:Q68))))</f>
        <v>0</v>
      </c>
      <c r="E69" s="202" t="s">
        <v>240</v>
      </c>
      <c r="F69" s="360">
        <f t="shared" si="18"/>
        <v>0</v>
      </c>
      <c r="G69" s="360">
        <f t="shared" si="18"/>
        <v>0</v>
      </c>
      <c r="H69" s="360">
        <f t="shared" si="18"/>
        <v>0</v>
      </c>
      <c r="I69" s="360">
        <f t="shared" si="18"/>
        <v>0</v>
      </c>
      <c r="J69" s="360">
        <f t="shared" si="18"/>
        <v>0</v>
      </c>
      <c r="K69" s="360" t="e">
        <f t="shared" si="18"/>
        <v>#N/A</v>
      </c>
      <c r="M69" s="202" t="s">
        <v>241</v>
      </c>
      <c r="N69" s="235">
        <f>INDEX('Informacion del AEP'!$F$120:$K$128,MATCH('Precios mayoristas efectivos'!$M69,'Informacion del AEP'!$B$120:$B$128,0),MATCH('Precios mayoristas efectivos'!N$66,'Informacion del AEP'!$F$118:$K$118,0))/3</f>
        <v>1666666666.6666667</v>
      </c>
      <c r="O69" s="235">
        <f>INDEX('Informacion del AEP'!$F$120:$K$128,MATCH('Precios mayoristas efectivos'!$M69,'Informacion del AEP'!$B$120:$B$128,0),MATCH('Precios mayoristas efectivos'!O$66,'Informacion del AEP'!$F$118:$K$118,0))/3</f>
        <v>1333333333.3333333</v>
      </c>
      <c r="P69" s="235">
        <f>INDEX('Informacion del AEP'!$F$120:$K$128,MATCH('Precios mayoristas efectivos'!$M69,'Informacion del AEP'!$B$120:$B$128,0),MATCH('Precios mayoristas efectivos'!P$66,'Informacion del AEP'!$F$118:$K$118,0))/3</f>
        <v>1000000000</v>
      </c>
      <c r="Q69" s="235">
        <f>INDEX('Informacion del AEP'!$F$120:$K$128,MATCH('Precios mayoristas efectivos'!$M69,'Informacion del AEP'!$B$120:$B$128,0),MATCH('Precios mayoristas efectivos'!Q$66,'Informacion del AEP'!$F$118:$K$118,0))/3</f>
        <v>666666666.66666663</v>
      </c>
      <c r="R69" s="235">
        <f>INDEX('Informacion del AEP'!$F$120:$K$128,MATCH('Precios mayoristas efectivos'!$M69,'Informacion del AEP'!$B$120:$B$128,0),MATCH('Precios mayoristas efectivos'!R$66,'Informacion del AEP'!$F$118:$K$118,0))/3</f>
        <v>333333333.33333331</v>
      </c>
      <c r="S69" s="235">
        <f>INDEX('Informacion del AEP'!$F$120:$K$128,MATCH('Precios mayoristas efectivos'!$M69,'Informacion del AEP'!$B$120:$B$128,0),MATCH('Precios mayoristas efectivos'!S$66,'Informacion del AEP'!$F$118:$K$118,0))/3</f>
        <v>0</v>
      </c>
      <c r="W69" s="202" t="s">
        <v>241</v>
      </c>
      <c r="X69" s="329">
        <f t="shared" si="16"/>
        <v>0</v>
      </c>
      <c r="Y69" s="329">
        <f t="shared" si="16"/>
        <v>0</v>
      </c>
      <c r="Z69" s="329">
        <f t="shared" si="16"/>
        <v>0</v>
      </c>
      <c r="AA69" s="329">
        <f t="shared" si="16"/>
        <v>0</v>
      </c>
      <c r="AB69" s="329">
        <f t="shared" si="16"/>
        <v>0</v>
      </c>
      <c r="AC69" s="329" t="e">
        <f t="shared" si="16"/>
        <v>#N/A</v>
      </c>
      <c r="AE69" s="16"/>
    </row>
    <row r="70" spans="1:45" ht="12" customHeight="1" x14ac:dyDescent="0.25">
      <c r="B70" s="350" t="s">
        <v>241</v>
      </c>
      <c r="C70" s="351">
        <f>IF('Precio Mayorista'!$D$15=6,SUMPRODUCT(F70:K70,N69:S69)/SUM(N69:S69),IF('Precio Mayorista'!$D$15=5,SUMPRODUCT(F70:J70,N69:R69)/SUM(N69:R69),IF('Precio Mayorista'!$D$15=4,SUMPRODUCT(F70:I70,N69:Q69)/SUM(N69:Q69))))</f>
        <v>0</v>
      </c>
      <c r="E70" s="202" t="s">
        <v>241</v>
      </c>
      <c r="F70" s="360">
        <f t="shared" si="18"/>
        <v>0</v>
      </c>
      <c r="G70" s="360">
        <f t="shared" si="18"/>
        <v>0</v>
      </c>
      <c r="H70" s="360">
        <f t="shared" si="18"/>
        <v>0</v>
      </c>
      <c r="I70" s="360">
        <f t="shared" si="18"/>
        <v>0</v>
      </c>
      <c r="J70" s="360">
        <f t="shared" si="18"/>
        <v>0</v>
      </c>
      <c r="K70" s="360" t="e">
        <f t="shared" si="18"/>
        <v>#N/A</v>
      </c>
      <c r="W70" s="202" t="s">
        <v>124</v>
      </c>
      <c r="X70">
        <f t="shared" ref="X70:AC70" si="19">SUM(X67:X69)</f>
        <v>0</v>
      </c>
      <c r="Y70">
        <f t="shared" si="19"/>
        <v>0</v>
      </c>
      <c r="Z70">
        <f t="shared" si="19"/>
        <v>0</v>
      </c>
      <c r="AA70">
        <f t="shared" si="19"/>
        <v>0</v>
      </c>
      <c r="AB70">
        <f t="shared" si="19"/>
        <v>0</v>
      </c>
      <c r="AC70" t="e">
        <f t="shared" si="19"/>
        <v>#N/A</v>
      </c>
    </row>
    <row r="71" spans="1:45" ht="12" customHeight="1" x14ac:dyDescent="0.25">
      <c r="B71" s="346"/>
      <c r="C71" s="356"/>
      <c r="E71" s="202"/>
      <c r="F71" s="360"/>
      <c r="G71" s="360"/>
      <c r="H71" s="360"/>
      <c r="I71" s="360"/>
      <c r="J71" s="360"/>
      <c r="K71" s="360"/>
      <c r="M71" s="202"/>
    </row>
    <row r="72" spans="1:45" ht="12" customHeight="1" x14ac:dyDescent="0.25">
      <c r="B72" s="346"/>
      <c r="C72" s="347"/>
      <c r="E72" s="202"/>
      <c r="M72" s="202"/>
      <c r="W72" s="202"/>
    </row>
    <row r="73" spans="1:45" ht="12" customHeight="1" x14ac:dyDescent="0.3">
      <c r="B73" s="348" t="s">
        <v>113</v>
      </c>
      <c r="C73" s="347"/>
      <c r="E73" s="300" t="s">
        <v>113</v>
      </c>
      <c r="W73" s="202"/>
    </row>
    <row r="74" spans="1:45" ht="12" customHeight="1" thickBot="1" x14ac:dyDescent="0.35">
      <c r="B74" s="353" t="s">
        <v>259</v>
      </c>
      <c r="C74" s="354">
        <f>IF('Precio Mayorista'!$D$15=6,SUMPRODUCT(F75:K75,AF67:AK67)/SUM(AF67:AK67),IF('Precio Mayorista'!$D$15=5,SUMPRODUCT(F75:J75,AF67:AJ67)/SUM(AF67:AJ67),IF('Precio Mayorista'!$D$15=4,SUMPRODUCT(F75:I75,AF67:AI67)/SUM(AF67:AI67))))</f>
        <v>-4.5</v>
      </c>
      <c r="E74" s="237" t="s">
        <v>259</v>
      </c>
      <c r="F74" s="16" t="s">
        <v>252</v>
      </c>
      <c r="G74" s="16" t="s">
        <v>253</v>
      </c>
      <c r="H74" s="16" t="s">
        <v>254</v>
      </c>
      <c r="I74" s="16" t="s">
        <v>255</v>
      </c>
      <c r="J74" s="16" t="s">
        <v>256</v>
      </c>
      <c r="K74" s="16" t="s">
        <v>257</v>
      </c>
      <c r="M74" s="300" t="s">
        <v>349</v>
      </c>
      <c r="N74" s="300"/>
      <c r="O74" s="300"/>
      <c r="P74" s="300"/>
      <c r="Q74" s="300"/>
      <c r="R74" s="300"/>
      <c r="S74" s="300"/>
      <c r="T74" s="16"/>
      <c r="U74" s="16"/>
      <c r="V74" s="16"/>
      <c r="W74" s="300" t="s">
        <v>351</v>
      </c>
      <c r="X74" s="300"/>
      <c r="Y74" s="300"/>
      <c r="Z74" s="300"/>
      <c r="AA74" s="300"/>
      <c r="AB74" s="300"/>
      <c r="AC74" s="300"/>
      <c r="AE74" s="300" t="s">
        <v>352</v>
      </c>
      <c r="AF74" s="300"/>
      <c r="AG74" s="300"/>
      <c r="AH74" s="300"/>
      <c r="AI74" s="300"/>
      <c r="AJ74" s="300"/>
      <c r="AK74" s="300"/>
      <c r="AM74" s="300" t="s">
        <v>353</v>
      </c>
      <c r="AN74" s="300"/>
      <c r="AO74" s="300"/>
      <c r="AP74" s="300"/>
      <c r="AQ74" s="300"/>
      <c r="AR74" s="300"/>
      <c r="AS74" s="300"/>
    </row>
    <row r="75" spans="1:45" ht="12" customHeight="1" x14ac:dyDescent="0.3">
      <c r="E75" s="237"/>
      <c r="F75" s="361">
        <f t="shared" ref="F75:K75" si="20">AN67/AF67</f>
        <v>-3</v>
      </c>
      <c r="G75" s="361">
        <f t="shared" si="20"/>
        <v>-3.6666666666666665</v>
      </c>
      <c r="H75" s="361">
        <f t="shared" si="20"/>
        <v>-4.5</v>
      </c>
      <c r="I75" s="361">
        <f t="shared" si="20"/>
        <v>-5.5714285714285712</v>
      </c>
      <c r="J75" s="361">
        <f t="shared" si="20"/>
        <v>-7</v>
      </c>
      <c r="K75" s="361" t="e">
        <f t="shared" si="20"/>
        <v>#DIV/0!</v>
      </c>
      <c r="AM75" s="16"/>
    </row>
    <row r="76" spans="1:45" ht="13" x14ac:dyDescent="0.3">
      <c r="M76" s="237" t="s">
        <v>139</v>
      </c>
      <c r="N76" s="16" t="s">
        <v>252</v>
      </c>
      <c r="O76" s="16" t="s">
        <v>253</v>
      </c>
      <c r="P76" s="16" t="s">
        <v>254</v>
      </c>
      <c r="Q76" s="16" t="s">
        <v>255</v>
      </c>
      <c r="R76" s="16" t="s">
        <v>256</v>
      </c>
      <c r="S76" s="16" t="s">
        <v>257</v>
      </c>
      <c r="W76" s="237" t="s">
        <v>259</v>
      </c>
      <c r="X76" s="16" t="s">
        <v>252</v>
      </c>
      <c r="Y76" s="16" t="s">
        <v>253</v>
      </c>
      <c r="Z76" s="16" t="s">
        <v>254</v>
      </c>
      <c r="AA76" s="16" t="s">
        <v>255</v>
      </c>
      <c r="AB76" s="16" t="s">
        <v>256</v>
      </c>
      <c r="AC76" s="16" t="s">
        <v>257</v>
      </c>
      <c r="AE76" s="237" t="s">
        <v>293</v>
      </c>
      <c r="AF76" s="16" t="s">
        <v>252</v>
      </c>
      <c r="AG76" s="16" t="s">
        <v>253</v>
      </c>
      <c r="AH76" s="16" t="s">
        <v>254</v>
      </c>
      <c r="AI76" s="16" t="s">
        <v>255</v>
      </c>
      <c r="AJ76" s="16" t="s">
        <v>256</v>
      </c>
      <c r="AK76" s="16" t="s">
        <v>257</v>
      </c>
      <c r="AM76" s="237" t="s">
        <v>259</v>
      </c>
      <c r="AN76" s="16" t="s">
        <v>252</v>
      </c>
      <c r="AO76" s="16" t="s">
        <v>253</v>
      </c>
      <c r="AP76" s="16" t="s">
        <v>254</v>
      </c>
      <c r="AQ76" s="16" t="s">
        <v>255</v>
      </c>
      <c r="AR76" s="16" t="s">
        <v>256</v>
      </c>
      <c r="AS76" s="16" t="s">
        <v>257</v>
      </c>
    </row>
    <row r="77" spans="1:45" ht="26" x14ac:dyDescent="0.3">
      <c r="M77" s="202" t="s">
        <v>239</v>
      </c>
      <c r="N77" s="318">
        <f t="shared" ref="N77:S77" si="21">N67/N$80</f>
        <v>1.7647058823529412E-2</v>
      </c>
      <c r="O77" s="318">
        <f t="shared" si="21"/>
        <v>1.9564685742235265E-2</v>
      </c>
      <c r="P77" s="318">
        <f t="shared" si="21"/>
        <v>2.2742040285899934E-2</v>
      </c>
      <c r="Q77" s="318">
        <f t="shared" si="21"/>
        <v>2.9027576197387519E-2</v>
      </c>
      <c r="R77" s="318">
        <f t="shared" si="21"/>
        <v>4.7348484848484848E-2</v>
      </c>
      <c r="S77" s="318" t="e">
        <f t="shared" si="21"/>
        <v>#DIV/0!</v>
      </c>
      <c r="W77" s="202" t="s">
        <v>239</v>
      </c>
      <c r="X77" s="319">
        <f>N67*INDEX('Precio Mayorista'!$D$54:$J$56,MATCH('Precios mayoristas efectivos'!$W77,'Precio Mayorista'!$C$54:$C$56,0),MATCH('Precio Mayorista'!E$24,'Precio Mayorista'!$D$29:$J$29,0))</f>
        <v>0</v>
      </c>
      <c r="Y77" s="319">
        <f>O67*INDEX('Precio Mayorista'!$D$54:$J$56,MATCH('Precios mayoristas efectivos'!$W77,'Precio Mayorista'!$C$54:$C$56,0),MATCH('Precio Mayorista'!F$24,'Precio Mayorista'!$D$29:$J$29,0))</f>
        <v>0</v>
      </c>
      <c r="Z77" s="319">
        <f>P67*INDEX('Precio Mayorista'!$D$54:$J$56,MATCH('Precios mayoristas efectivos'!$W77,'Precio Mayorista'!$C$54:$C$56,0),MATCH('Precio Mayorista'!G$24,'Precio Mayorista'!$D$29:$J$29,0))</f>
        <v>0</v>
      </c>
      <c r="AA77" s="319">
        <f>Q67*INDEX('Precio Mayorista'!$D$54:$J$56,MATCH('Precios mayoristas efectivos'!$W77,'Precio Mayorista'!$C$54:$C$56,0),MATCH('Precio Mayorista'!H$24,'Precio Mayorista'!$D$29:$J$29,0))</f>
        <v>0</v>
      </c>
      <c r="AB77" s="319">
        <f>R67*INDEX('Precio Mayorista'!$D$54:$J$56,MATCH('Precios mayoristas efectivos'!$W77,'Precio Mayorista'!$C$54:$C$56,0),MATCH('Precio Mayorista'!I$24,'Precio Mayorista'!$D$29:$J$29,0))</f>
        <v>0</v>
      </c>
      <c r="AC77" s="319" t="e">
        <f>S67*INDEX('Precio Mayorista'!$D$54:$J$56,MATCH('Precios mayoristas efectivos'!$W77,'Precio Mayorista'!$C$54:$C$56,0),MATCH('Precio Mayorista'!J$24,'Precio Mayorista'!$D$29:$J$29,0))</f>
        <v>#N/A</v>
      </c>
      <c r="AE77" s="237"/>
      <c r="AF77" s="316">
        <f>INDEX('Precio Mayorista'!$E$27:$J$27,MATCH('Precios mayoristas efectivos'!AF$76,'Precio Mayorista'!$E$20:$J$20,0))</f>
        <v>2000000</v>
      </c>
      <c r="AG77" s="316">
        <f>INDEX('Precio Mayorista'!$E$27:$J$27,MATCH('Precios mayoristas efectivos'!AG$76,'Precio Mayorista'!$E$20:$J$20,0))</f>
        <v>2000000</v>
      </c>
      <c r="AH77" s="316">
        <f>INDEX('Precio Mayorista'!$E$27:$J$27,MATCH('Precios mayoristas efectivos'!AH$76,'Precio Mayorista'!$E$20:$J$20,0))</f>
        <v>2000000</v>
      </c>
      <c r="AI77" s="316">
        <f>INDEX('Precio Mayorista'!$E$27:$J$27,MATCH('Precios mayoristas efectivos'!AI$76,'Precio Mayorista'!$E$20:$J$20,0))</f>
        <v>2000000</v>
      </c>
      <c r="AJ77" s="316">
        <f>INDEX('Precio Mayorista'!$E$27:$J$27,MATCH('Precios mayoristas efectivos'!AJ$76,'Precio Mayorista'!$E$20:$J$20,0))</f>
        <v>2000000</v>
      </c>
      <c r="AK77" s="316">
        <f>INDEX('Precio Mayorista'!$E$27:$J$27,MATCH('Precios mayoristas efectivos'!AK$76,'Precio Mayorista'!$E$20:$J$20,0))</f>
        <v>0</v>
      </c>
      <c r="AM77" s="202"/>
      <c r="AN77">
        <v>0</v>
      </c>
      <c r="AO77">
        <v>0</v>
      </c>
      <c r="AP77">
        <v>0</v>
      </c>
      <c r="AQ77">
        <v>0</v>
      </c>
      <c r="AR77">
        <v>0</v>
      </c>
      <c r="AS77">
        <v>0</v>
      </c>
    </row>
    <row r="78" spans="1:45" ht="13" x14ac:dyDescent="0.25">
      <c r="M78" s="202" t="s">
        <v>240</v>
      </c>
      <c r="N78" s="318">
        <f t="shared" ref="N78:S79" si="22">N68/N$80</f>
        <v>1.9607843137254902E-3</v>
      </c>
      <c r="O78" s="318">
        <f t="shared" si="22"/>
        <v>2.2010271460014674E-3</v>
      </c>
      <c r="P78" s="318">
        <f t="shared" si="22"/>
        <v>2.5990903183885639E-3</v>
      </c>
      <c r="Q78" s="318">
        <f t="shared" si="22"/>
        <v>3.3865505563618775E-3</v>
      </c>
      <c r="R78" s="318">
        <f t="shared" si="22"/>
        <v>5.681818181818182E-3</v>
      </c>
      <c r="S78" s="318" t="e">
        <f t="shared" si="22"/>
        <v>#DIV/0!</v>
      </c>
      <c r="W78" s="202" t="s">
        <v>240</v>
      </c>
      <c r="X78" s="319">
        <f>N68*INDEX('Precio Mayorista'!$D$54:$J$56,MATCH('Precios mayoristas efectivos'!$W78,'Precio Mayorista'!$C$54:$C$56,0),MATCH('Precio Mayorista'!E$24,'Precio Mayorista'!$D$29:$J$29,0))</f>
        <v>0</v>
      </c>
      <c r="Y78" s="319">
        <f>O68*INDEX('Precio Mayorista'!$D$54:$J$56,MATCH('Precios mayoristas efectivos'!$W78,'Precio Mayorista'!$C$54:$C$56,0),MATCH('Precio Mayorista'!F$24,'Precio Mayorista'!$D$29:$J$29,0))</f>
        <v>0</v>
      </c>
      <c r="Z78" s="319">
        <f>P68*INDEX('Precio Mayorista'!$D$54:$J$56,MATCH('Precios mayoristas efectivos'!$W78,'Precio Mayorista'!$C$54:$C$56,0),MATCH('Precio Mayorista'!G$24,'Precio Mayorista'!$D$29:$J$29,0))</f>
        <v>0</v>
      </c>
      <c r="AA78" s="319">
        <f>Q68*INDEX('Precio Mayorista'!$D$54:$J$56,MATCH('Precios mayoristas efectivos'!$W78,'Precio Mayorista'!$C$54:$C$56,0),MATCH('Precio Mayorista'!H$24,'Precio Mayorista'!$D$29:$J$29,0))</f>
        <v>0</v>
      </c>
      <c r="AB78" s="319">
        <f>R68*INDEX('Precio Mayorista'!$D$54:$J$56,MATCH('Precios mayoristas efectivos'!$W78,'Precio Mayorista'!$C$54:$C$56,0),MATCH('Precio Mayorista'!I$24,'Precio Mayorista'!$D$29:$J$29,0))</f>
        <v>0</v>
      </c>
      <c r="AC78" s="319" t="e">
        <f>S68*INDEX('Precio Mayorista'!$D$54:$J$56,MATCH('Precios mayoristas efectivos'!$W78,'Precio Mayorista'!$C$54:$C$56,0),MATCH('Precio Mayorista'!J$24,'Precio Mayorista'!$D$29:$J$29,0))</f>
        <v>#N/A</v>
      </c>
    </row>
    <row r="79" spans="1:45" ht="26" x14ac:dyDescent="0.25">
      <c r="M79" s="202" t="s">
        <v>241</v>
      </c>
      <c r="N79" s="318">
        <f t="shared" si="22"/>
        <v>0.98039215686274517</v>
      </c>
      <c r="O79" s="318">
        <f t="shared" si="22"/>
        <v>0.97823428711176319</v>
      </c>
      <c r="P79" s="318">
        <f t="shared" si="22"/>
        <v>0.97465886939571145</v>
      </c>
      <c r="Q79" s="318">
        <f t="shared" si="22"/>
        <v>0.96758587324625056</v>
      </c>
      <c r="R79" s="318">
        <f t="shared" si="22"/>
        <v>0.94696969696969691</v>
      </c>
      <c r="S79" s="318" t="e">
        <f t="shared" si="22"/>
        <v>#DIV/0!</v>
      </c>
      <c r="W79" s="202" t="s">
        <v>241</v>
      </c>
      <c r="X79" s="319">
        <f>N69*INDEX('Precio Mayorista'!$D$54:$J$56,MATCH('Precios mayoristas efectivos'!$W79,'Precio Mayorista'!$C$54:$C$56,0),MATCH('Precio Mayorista'!E$24,'Precio Mayorista'!$D$29:$J$29,0))</f>
        <v>0</v>
      </c>
      <c r="Y79" s="319">
        <f>O69*INDEX('Precio Mayorista'!$D$54:$J$56,MATCH('Precios mayoristas efectivos'!$W79,'Precio Mayorista'!$C$54:$C$56,0),MATCH('Precio Mayorista'!F$24,'Precio Mayorista'!$D$29:$J$29,0))</f>
        <v>0</v>
      </c>
      <c r="Z79" s="319">
        <f>P69*INDEX('Precio Mayorista'!$D$54:$J$56,MATCH('Precios mayoristas efectivos'!$W79,'Precio Mayorista'!$C$54:$C$56,0),MATCH('Precio Mayorista'!G$24,'Precio Mayorista'!$D$29:$J$29,0))</f>
        <v>0</v>
      </c>
      <c r="AA79" s="319">
        <f>Q69*INDEX('Precio Mayorista'!$D$54:$J$56,MATCH('Precios mayoristas efectivos'!$W79,'Precio Mayorista'!$C$54:$C$56,0),MATCH('Precio Mayorista'!H$24,'Precio Mayorista'!$D$29:$J$29,0))</f>
        <v>0</v>
      </c>
      <c r="AB79" s="319">
        <f>R69*INDEX('Precio Mayorista'!$D$54:$J$56,MATCH('Precios mayoristas efectivos'!$W79,'Precio Mayorista'!$C$54:$C$56,0),MATCH('Precio Mayorista'!I$24,'Precio Mayorista'!$D$29:$J$29,0))</f>
        <v>0</v>
      </c>
      <c r="AC79" s="319" t="e">
        <f>S69*INDEX('Precio Mayorista'!$D$54:$J$56,MATCH('Precios mayoristas efectivos'!$W79,'Precio Mayorista'!$C$54:$C$56,0),MATCH('Precio Mayorista'!J$24,'Precio Mayorista'!$D$29:$J$29,0))</f>
        <v>#N/A</v>
      </c>
      <c r="AE79" s="202"/>
    </row>
    <row r="80" spans="1:45" ht="13" x14ac:dyDescent="0.25">
      <c r="A80" s="301"/>
      <c r="B80" s="301"/>
      <c r="C80" s="301"/>
      <c r="D80" s="301"/>
      <c r="M80" s="202" t="s">
        <v>124</v>
      </c>
      <c r="N80" s="316">
        <f t="shared" ref="N80:S80" si="23">SUM(N67:N69)</f>
        <v>1700000000</v>
      </c>
      <c r="O80" s="316">
        <f t="shared" si="23"/>
        <v>1363000000</v>
      </c>
      <c r="P80" s="316">
        <f t="shared" si="23"/>
        <v>1026000000</v>
      </c>
      <c r="Q80" s="316">
        <f t="shared" si="23"/>
        <v>689000000</v>
      </c>
      <c r="R80" s="316">
        <f t="shared" si="23"/>
        <v>352000000</v>
      </c>
      <c r="S80" s="316">
        <f t="shared" si="23"/>
        <v>0</v>
      </c>
      <c r="W80" s="202" t="s">
        <v>124</v>
      </c>
      <c r="X80" s="319">
        <f t="shared" ref="X80:AC80" si="24">SUM(X77:X79)</f>
        <v>0</v>
      </c>
      <c r="Y80" s="319">
        <f t="shared" si="24"/>
        <v>0</v>
      </c>
      <c r="Z80" s="319">
        <f t="shared" si="24"/>
        <v>0</v>
      </c>
      <c r="AA80" s="319">
        <f t="shared" si="24"/>
        <v>0</v>
      </c>
      <c r="AB80" s="319">
        <f t="shared" si="24"/>
        <v>0</v>
      </c>
      <c r="AC80" s="319" t="e">
        <f t="shared" si="24"/>
        <v>#N/A</v>
      </c>
    </row>
    <row r="81" spans="1:45" ht="13" x14ac:dyDescent="0.3">
      <c r="M81" s="73" t="s">
        <v>42</v>
      </c>
      <c r="N81" t="b">
        <f t="shared" ref="N81:S81" si="25">SUM(N77:N79)=1</f>
        <v>1</v>
      </c>
      <c r="O81" t="b">
        <f t="shared" si="25"/>
        <v>1</v>
      </c>
      <c r="P81" t="b">
        <f t="shared" si="25"/>
        <v>1</v>
      </c>
      <c r="Q81" t="b">
        <f t="shared" si="25"/>
        <v>1</v>
      </c>
      <c r="R81" t="b">
        <f t="shared" si="25"/>
        <v>1</v>
      </c>
      <c r="S81" t="e">
        <f t="shared" si="25"/>
        <v>#DIV/0!</v>
      </c>
      <c r="W81" s="237"/>
      <c r="X81" s="16"/>
      <c r="Y81" s="16"/>
      <c r="Z81" s="16"/>
      <c r="AA81" s="16"/>
      <c r="AB81" s="16"/>
      <c r="AC81" s="16"/>
    </row>
    <row r="82" spans="1:45" ht="13" x14ac:dyDescent="0.3">
      <c r="W82" s="237"/>
      <c r="X82" s="16"/>
      <c r="Y82" s="16"/>
      <c r="Z82" s="16"/>
      <c r="AA82" s="16"/>
      <c r="AB82" s="16"/>
      <c r="AC82" s="16"/>
    </row>
    <row r="83" spans="1:45" ht="13" x14ac:dyDescent="0.3">
      <c r="W83" s="300" t="s">
        <v>354</v>
      </c>
      <c r="X83" s="300"/>
      <c r="Y83" s="300"/>
      <c r="Z83" s="300"/>
      <c r="AA83" s="300"/>
      <c r="AB83" s="300"/>
      <c r="AC83" s="300"/>
      <c r="AE83" s="300" t="s">
        <v>347</v>
      </c>
      <c r="AF83" s="300"/>
      <c r="AG83" s="300"/>
      <c r="AH83" s="300"/>
      <c r="AI83" s="300"/>
      <c r="AJ83" s="300"/>
      <c r="AK83" s="300"/>
      <c r="AM83" s="300" t="s">
        <v>348</v>
      </c>
      <c r="AN83" s="300"/>
      <c r="AO83" s="300"/>
      <c r="AP83" s="300"/>
      <c r="AQ83" s="300"/>
      <c r="AR83" s="300"/>
      <c r="AS83" s="300"/>
    </row>
    <row r="85" spans="1:45" ht="13" x14ac:dyDescent="0.3">
      <c r="W85" s="237" t="s">
        <v>259</v>
      </c>
      <c r="X85" s="16" t="s">
        <v>252</v>
      </c>
      <c r="Y85" s="16" t="s">
        <v>253</v>
      </c>
      <c r="Z85" s="16" t="s">
        <v>254</v>
      </c>
      <c r="AA85" s="16" t="s">
        <v>255</v>
      </c>
      <c r="AB85" s="16" t="s">
        <v>256</v>
      </c>
      <c r="AC85" s="16" t="s">
        <v>257</v>
      </c>
      <c r="AE85" s="237" t="s">
        <v>293</v>
      </c>
      <c r="AF85" s="16" t="s">
        <v>252</v>
      </c>
      <c r="AG85" s="16" t="s">
        <v>253</v>
      </c>
      <c r="AH85" s="16" t="s">
        <v>254</v>
      </c>
      <c r="AI85" s="16" t="s">
        <v>255</v>
      </c>
      <c r="AJ85" s="16" t="s">
        <v>256</v>
      </c>
      <c r="AK85" s="16" t="s">
        <v>257</v>
      </c>
      <c r="AM85" s="237" t="s">
        <v>259</v>
      </c>
      <c r="AN85" s="16" t="s">
        <v>252</v>
      </c>
      <c r="AO85" s="16" t="s">
        <v>253</v>
      </c>
      <c r="AP85" s="16" t="s">
        <v>254</v>
      </c>
      <c r="AQ85" s="16" t="s">
        <v>255</v>
      </c>
      <c r="AR85" s="16" t="s">
        <v>256</v>
      </c>
      <c r="AS85" s="16" t="s">
        <v>257</v>
      </c>
    </row>
    <row r="86" spans="1:45" ht="26" x14ac:dyDescent="0.3">
      <c r="W86" s="202" t="s">
        <v>239</v>
      </c>
      <c r="X86" s="316">
        <f t="shared" ref="X86:AC88" si="26">X$89*N77</f>
        <v>0</v>
      </c>
      <c r="Y86" s="316">
        <f t="shared" si="26"/>
        <v>0</v>
      </c>
      <c r="Z86" s="316">
        <f t="shared" si="26"/>
        <v>0</v>
      </c>
      <c r="AA86" s="316">
        <f t="shared" si="26"/>
        <v>0</v>
      </c>
      <c r="AB86" s="316">
        <f t="shared" si="26"/>
        <v>0</v>
      </c>
      <c r="AC86" s="316" t="e">
        <f t="shared" si="26"/>
        <v>#DIV/0!</v>
      </c>
      <c r="AF86" s="235">
        <f t="shared" ref="AF86:AK86" si="27">AF67-AF77</f>
        <v>-1000000</v>
      </c>
      <c r="AG86" s="235">
        <f t="shared" si="27"/>
        <v>-1100000</v>
      </c>
      <c r="AH86" s="235">
        <f t="shared" si="27"/>
        <v>-1200000</v>
      </c>
      <c r="AI86" s="235">
        <f t="shared" si="27"/>
        <v>-1300000</v>
      </c>
      <c r="AJ86" s="235">
        <f t="shared" si="27"/>
        <v>-1400000</v>
      </c>
      <c r="AK86" s="235">
        <f t="shared" si="27"/>
        <v>0</v>
      </c>
      <c r="AM86" s="237"/>
      <c r="AN86" s="319">
        <f>IFERROR(AF86*INDEX('Precio Mayorista'!$D$66:$J$66,MATCH('Precio Mayorista'!E$24,'Precio Mayorista'!$D$29:$J$29,0)),0)</f>
        <v>-3000000</v>
      </c>
      <c r="AO86" s="319">
        <f>IFERROR(AG86*INDEX('Precio Mayorista'!$D$66:$J$66,MATCH('Precio Mayorista'!F$24,'Precio Mayorista'!$D$29:$J$29,0)),0)</f>
        <v>-3300000</v>
      </c>
      <c r="AP86" s="319">
        <f>IFERROR(AH86*INDEX('Precio Mayorista'!$D$66:$J$66,MATCH('Precio Mayorista'!G$24,'Precio Mayorista'!$D$29:$J$29,0)),0)</f>
        <v>-3600000</v>
      </c>
      <c r="AQ86" s="319">
        <f>IFERROR(AI86*INDEX('Precio Mayorista'!$D$66:$J$66,MATCH('Precio Mayorista'!H$24,'Precio Mayorista'!$D$29:$J$29,0)),0)</f>
        <v>-3900000</v>
      </c>
      <c r="AR86" s="319">
        <f>IFERROR(AJ86*INDEX('Precio Mayorista'!$D$66:$J$66,MATCH('Precio Mayorista'!I$24,'Precio Mayorista'!$D$29:$J$29,0)),0)</f>
        <v>-4200000</v>
      </c>
      <c r="AS86" s="319">
        <f>IFERROR(AK86*INDEX('Precio Mayorista'!$D$66:$J$66,MATCH('Precio Mayorista'!J$24,'Precio Mayorista'!$D$29:$J$29,0)),0)</f>
        <v>0</v>
      </c>
    </row>
    <row r="87" spans="1:45" ht="13" x14ac:dyDescent="0.25">
      <c r="W87" s="202" t="s">
        <v>240</v>
      </c>
      <c r="X87" s="316">
        <f t="shared" si="26"/>
        <v>0</v>
      </c>
      <c r="Y87" s="316">
        <f t="shared" si="26"/>
        <v>0</v>
      </c>
      <c r="Z87" s="316">
        <f t="shared" si="26"/>
        <v>0</v>
      </c>
      <c r="AA87" s="316">
        <f t="shared" si="26"/>
        <v>0</v>
      </c>
      <c r="AB87" s="316">
        <f t="shared" si="26"/>
        <v>0</v>
      </c>
      <c r="AC87" s="316" t="e">
        <f t="shared" si="26"/>
        <v>#DIV/0!</v>
      </c>
    </row>
    <row r="88" spans="1:45" ht="26" x14ac:dyDescent="0.25">
      <c r="W88" s="202" t="s">
        <v>241</v>
      </c>
      <c r="X88" s="316">
        <f t="shared" si="26"/>
        <v>0</v>
      </c>
      <c r="Y88" s="316">
        <f t="shared" si="26"/>
        <v>0</v>
      </c>
      <c r="Z88" s="316">
        <f t="shared" si="26"/>
        <v>0</v>
      </c>
      <c r="AA88" s="316">
        <f t="shared" si="26"/>
        <v>0</v>
      </c>
      <c r="AB88" s="316">
        <f t="shared" si="26"/>
        <v>0</v>
      </c>
      <c r="AC88" s="316" t="e">
        <f t="shared" si="26"/>
        <v>#DIV/0!</v>
      </c>
    </row>
    <row r="89" spans="1:45" ht="13" x14ac:dyDescent="0.25">
      <c r="A89" s="15"/>
      <c r="B89" s="15"/>
      <c r="C89" s="15"/>
      <c r="D89" s="15"/>
      <c r="W89" s="202" t="s">
        <v>124</v>
      </c>
      <c r="X89" s="316">
        <f>'Precio Mayorista'!$D$71/(Supuestos!$C$15*Supuestos!$C$7)</f>
        <v>0</v>
      </c>
      <c r="Y89" s="316">
        <f>'Precio Mayorista'!$D$71/(Supuestos!$C$15*Supuestos!$C$7)</f>
        <v>0</v>
      </c>
      <c r="Z89" s="316">
        <f>'Precio Mayorista'!$D$71/(Supuestos!$C$15*Supuestos!$C$7)</f>
        <v>0</v>
      </c>
      <c r="AA89" s="316">
        <f>'Precio Mayorista'!$D$71/(Supuestos!$C$15*Supuestos!$C$7)</f>
        <v>0</v>
      </c>
      <c r="AB89" s="316">
        <f>'Precio Mayorista'!$D$71/(Supuestos!$C$15*Supuestos!$C$7)</f>
        <v>0</v>
      </c>
      <c r="AC89" s="316">
        <f>'Precio Mayorista'!$D$71/(Supuestos!$C$15*Supuestos!$C$7)</f>
        <v>0</v>
      </c>
    </row>
    <row r="92" spans="1:45" s="170" customFormat="1" ht="12" customHeight="1" x14ac:dyDescent="0.25">
      <c r="B92" s="166" t="str">
        <f>'Hoja Auxiliar'!$B$35</f>
        <v>Descuentos por volumen</v>
      </c>
      <c r="F92" s="167"/>
      <c r="G92" s="168"/>
      <c r="H92" s="169"/>
      <c r="I92" s="169"/>
      <c r="J92" s="169"/>
    </row>
    <row r="93" spans="1:45" ht="13" thickBot="1" x14ac:dyDescent="0.3"/>
    <row r="94" spans="1:45" ht="13" x14ac:dyDescent="0.3">
      <c r="B94" s="344" t="s">
        <v>335</v>
      </c>
      <c r="C94" s="345"/>
      <c r="E94" s="300" t="s">
        <v>336</v>
      </c>
      <c r="F94" s="299"/>
      <c r="G94" s="299"/>
      <c r="H94" s="299"/>
      <c r="I94" s="299"/>
      <c r="J94" s="299"/>
      <c r="K94" s="299"/>
      <c r="M94" s="300" t="s">
        <v>337</v>
      </c>
      <c r="N94" s="299"/>
      <c r="O94" s="299"/>
      <c r="P94" s="299"/>
      <c r="Q94" s="299"/>
      <c r="R94" s="299"/>
      <c r="S94" s="299"/>
      <c r="W94" s="300" t="s">
        <v>355</v>
      </c>
      <c r="X94" s="299"/>
      <c r="Y94" s="299"/>
      <c r="Z94" s="299"/>
      <c r="AA94" s="299"/>
      <c r="AB94" s="299"/>
      <c r="AC94" s="299"/>
      <c r="AE94" s="300" t="s">
        <v>339</v>
      </c>
      <c r="AF94" s="300"/>
      <c r="AG94" s="300"/>
      <c r="AH94" s="300"/>
      <c r="AI94" s="300"/>
      <c r="AJ94" s="300"/>
      <c r="AK94" s="300"/>
      <c r="AM94" s="300" t="s">
        <v>340</v>
      </c>
      <c r="AN94" s="300"/>
      <c r="AO94" s="300"/>
      <c r="AP94" s="300"/>
      <c r="AQ94" s="300"/>
      <c r="AR94" s="300"/>
      <c r="AS94" s="300"/>
    </row>
    <row r="95" spans="1:45" ht="12" customHeight="1" x14ac:dyDescent="0.25">
      <c r="B95" s="346"/>
      <c r="C95" s="347"/>
    </row>
    <row r="96" spans="1:45" ht="12" customHeight="1" x14ac:dyDescent="0.3">
      <c r="B96" s="348" t="s">
        <v>233</v>
      </c>
      <c r="C96" s="205"/>
      <c r="E96" s="300" t="s">
        <v>233</v>
      </c>
      <c r="M96" s="237" t="s">
        <v>293</v>
      </c>
      <c r="N96" s="16" t="s">
        <v>252</v>
      </c>
      <c r="O96" s="16" t="s">
        <v>253</v>
      </c>
      <c r="P96" s="16" t="s">
        <v>254</v>
      </c>
      <c r="Q96" s="16" t="s">
        <v>255</v>
      </c>
      <c r="R96" s="16" t="s">
        <v>256</v>
      </c>
      <c r="S96" s="16" t="s">
        <v>257</v>
      </c>
      <c r="W96" s="237" t="s">
        <v>259</v>
      </c>
      <c r="X96" s="16" t="s">
        <v>252</v>
      </c>
      <c r="Y96" s="16" t="s">
        <v>253</v>
      </c>
      <c r="Z96" s="16" t="s">
        <v>254</v>
      </c>
      <c r="AA96" s="16" t="s">
        <v>255</v>
      </c>
      <c r="AB96" s="16" t="s">
        <v>256</v>
      </c>
      <c r="AC96" s="16" t="s">
        <v>257</v>
      </c>
      <c r="AE96" s="237" t="s">
        <v>293</v>
      </c>
      <c r="AF96" s="16" t="s">
        <v>252</v>
      </c>
      <c r="AG96" s="16" t="s">
        <v>253</v>
      </c>
      <c r="AH96" s="16" t="s">
        <v>254</v>
      </c>
      <c r="AI96" s="16" t="s">
        <v>255</v>
      </c>
      <c r="AJ96" s="16" t="s">
        <v>256</v>
      </c>
      <c r="AK96" s="16" t="s">
        <v>257</v>
      </c>
      <c r="AM96" s="237" t="s">
        <v>259</v>
      </c>
      <c r="AN96" s="16" t="s">
        <v>252</v>
      </c>
      <c r="AO96" s="16" t="s">
        <v>253</v>
      </c>
      <c r="AP96" s="16" t="s">
        <v>254</v>
      </c>
      <c r="AQ96" s="16" t="s">
        <v>255</v>
      </c>
      <c r="AR96" s="16" t="s">
        <v>256</v>
      </c>
      <c r="AS96" s="16" t="s">
        <v>257</v>
      </c>
    </row>
    <row r="97" spans="1:45" ht="12" customHeight="1" x14ac:dyDescent="0.3">
      <c r="B97" s="349" t="s">
        <v>259</v>
      </c>
      <c r="C97" s="347"/>
      <c r="E97" s="237" t="s">
        <v>259</v>
      </c>
      <c r="F97" s="16" t="s">
        <v>252</v>
      </c>
      <c r="G97" s="16" t="s">
        <v>253</v>
      </c>
      <c r="H97" s="16" t="s">
        <v>254</v>
      </c>
      <c r="I97" s="16" t="s">
        <v>255</v>
      </c>
      <c r="J97" s="16" t="s">
        <v>256</v>
      </c>
      <c r="K97" s="16" t="s">
        <v>257</v>
      </c>
      <c r="M97" s="202" t="s">
        <v>239</v>
      </c>
      <c r="N97" s="235">
        <f>INDEX('Informacion del AEP'!$F$120:$K$128,MATCH('Precios mayoristas efectivos'!$M97,'Informacion del AEP'!$B$120:$B$128,0),MATCH('Precios mayoristas efectivos'!N$96,'Informacion del AEP'!$F$118:$K$118,0))/3</f>
        <v>30000000</v>
      </c>
      <c r="O97" s="235">
        <f>INDEX('Informacion del AEP'!$F$120:$K$128,MATCH('Precios mayoristas efectivos'!$M97,'Informacion del AEP'!$B$120:$B$128,0),MATCH('Precios mayoristas efectivos'!O$96,'Informacion del AEP'!$F$118:$K$118,0))/3</f>
        <v>26666666.666666668</v>
      </c>
      <c r="P97" s="235">
        <f>INDEX('Informacion del AEP'!$F$120:$K$128,MATCH('Precios mayoristas efectivos'!$M97,'Informacion del AEP'!$B$120:$B$128,0),MATCH('Precios mayoristas efectivos'!P$96,'Informacion del AEP'!$F$118:$K$118,0))/3</f>
        <v>23333333.333333332</v>
      </c>
      <c r="Q97" s="235">
        <f>INDEX('Informacion del AEP'!$F$120:$K$128,MATCH('Precios mayoristas efectivos'!$M97,'Informacion del AEP'!$B$120:$B$128,0),MATCH('Precios mayoristas efectivos'!Q$96,'Informacion del AEP'!$F$118:$K$118,0))/3</f>
        <v>20000000</v>
      </c>
      <c r="R97" s="235">
        <f>INDEX('Informacion del AEP'!$F$120:$K$128,MATCH('Precios mayoristas efectivos'!$M97,'Informacion del AEP'!$B$120:$B$128,0),MATCH('Precios mayoristas efectivos'!R$96,'Informacion del AEP'!$F$118:$K$118,0))/3</f>
        <v>16666666.666666666</v>
      </c>
      <c r="S97" s="235">
        <f>INDEX('Informacion del AEP'!$F$120:$K$128,MATCH('Precios mayoristas efectivos'!$M97,'Informacion del AEP'!$B$120:$B$128,0),MATCH('Precios mayoristas efectivos'!S$96,'Informacion del AEP'!$F$118:$K$118,0))/3</f>
        <v>0</v>
      </c>
      <c r="T97" s="16"/>
      <c r="U97" s="16"/>
      <c r="V97" s="16"/>
      <c r="W97" s="202" t="s">
        <v>239</v>
      </c>
      <c r="X97" s="329">
        <f>N97*INDEX('Precio Mayorista'!$D$47:$J$49,MATCH($W97,'Precio Mayorista'!$C$47:$C$49,0),MATCH('Precio Mayorista'!E$24,'Precio Mayorista'!$D$29:$J$29,0))</f>
        <v>900000</v>
      </c>
      <c r="Y97" s="329">
        <f>O97*INDEX('Precio Mayorista'!$D$47:$J$49,MATCH($W97,'Precio Mayorista'!$C$47:$C$49,0),MATCH('Precio Mayorista'!F$24,'Precio Mayorista'!$D$29:$J$29,0))</f>
        <v>800000</v>
      </c>
      <c r="Z97" s="329">
        <f>P97*INDEX('Precio Mayorista'!$D$47:$J$49,MATCH($W97,'Precio Mayorista'!$C$47:$C$49,0),MATCH('Precio Mayorista'!G$24,'Precio Mayorista'!$D$29:$J$29,0))</f>
        <v>699999.99999999988</v>
      </c>
      <c r="AA97" s="329">
        <f>Q97*INDEX('Precio Mayorista'!$D$47:$J$49,MATCH($W97,'Precio Mayorista'!$C$47:$C$49,0),MATCH('Precio Mayorista'!H$24,'Precio Mayorista'!$D$29:$J$29,0))</f>
        <v>600000</v>
      </c>
      <c r="AB97" s="329">
        <f>R97*INDEX('Precio Mayorista'!$D$47:$J$49,MATCH($W97,'Precio Mayorista'!$C$47:$C$49,0),MATCH('Precio Mayorista'!I$24,'Precio Mayorista'!$D$29:$J$29,0))</f>
        <v>499999.99999999994</v>
      </c>
      <c r="AC97" s="329" t="e">
        <f>S97*INDEX('Precio Mayorista'!$D$47:$J$49,MATCH($W97,'Precio Mayorista'!$C$47:$C$49,0),MATCH('Precio Mayorista'!J$24,'Precio Mayorista'!$D$29:$J$29,0))</f>
        <v>#N/A</v>
      </c>
      <c r="AF97" s="235">
        <f>INDEX('Precio Mayorista'!$E$26:$J$26,MATCH('Precios mayoristas efectivos'!AF$96,'Precio Mayorista'!$E$20:$J$20,0))</f>
        <v>1000000</v>
      </c>
      <c r="AG97" s="235">
        <f>INDEX('Precio Mayorista'!$E$26:$J$26,MATCH('Precios mayoristas efectivos'!AG$96,'Precio Mayorista'!$E$20:$J$20,0))</f>
        <v>900000</v>
      </c>
      <c r="AH97" s="235">
        <f>INDEX('Precio Mayorista'!$E$26:$J$26,MATCH('Precios mayoristas efectivos'!AH$96,'Precio Mayorista'!$E$20:$J$20,0))</f>
        <v>800000</v>
      </c>
      <c r="AI97" s="235">
        <f>INDEX('Precio Mayorista'!$E$26:$J$26,MATCH('Precios mayoristas efectivos'!AI$96,'Precio Mayorista'!$E$20:$J$20,0))</f>
        <v>700000</v>
      </c>
      <c r="AJ97" s="235">
        <f>INDEX('Precio Mayorista'!$E$26:$J$26,MATCH('Precios mayoristas efectivos'!AJ$96,'Precio Mayorista'!$E$20:$J$20,0))</f>
        <v>600000</v>
      </c>
      <c r="AK97" s="235">
        <f>INDEX('Precio Mayorista'!$E$26:$J$26,MATCH('Precios mayoristas efectivos'!AK$96,'Precio Mayorista'!$E$20:$J$20,0))</f>
        <v>0</v>
      </c>
      <c r="AM97" s="202"/>
      <c r="AN97" s="235">
        <f t="shared" ref="AN97:AS97" si="28">AN106+AN111</f>
        <v>300000</v>
      </c>
      <c r="AO97" s="235">
        <f t="shared" si="28"/>
        <v>300000</v>
      </c>
      <c r="AP97" s="235">
        <f t="shared" si="28"/>
        <v>300000</v>
      </c>
      <c r="AQ97" s="235">
        <f t="shared" si="28"/>
        <v>300000</v>
      </c>
      <c r="AR97" s="235">
        <f t="shared" si="28"/>
        <v>300000</v>
      </c>
      <c r="AS97" s="235" t="e">
        <f t="shared" si="28"/>
        <v>#N/A</v>
      </c>
    </row>
    <row r="98" spans="1:45" ht="12" customHeight="1" x14ac:dyDescent="0.25">
      <c r="B98" s="350" t="s">
        <v>239</v>
      </c>
      <c r="C98" s="389">
        <f>IF('Precio Mayorista'!$D$15=6,SUMPRODUCT(F98:K98,N97:S97)/SUM(N97:S97),IF('Precio Mayorista'!$D$15=5,SUMPRODUCT(F98:J98,N97:R97)/SUM(N97:R97),IF('Precio Mayorista'!$D$15=4,SUMPRODUCT(F98:I98,N97:Q97)/SUM(N97:Q97))))</f>
        <v>0.03</v>
      </c>
      <c r="E98" s="202" t="s">
        <v>239</v>
      </c>
      <c r="F98">
        <f>INDEX('Precio Mayorista'!$D$47:$J$49,MATCH($E11,'Precio Mayorista'!$C$47:$C$49,0),MATCH('Precio Mayorista'!E$24,'Precio Mayorista'!$D$29:$J$29,0))</f>
        <v>0.03</v>
      </c>
      <c r="G98">
        <f>INDEX('Precio Mayorista'!$D$47:$J$49,MATCH($E11,'Precio Mayorista'!$C$47:$C$49,0),MATCH('Precio Mayorista'!F$24,'Precio Mayorista'!$D$29:$J$29,0))</f>
        <v>0.03</v>
      </c>
      <c r="H98">
        <f>INDEX('Precio Mayorista'!$D$47:$J$49,MATCH($E11,'Precio Mayorista'!$C$47:$C$49,0),MATCH('Precio Mayorista'!G$24,'Precio Mayorista'!$D$29:$J$29,0))</f>
        <v>0.03</v>
      </c>
      <c r="I98">
        <f>INDEX('Precio Mayorista'!$D$47:$J$49,MATCH($E11,'Precio Mayorista'!$C$47:$C$49,0),MATCH('Precio Mayorista'!H$24,'Precio Mayorista'!$D$29:$J$29,0))</f>
        <v>0.03</v>
      </c>
      <c r="J98">
        <f>INDEX('Precio Mayorista'!$D$47:$J$49,MATCH($E11,'Precio Mayorista'!$C$47:$C$49,0),MATCH('Precio Mayorista'!I$24,'Precio Mayorista'!$D$29:$J$29,0))</f>
        <v>0.03</v>
      </c>
      <c r="K98" t="e">
        <f>INDEX('Precio Mayorista'!$D$47:$J$49,MATCH($E11,'Precio Mayorista'!$C$47:$C$49,0),MATCH('Precio Mayorista'!J$24,'Precio Mayorista'!$D$29:$J$29,0))</f>
        <v>#N/A</v>
      </c>
      <c r="M98" s="202" t="s">
        <v>240</v>
      </c>
      <c r="N98" s="235">
        <f>INDEX('Informacion del AEP'!$F$120:$K$128,MATCH('Precios mayoristas efectivos'!$M98,'Informacion del AEP'!$B$120:$B$128,0),MATCH('Precios mayoristas efectivos'!N$96,'Informacion del AEP'!$F$118:$K$118,0))/3</f>
        <v>3333333.3333333335</v>
      </c>
      <c r="O98" s="235">
        <f>INDEX('Informacion del AEP'!$F$120:$K$128,MATCH('Precios mayoristas efectivos'!$M98,'Informacion del AEP'!$B$120:$B$128,0),MATCH('Precios mayoristas efectivos'!O$96,'Informacion del AEP'!$F$118:$K$118,0))/3</f>
        <v>3000000</v>
      </c>
      <c r="P98" s="235">
        <f>INDEX('Informacion del AEP'!$F$120:$K$128,MATCH('Precios mayoristas efectivos'!$M98,'Informacion del AEP'!$B$120:$B$128,0),MATCH('Precios mayoristas efectivos'!P$96,'Informacion del AEP'!$F$118:$K$118,0))/3</f>
        <v>2666666.6666666665</v>
      </c>
      <c r="Q98" s="235">
        <f>INDEX('Informacion del AEP'!$F$120:$K$128,MATCH('Precios mayoristas efectivos'!$M98,'Informacion del AEP'!$B$120:$B$128,0),MATCH('Precios mayoristas efectivos'!Q$96,'Informacion del AEP'!$F$118:$K$118,0))/3</f>
        <v>2333333.3333333335</v>
      </c>
      <c r="R98" s="235">
        <f>INDEX('Informacion del AEP'!$F$120:$K$128,MATCH('Precios mayoristas efectivos'!$M98,'Informacion del AEP'!$B$120:$B$128,0),MATCH('Precios mayoristas efectivos'!R$96,'Informacion del AEP'!$F$118:$K$118,0))/3</f>
        <v>2000000</v>
      </c>
      <c r="S98" s="235">
        <f>INDEX('Informacion del AEP'!$F$120:$K$128,MATCH('Precios mayoristas efectivos'!$M98,'Informacion del AEP'!$B$120:$B$128,0),MATCH('Precios mayoristas efectivos'!S$96,'Informacion del AEP'!$F$118:$K$118,0))/3</f>
        <v>0</v>
      </c>
      <c r="W98" s="202" t="s">
        <v>240</v>
      </c>
      <c r="X98" s="329">
        <f>N98*INDEX('Precio Mayorista'!$D$47:$J$49,MATCH($W98,'Precio Mayorista'!$C$47:$C$49,0),MATCH('Precio Mayorista'!E$24,'Precio Mayorista'!$D$29:$J$29,0))</f>
        <v>50000</v>
      </c>
      <c r="Y98" s="329">
        <f>O98*INDEX('Precio Mayorista'!$D$47:$J$49,MATCH($W98,'Precio Mayorista'!$C$47:$C$49,0),MATCH('Precio Mayorista'!F$24,'Precio Mayorista'!$D$29:$J$29,0))</f>
        <v>45000</v>
      </c>
      <c r="Z98" s="329">
        <f>P98*INDEX('Precio Mayorista'!$D$47:$J$49,MATCH($W98,'Precio Mayorista'!$C$47:$C$49,0),MATCH('Precio Mayorista'!G$24,'Precio Mayorista'!$D$29:$J$29,0))</f>
        <v>39999.999999999993</v>
      </c>
      <c r="AA98" s="329">
        <f>Q98*INDEX('Precio Mayorista'!$D$47:$J$49,MATCH($W98,'Precio Mayorista'!$C$47:$C$49,0),MATCH('Precio Mayorista'!H$24,'Precio Mayorista'!$D$29:$J$29,0))</f>
        <v>35000</v>
      </c>
      <c r="AB98" s="329">
        <f>R98*INDEX('Precio Mayorista'!$D$47:$J$49,MATCH($W98,'Precio Mayorista'!$C$47:$C$49,0),MATCH('Precio Mayorista'!I$24,'Precio Mayorista'!$D$29:$J$29,0))</f>
        <v>30000</v>
      </c>
      <c r="AC98" s="329" t="e">
        <f>S98*INDEX('Precio Mayorista'!$D$47:$J$49,MATCH($W98,'Precio Mayorista'!$C$47:$C$49,0),MATCH('Precio Mayorista'!J$24,'Precio Mayorista'!$D$29:$J$29,0))</f>
        <v>#N/A</v>
      </c>
    </row>
    <row r="99" spans="1:45" ht="12" customHeight="1" x14ac:dyDescent="0.25">
      <c r="B99" s="350" t="s">
        <v>240</v>
      </c>
      <c r="C99" s="389">
        <f>IF('Precio Mayorista'!$D$15=6,SUMPRODUCT(F99:K99,N98:S98)/SUM(N98:S98),IF('Precio Mayorista'!$D$15=5,SUMPRODUCT(F99:J99,N98:R98)/SUM(N98:R98),IF('Precio Mayorista'!$D$15=4,SUMPRODUCT(F99:I99,N98:Q98)/SUM(N98:Q98))))</f>
        <v>1.4999999999999999E-2</v>
      </c>
      <c r="E99" s="202" t="s">
        <v>240</v>
      </c>
      <c r="F99">
        <f>INDEX('Precio Mayorista'!$D$47:$J$49,MATCH($E12,'Precio Mayorista'!$C$47:$C$49,0),MATCH('Precio Mayorista'!E$24,'Precio Mayorista'!$D$29:$J$29,0))</f>
        <v>1.4999999999999999E-2</v>
      </c>
      <c r="G99">
        <f>INDEX('Precio Mayorista'!$D$47:$J$49,MATCH($E12,'Precio Mayorista'!$C$47:$C$49,0),MATCH('Precio Mayorista'!F$24,'Precio Mayorista'!$D$29:$J$29,0))</f>
        <v>1.4999999999999999E-2</v>
      </c>
      <c r="H99">
        <f>INDEX('Precio Mayorista'!$D$47:$J$49,MATCH($E12,'Precio Mayorista'!$C$47:$C$49,0),MATCH('Precio Mayorista'!G$24,'Precio Mayorista'!$D$29:$J$29,0))</f>
        <v>1.4999999999999999E-2</v>
      </c>
      <c r="I99">
        <f>INDEX('Precio Mayorista'!$D$47:$J$49,MATCH($E12,'Precio Mayorista'!$C$47:$C$49,0),MATCH('Precio Mayorista'!H$24,'Precio Mayorista'!$D$29:$J$29,0))</f>
        <v>1.4999999999999999E-2</v>
      </c>
      <c r="J99">
        <f>INDEX('Precio Mayorista'!$D$47:$J$49,MATCH($E12,'Precio Mayorista'!$C$47:$C$49,0),MATCH('Precio Mayorista'!I$24,'Precio Mayorista'!$D$29:$J$29,0))</f>
        <v>1.4999999999999999E-2</v>
      </c>
      <c r="K99" t="e">
        <f>INDEX('Precio Mayorista'!$D$47:$J$49,MATCH($E12,'Precio Mayorista'!$C$47:$C$49,0),MATCH('Precio Mayorista'!J$24,'Precio Mayorista'!$D$29:$J$29,0))</f>
        <v>#N/A</v>
      </c>
      <c r="M99" s="202" t="s">
        <v>241</v>
      </c>
      <c r="N99" s="235">
        <f>INDEX('Informacion del AEP'!$F$120:$K$128,MATCH('Precios mayoristas efectivos'!$M99,'Informacion del AEP'!$B$120:$B$128,0),MATCH('Precios mayoristas efectivos'!N$96,'Informacion del AEP'!$F$118:$K$118,0))/3</f>
        <v>1666666666.6666667</v>
      </c>
      <c r="O99" s="235">
        <f>INDEX('Informacion del AEP'!$F$120:$K$128,MATCH('Precios mayoristas efectivos'!$M99,'Informacion del AEP'!$B$120:$B$128,0),MATCH('Precios mayoristas efectivos'!O$96,'Informacion del AEP'!$F$118:$K$118,0))/3</f>
        <v>1333333333.3333333</v>
      </c>
      <c r="P99" s="235">
        <f>INDEX('Informacion del AEP'!$F$120:$K$128,MATCH('Precios mayoristas efectivos'!$M99,'Informacion del AEP'!$B$120:$B$128,0),MATCH('Precios mayoristas efectivos'!P$96,'Informacion del AEP'!$F$118:$K$118,0))/3</f>
        <v>1000000000</v>
      </c>
      <c r="Q99" s="235">
        <f>INDEX('Informacion del AEP'!$F$120:$K$128,MATCH('Precios mayoristas efectivos'!$M99,'Informacion del AEP'!$B$120:$B$128,0),MATCH('Precios mayoristas efectivos'!Q$96,'Informacion del AEP'!$F$118:$K$118,0))/3</f>
        <v>666666666.66666663</v>
      </c>
      <c r="R99" s="235">
        <f>INDEX('Informacion del AEP'!$F$120:$K$128,MATCH('Precios mayoristas efectivos'!$M99,'Informacion del AEP'!$B$120:$B$128,0),MATCH('Precios mayoristas efectivos'!R$96,'Informacion del AEP'!$F$118:$K$118,0))/3</f>
        <v>333333333.33333331</v>
      </c>
      <c r="S99" s="235">
        <f>INDEX('Informacion del AEP'!$F$120:$K$128,MATCH('Precios mayoristas efectivos'!$M99,'Informacion del AEP'!$B$120:$B$128,0),MATCH('Precios mayoristas efectivos'!S$96,'Informacion del AEP'!$F$118:$K$118,0))/3</f>
        <v>0</v>
      </c>
      <c r="W99" s="202" t="s">
        <v>241</v>
      </c>
      <c r="X99" s="329">
        <f t="shared" ref="X99:AC99" si="29">INDEX($N$115:$S$115,MATCH(X$96,$N$106:$S$106,0))</f>
        <v>22083333.333333336</v>
      </c>
      <c r="Y99" s="329">
        <f t="shared" si="29"/>
        <v>17916666.666666664</v>
      </c>
      <c r="Z99" s="329">
        <f t="shared" si="29"/>
        <v>13750000</v>
      </c>
      <c r="AA99" s="329">
        <f t="shared" si="29"/>
        <v>9449999.9999999981</v>
      </c>
      <c r="AB99" s="329">
        <f t="shared" si="29"/>
        <v>4949999.9999999991</v>
      </c>
      <c r="AC99" s="329" t="e">
        <f t="shared" si="29"/>
        <v>#N/A</v>
      </c>
    </row>
    <row r="100" spans="1:45" ht="12" customHeight="1" x14ac:dyDescent="0.3">
      <c r="B100" s="350" t="s">
        <v>241</v>
      </c>
      <c r="C100" s="389">
        <f>IF('Precio Mayorista'!$D$15=6,SUMPRODUCT(F100:K100,N99:S99)/SUM(N99:S99),IF('Precio Mayorista'!$D$15=5,SUMPRODUCT(F100:J100,N99:R99)/SUM(N99:R99),IF('Precio Mayorista'!$D$15=4,SUMPRODUCT(F100:I100,N99:Q99)/SUM(N99:Q99))))</f>
        <v>1.2699999999999999E-2</v>
      </c>
      <c r="E100" s="202" t="s">
        <v>241</v>
      </c>
      <c r="F100">
        <f>INDEX('Precio Mayorista'!$D$47:$J$49,MATCH($E13,'Precio Mayorista'!$C$47:$C$49,0),MATCH('Precio Mayorista'!E$24,'Precio Mayorista'!$D$29:$J$29,0))</f>
        <v>1.2500000000000001E-2</v>
      </c>
      <c r="G100">
        <f>INDEX('Precio Mayorista'!$D$47:$J$49,MATCH($E13,'Precio Mayorista'!$C$47:$C$49,0),MATCH('Precio Mayorista'!F$24,'Precio Mayorista'!$D$29:$J$29,0))</f>
        <v>1.2500000000000001E-2</v>
      </c>
      <c r="H100">
        <f>INDEX('Precio Mayorista'!$D$47:$J$49,MATCH($E13,'Precio Mayorista'!$C$47:$C$49,0),MATCH('Precio Mayorista'!G$24,'Precio Mayorista'!$D$29:$J$29,0))</f>
        <v>1.2500000000000001E-2</v>
      </c>
      <c r="I100">
        <f>INDEX('Precio Mayorista'!$D$47:$J$49,MATCH($E13,'Precio Mayorista'!$C$47:$C$49,0),MATCH('Precio Mayorista'!H$24,'Precio Mayorista'!$D$29:$J$29,0))</f>
        <v>1.35E-2</v>
      </c>
      <c r="J100">
        <f>INDEX('Precio Mayorista'!$D$47:$J$49,MATCH($E13,'Precio Mayorista'!$C$47:$C$49,0),MATCH('Precio Mayorista'!I$24,'Precio Mayorista'!$D$29:$J$29,0))</f>
        <v>1.35E-2</v>
      </c>
      <c r="K100" t="e">
        <f>INDEX('Precio Mayorista'!$D$47:$J$49,MATCH($E13,'Precio Mayorista'!$C$47:$C$49,0),MATCH('Precio Mayorista'!J$24,'Precio Mayorista'!$D$29:$J$29,0))</f>
        <v>#N/A</v>
      </c>
      <c r="M100" s="202"/>
      <c r="N100" s="235"/>
      <c r="O100" s="235"/>
      <c r="P100" s="235"/>
      <c r="Q100" s="235"/>
      <c r="R100" s="235"/>
      <c r="S100" s="235"/>
      <c r="W100" s="202" t="s">
        <v>124</v>
      </c>
      <c r="X100" s="203">
        <f t="shared" ref="X100:AC100" si="30">SUM(X97:X99)</f>
        <v>23033333.333333336</v>
      </c>
      <c r="Y100" s="203">
        <f t="shared" si="30"/>
        <v>18761666.666666664</v>
      </c>
      <c r="Z100" s="203">
        <f t="shared" si="30"/>
        <v>14490000</v>
      </c>
      <c r="AA100" s="203">
        <f t="shared" si="30"/>
        <v>10084999.999999998</v>
      </c>
      <c r="AB100" s="203">
        <f t="shared" si="30"/>
        <v>5479999.9999999991</v>
      </c>
      <c r="AC100" s="203" t="e">
        <f t="shared" si="30"/>
        <v>#N/A</v>
      </c>
      <c r="AN100" s="16"/>
    </row>
    <row r="101" spans="1:45" ht="12" customHeight="1" x14ac:dyDescent="0.25">
      <c r="B101" s="346"/>
      <c r="C101" s="417"/>
      <c r="E101" s="202"/>
      <c r="W101" s="564" t="s">
        <v>356</v>
      </c>
      <c r="X101" s="565"/>
      <c r="Y101" s="565"/>
      <c r="Z101" s="565"/>
      <c r="AA101" s="565"/>
      <c r="AB101" s="565"/>
      <c r="AC101" s="565"/>
    </row>
    <row r="102" spans="1:45" ht="12" customHeight="1" x14ac:dyDescent="0.3">
      <c r="B102" s="346"/>
      <c r="C102" s="417"/>
      <c r="E102" s="202"/>
      <c r="M102" s="202"/>
      <c r="W102" s="202"/>
      <c r="AN102" s="16"/>
    </row>
    <row r="103" spans="1:45" ht="12" customHeight="1" x14ac:dyDescent="0.3">
      <c r="B103" s="348" t="s">
        <v>113</v>
      </c>
      <c r="C103" s="417"/>
      <c r="E103" s="300" t="s">
        <v>113</v>
      </c>
      <c r="M103" s="300" t="s">
        <v>357</v>
      </c>
      <c r="N103" s="300"/>
      <c r="O103" s="300"/>
      <c r="P103" s="300"/>
      <c r="Q103" s="300"/>
      <c r="R103" s="300"/>
      <c r="S103" s="300"/>
      <c r="T103" s="300"/>
      <c r="U103" s="300"/>
      <c r="V103" s="16"/>
      <c r="AE103" s="300" t="s">
        <v>358</v>
      </c>
      <c r="AF103" s="300"/>
      <c r="AG103" s="300"/>
      <c r="AH103" s="300"/>
      <c r="AI103" s="300"/>
      <c r="AJ103" s="300"/>
      <c r="AK103" s="300"/>
      <c r="AM103" s="300" t="s">
        <v>359</v>
      </c>
      <c r="AN103" s="300"/>
      <c r="AO103" s="300"/>
      <c r="AP103" s="300"/>
      <c r="AQ103" s="300"/>
      <c r="AR103" s="300"/>
      <c r="AS103" s="300"/>
    </row>
    <row r="104" spans="1:45" ht="12" customHeight="1" thickBot="1" x14ac:dyDescent="0.35">
      <c r="B104" s="353" t="s">
        <v>259</v>
      </c>
      <c r="C104" s="418">
        <f>IF('Precio Mayorista'!$D$15=6,SUMPRODUCT(F105:K105,AF97:AK97)/SUM(AF97:AK97),IF('Precio Mayorista'!$D$15=5,SUMPRODUCT(F105:J105,AF97:AJ97)/SUM(AF97:AJ97),IF('Precio Mayorista'!$D$15=4,SUMPRODUCT(F105:I105,AF97:AI97)/SUM(AF97:AI97))))</f>
        <v>0.375</v>
      </c>
      <c r="E104" s="237" t="s">
        <v>259</v>
      </c>
      <c r="F104" s="16" t="s">
        <v>252</v>
      </c>
      <c r="G104" s="16" t="s">
        <v>253</v>
      </c>
      <c r="H104" s="16" t="s">
        <v>254</v>
      </c>
      <c r="I104" s="16" t="s">
        <v>255</v>
      </c>
      <c r="J104" s="16" t="s">
        <v>256</v>
      </c>
      <c r="K104" s="16" t="s">
        <v>257</v>
      </c>
      <c r="T104" s="16"/>
      <c r="U104" s="16"/>
      <c r="V104" s="16"/>
    </row>
    <row r="105" spans="1:45" ht="13" x14ac:dyDescent="0.3">
      <c r="E105" s="237"/>
      <c r="F105" s="329">
        <f t="shared" ref="F105:K105" si="31">AN97/AF97</f>
        <v>0.3</v>
      </c>
      <c r="G105" s="15">
        <f t="shared" si="31"/>
        <v>0.33333333333333331</v>
      </c>
      <c r="H105" s="15">
        <f t="shared" si="31"/>
        <v>0.375</v>
      </c>
      <c r="I105" s="15">
        <f t="shared" si="31"/>
        <v>0.42857142857142855</v>
      </c>
      <c r="J105" s="15">
        <f t="shared" si="31"/>
        <v>0.5</v>
      </c>
      <c r="K105" s="15" t="e">
        <f t="shared" si="31"/>
        <v>#N/A</v>
      </c>
      <c r="N105" s="320"/>
      <c r="O105" s="320"/>
      <c r="P105" s="320"/>
      <c r="Q105" s="320"/>
      <c r="R105" s="320"/>
      <c r="S105" s="320"/>
      <c r="T105" s="302"/>
      <c r="U105" s="302"/>
      <c r="V105" s="302"/>
      <c r="W105" s="302"/>
      <c r="AE105" s="237" t="s">
        <v>293</v>
      </c>
      <c r="AF105" s="16" t="s">
        <v>252</v>
      </c>
      <c r="AG105" s="16" t="s">
        <v>253</v>
      </c>
      <c r="AH105" s="16" t="s">
        <v>254</v>
      </c>
      <c r="AI105" s="16" t="s">
        <v>255</v>
      </c>
      <c r="AJ105" s="16" t="s">
        <v>256</v>
      </c>
      <c r="AK105" s="16" t="s">
        <v>257</v>
      </c>
      <c r="AM105" s="237" t="s">
        <v>259</v>
      </c>
      <c r="AN105" s="16" t="s">
        <v>252</v>
      </c>
      <c r="AO105" s="16" t="s">
        <v>253</v>
      </c>
      <c r="AP105" s="16" t="s">
        <v>254</v>
      </c>
      <c r="AQ105" s="16" t="s">
        <v>255</v>
      </c>
      <c r="AR105" s="16" t="s">
        <v>256</v>
      </c>
      <c r="AS105" s="16" t="s">
        <v>257</v>
      </c>
    </row>
    <row r="106" spans="1:45" ht="13.5" thickBot="1" x14ac:dyDescent="0.35">
      <c r="N106" s="16" t="s">
        <v>252</v>
      </c>
      <c r="O106" s="16" t="s">
        <v>253</v>
      </c>
      <c r="P106" s="16" t="s">
        <v>254</v>
      </c>
      <c r="Q106" s="16" t="s">
        <v>255</v>
      </c>
      <c r="R106" s="16" t="s">
        <v>256</v>
      </c>
      <c r="S106" s="16" t="s">
        <v>257</v>
      </c>
      <c r="AE106" s="237"/>
      <c r="AF106" s="316">
        <f>INDEX('Precio Mayorista'!$E$27:$J$27,MATCH('Precios mayoristas efectivos'!AF$105,'Precio Mayorista'!$E$20:$J$20,0))</f>
        <v>2000000</v>
      </c>
      <c r="AG106" s="316">
        <f>INDEX('Precio Mayorista'!$E$27:$J$27,MATCH('Precios mayoristas efectivos'!AG$105,'Precio Mayorista'!$E$20:$J$20,0))</f>
        <v>2000000</v>
      </c>
      <c r="AH106" s="316">
        <f>INDEX('Precio Mayorista'!$E$27:$J$27,MATCH('Precios mayoristas efectivos'!AH$105,'Precio Mayorista'!$E$20:$J$20,0))</f>
        <v>2000000</v>
      </c>
      <c r="AI106" s="316">
        <f>INDEX('Precio Mayorista'!$E$27:$J$27,MATCH('Precios mayoristas efectivos'!AI$105,'Precio Mayorista'!$E$20:$J$20,0))</f>
        <v>2000000</v>
      </c>
      <c r="AJ106" s="316">
        <f>INDEX('Precio Mayorista'!$E$27:$J$27,MATCH('Precios mayoristas efectivos'!AJ$105,'Precio Mayorista'!$E$20:$J$20,0))</f>
        <v>2000000</v>
      </c>
      <c r="AK106" s="316">
        <f>INDEX('Precio Mayorista'!$E$27:$J$27,MATCH('Precios mayoristas efectivos'!AK$105,'Precio Mayorista'!$E$20:$J$20,0))</f>
        <v>0</v>
      </c>
      <c r="AM106" s="202"/>
      <c r="AN106">
        <f>INDEX('Precio Mayorista'!$D$63:$J$63,1,MATCH('Precio Mayorista'!E$24,'Precio Mayorista'!$D$29:$J$29,0))</f>
        <v>300000</v>
      </c>
      <c r="AO106">
        <f>INDEX('Precio Mayorista'!$D$63:$J$63,1,MATCH('Precio Mayorista'!F$24,'Precio Mayorista'!$D$29:$J$29,0))</f>
        <v>300000</v>
      </c>
      <c r="AP106">
        <f>INDEX('Precio Mayorista'!$D$63:$J$63,1,MATCH('Precio Mayorista'!G$24,'Precio Mayorista'!$D$29:$J$29,0))</f>
        <v>300000</v>
      </c>
      <c r="AQ106">
        <f>INDEX('Precio Mayorista'!$D$63:$J$63,1,MATCH('Precio Mayorista'!H$24,'Precio Mayorista'!$D$29:$J$29,0))</f>
        <v>300000</v>
      </c>
      <c r="AR106">
        <f>INDEX('Precio Mayorista'!$D$63:$J$63,1,MATCH('Precio Mayorista'!I$24,'Precio Mayorista'!$D$29:$J$29,0))</f>
        <v>300000</v>
      </c>
      <c r="AS106" t="e">
        <f>INDEX('Precio Mayorista'!$D$63:$J$63,1,MATCH('Precio Mayorista'!J$24,'Precio Mayorista'!$D$29:$J$29,0))</f>
        <v>#N/A</v>
      </c>
    </row>
    <row r="107" spans="1:45" ht="52" x14ac:dyDescent="0.25">
      <c r="M107" s="568" t="s">
        <v>360</v>
      </c>
      <c r="N107" s="570" t="s">
        <v>361</v>
      </c>
      <c r="O107" s="570" t="s">
        <v>361</v>
      </c>
      <c r="P107" s="570" t="s">
        <v>361</v>
      </c>
      <c r="Q107" s="570" t="s">
        <v>361</v>
      </c>
      <c r="R107" s="570" t="s">
        <v>361</v>
      </c>
      <c r="S107" s="570" t="s">
        <v>361</v>
      </c>
      <c r="T107" s="336" t="s">
        <v>362</v>
      </c>
      <c r="U107" s="336" t="s">
        <v>363</v>
      </c>
      <c r="V107" s="367"/>
    </row>
    <row r="108" spans="1:45" ht="13" x14ac:dyDescent="0.3">
      <c r="M108" s="569"/>
      <c r="N108" s="571"/>
      <c r="O108" s="571"/>
      <c r="P108" s="571"/>
      <c r="Q108" s="571"/>
      <c r="R108" s="571"/>
      <c r="S108" s="571"/>
      <c r="T108" s="16"/>
      <c r="U108" s="16"/>
      <c r="V108" s="16"/>
      <c r="AE108" s="300" t="s">
        <v>347</v>
      </c>
      <c r="AF108" s="300"/>
      <c r="AG108" s="300"/>
      <c r="AH108" s="300"/>
      <c r="AI108" s="300"/>
      <c r="AJ108" s="300"/>
      <c r="AK108" s="300"/>
      <c r="AM108" s="300" t="s">
        <v>348</v>
      </c>
      <c r="AN108" s="300"/>
      <c r="AO108" s="300"/>
      <c r="AP108" s="300"/>
      <c r="AQ108" s="300"/>
      <c r="AR108" s="300"/>
      <c r="AS108" s="300"/>
    </row>
    <row r="109" spans="1:45" ht="13" x14ac:dyDescent="0.25">
      <c r="M109" s="365">
        <v>0</v>
      </c>
      <c r="N109" s="327">
        <f>IF($M$109='Precio Mayorista'!E$24,(INDEX('Precio Mayorista'!$D$49:$J$49,MATCH($M109,'Precio Mayorista'!$D$29:$J$29,0))*N99),0)</f>
        <v>0</v>
      </c>
      <c r="O109" s="327">
        <f>IF($M$109='Precio Mayorista'!F$24,(INDEX('Precio Mayorista'!$D$49:$J$49,MATCH($M109,'Precio Mayorista'!$D$29:$J$29,0))*O99),0)</f>
        <v>0</v>
      </c>
      <c r="P109" s="327">
        <f>IF($M$109='Precio Mayorista'!G$24,(INDEX('Precio Mayorista'!$D$49:$J$49,MATCH($M109,'Precio Mayorista'!$D$29:$J$29,0))*P99),0)</f>
        <v>0</v>
      </c>
      <c r="Q109" s="327">
        <f>IF($M$109='Precio Mayorista'!H$24,(INDEX('Precio Mayorista'!$D$49:$J$49,MATCH($M109,'Precio Mayorista'!$D$29:$J$29,0))*Q99),0)</f>
        <v>0</v>
      </c>
      <c r="R109" s="327">
        <f>IF($M$109='Precio Mayorista'!I$24,(INDEX('Precio Mayorista'!$D$49:$J$49,MATCH($M109,'Precio Mayorista'!$D$29:$J$29,0))*R99),0)</f>
        <v>0</v>
      </c>
      <c r="S109" s="327" t="e">
        <f>IF($M$109='Precio Mayorista'!J$24,(INDEX('Precio Mayorista'!$D$49:$J$49,MATCH($M109,'Precio Mayorista'!$D$29:$J$29,0))*S99),0)</f>
        <v>#N/A</v>
      </c>
      <c r="T109" s="363">
        <f>'Precio Mayorista'!D39</f>
        <v>100000000</v>
      </c>
      <c r="U109" s="363"/>
      <c r="V109" s="327"/>
    </row>
    <row r="110" spans="1:45" ht="13" x14ac:dyDescent="0.3">
      <c r="A110" s="301"/>
      <c r="B110" s="301"/>
      <c r="M110" s="365">
        <v>1</v>
      </c>
      <c r="N110" s="327">
        <f>IF($M$110='Precio Mayorista'!E$24,(INDEX('Precio Mayorista'!$D$49:$J$49,MATCH($M$109,'Precio Mayorista'!$D$29:$J$29,0))*$T$109)+(INDEX('Precio Mayorista'!$D$49:$J$49,MATCH($M$110,'Precio Mayorista'!$D$29:$J$29,0))*(N99-$T$109)),0)</f>
        <v>0</v>
      </c>
      <c r="O110" s="327">
        <f>IF($M$110='Precio Mayorista'!F$24,(INDEX('Precio Mayorista'!$D$49:$J$49,MATCH($M$109,'Precio Mayorista'!$D$29:$J$29,0))*$T$109)+(INDEX('Precio Mayorista'!$D$49:$J$49,MATCH($M$110,'Precio Mayorista'!$D$29:$J$29,0))*(O99-$T$109)),0)</f>
        <v>0</v>
      </c>
      <c r="P110" s="327">
        <f>IF($M$110='Precio Mayorista'!G$24,(INDEX('Precio Mayorista'!$D$49:$J$49,MATCH($M$109,'Precio Mayorista'!$D$29:$J$29,0))*$T$109)+(INDEX('Precio Mayorista'!$D$49:$J$49,MATCH($M$110,'Precio Mayorista'!$D$29:$J$29,0))*(P99-$T$109)),0)</f>
        <v>0</v>
      </c>
      <c r="Q110" s="327">
        <f>IF($M$110='Precio Mayorista'!H$24,(INDEX('Precio Mayorista'!$D$49:$J$49,MATCH($M$109,'Precio Mayorista'!$D$29:$J$29,0))*$T$109)+(INDEX('Precio Mayorista'!$D$49:$J$49,MATCH($M$110,'Precio Mayorista'!$D$29:$J$29,0))*(Q99-$T$109)),0)</f>
        <v>9449999.9999999981</v>
      </c>
      <c r="R110" s="327">
        <f>IF($M$110='Precio Mayorista'!I$24,(INDEX('Precio Mayorista'!$D$49:$J$49,MATCH($M$109,'Precio Mayorista'!$D$29:$J$29,0))*$T$109)+(INDEX('Precio Mayorista'!$D$49:$J$49,MATCH($M$110,'Precio Mayorista'!$D$29:$J$29,0))*(R99-$T$109)),0)</f>
        <v>4949999.9999999991</v>
      </c>
      <c r="S110" s="327" t="e">
        <f>IF($M$110='Precio Mayorista'!J$24,(INDEX('Precio Mayorista'!$D$49:$J$49,MATCH($M$109,'Precio Mayorista'!$D$29:$J$29,0))*$T$109)+(INDEX('Precio Mayorista'!$D$49:$J$49,MATCH($M$110,'Precio Mayorista'!$D$29:$J$29,0))*(S99-$T$109)),0)</f>
        <v>#N/A</v>
      </c>
      <c r="T110" s="235">
        <f>'Precio Mayorista'!E39</f>
        <v>800000000</v>
      </c>
      <c r="U110" s="235">
        <f>T110-T109</f>
        <v>700000000</v>
      </c>
      <c r="V110" s="235"/>
      <c r="AE110" s="237" t="s">
        <v>293</v>
      </c>
      <c r="AF110" s="16" t="s">
        <v>252</v>
      </c>
      <c r="AG110" s="16" t="s">
        <v>253</v>
      </c>
      <c r="AH110" s="16" t="s">
        <v>254</v>
      </c>
      <c r="AI110" s="16" t="s">
        <v>255</v>
      </c>
      <c r="AJ110" s="16" t="s">
        <v>256</v>
      </c>
      <c r="AK110" s="16" t="s">
        <v>257</v>
      </c>
      <c r="AM110" s="237" t="s">
        <v>259</v>
      </c>
      <c r="AN110" s="16" t="s">
        <v>252</v>
      </c>
      <c r="AO110" s="16" t="s">
        <v>253</v>
      </c>
      <c r="AP110" s="16" t="s">
        <v>254</v>
      </c>
      <c r="AQ110" s="16" t="s">
        <v>255</v>
      </c>
      <c r="AR110" s="16" t="s">
        <v>256</v>
      </c>
      <c r="AS110" s="16" t="s">
        <v>257</v>
      </c>
    </row>
    <row r="111" spans="1:45" ht="13" x14ac:dyDescent="0.3">
      <c r="M111" s="365">
        <v>2</v>
      </c>
      <c r="N111" s="327">
        <f>IF($M$111='Precio Mayorista'!E$24,(INDEX('Precio Mayorista'!$D$49:$J$49,MATCH($M$109,'Precio Mayorista'!$D$29:$J$29,0))*'Precios mayoristas efectivos'!$T$109)+(INDEX('Precio Mayorista'!$D$49:$J$49,MATCH($M$110,'Precio Mayorista'!$D$29:$J$29,0))*$U$110)+(INDEX('Precio Mayorista'!$D$49:$J$49,MATCH($M$111,'Precio Mayorista'!$D$29:$J$29,0))*(N99-'Precios mayoristas efectivos'!$T$110)),0)</f>
        <v>22083333.333333336</v>
      </c>
      <c r="O111" s="327">
        <f>IF($M$111='Precio Mayorista'!F$24,(INDEX('Precio Mayorista'!$D$49:$J$49,MATCH($M$109,'Precio Mayorista'!$D$29:$J$29,0))*'Precios mayoristas efectivos'!$T$109)+(INDEX('Precio Mayorista'!$D$49:$J$49,MATCH($M$110,'Precio Mayorista'!$D$29:$J$29,0))*$U$110)+(INDEX('Precio Mayorista'!$D$49:$J$49,MATCH($M$111,'Precio Mayorista'!$D$29:$J$29,0))*(O99-'Precios mayoristas efectivos'!$T$110)),0)</f>
        <v>17916666.666666664</v>
      </c>
      <c r="P111" s="327">
        <f>IF($M$111='Precio Mayorista'!G$24,(INDEX('Precio Mayorista'!$D$49:$J$49,MATCH($M$109,'Precio Mayorista'!$D$29:$J$29,0))*'Precios mayoristas efectivos'!$T$109)+(INDEX('Precio Mayorista'!$D$49:$J$49,MATCH($M$110,'Precio Mayorista'!$D$29:$J$29,0))*$U$110)+(INDEX('Precio Mayorista'!$D$49:$J$49,MATCH($M$111,'Precio Mayorista'!$D$29:$J$29,0))*(P99-'Precios mayoristas efectivos'!$T$110)),0)</f>
        <v>13750000</v>
      </c>
      <c r="Q111" s="327">
        <f>IF($M$111='Precio Mayorista'!H$24,(INDEX('Precio Mayorista'!$D$49:$J$49,MATCH($M$109,'Precio Mayorista'!$D$29:$J$29,0))*'Precios mayoristas efectivos'!$T$109)+(INDEX('Precio Mayorista'!$D$49:$J$49,MATCH($M$110,'Precio Mayorista'!$D$29:$J$29,0))*$U$110)+(INDEX('Precio Mayorista'!$D$49:$J$49,MATCH($M$111,'Precio Mayorista'!$D$29:$J$29,0))*(Q99-'Precios mayoristas efectivos'!$T$110)),0)</f>
        <v>0</v>
      </c>
      <c r="R111" s="327">
        <f>IF($M$111='Precio Mayorista'!I$24,(INDEX('Precio Mayorista'!$D$49:$J$49,MATCH($M$109,'Precio Mayorista'!$D$29:$J$29,0))*'Precios mayoristas efectivos'!$T$109)+(INDEX('Precio Mayorista'!$D$49:$J$49,MATCH($M$110,'Precio Mayorista'!$D$29:$J$29,0))*$U$110)+(INDEX('Precio Mayorista'!$D$49:$J$49,MATCH($M$111,'Precio Mayorista'!$D$29:$J$29,0))*(R99-'Precios mayoristas efectivos'!$T$110)),0)</f>
        <v>0</v>
      </c>
      <c r="S111" s="327" t="e">
        <f>IF($M$111='Precio Mayorista'!J$24,(INDEX('Precio Mayorista'!$D$49:$J$49,MATCH($M$109,'Precio Mayorista'!$D$29:$J$29,0))*'Precios mayoristas efectivos'!$T$109)+(INDEX('Precio Mayorista'!$D$49:$J$49,MATCH($M$110,'Precio Mayorista'!$D$29:$J$29,0))*$U$110)+(INDEX('Precio Mayorista'!$D$49:$J$49,MATCH($M$111,'Precio Mayorista'!$D$29:$J$29,0))*(S99-'Precios mayoristas efectivos'!$T$110)),0)</f>
        <v>#N/A</v>
      </c>
      <c r="T111" s="234"/>
      <c r="AF111" s="203">
        <f t="shared" ref="AF111:AK111" si="32">IF((AF97-AF106)&lt;=0,0,AF97-AF106)</f>
        <v>0</v>
      </c>
      <c r="AG111" s="203">
        <f t="shared" si="32"/>
        <v>0</v>
      </c>
      <c r="AH111" s="203">
        <f t="shared" si="32"/>
        <v>0</v>
      </c>
      <c r="AI111" s="203">
        <f t="shared" si="32"/>
        <v>0</v>
      </c>
      <c r="AJ111" s="203">
        <f t="shared" si="32"/>
        <v>0</v>
      </c>
      <c r="AK111" s="203">
        <f t="shared" si="32"/>
        <v>0</v>
      </c>
      <c r="AM111" s="237"/>
      <c r="AN111" s="319">
        <f>IFERROR(AF111*INDEX('Precio Mayorista'!$D$66:$J$66,MATCH('Precio Mayorista'!E24,'Precio Mayorista'!$D$29:$J$29,0)),0)</f>
        <v>0</v>
      </c>
      <c r="AO111" s="319">
        <f>IFERROR(AG111*INDEX('Precio Mayorista'!$D$66:$J$66,MATCH('Precio Mayorista'!F24,'Precio Mayorista'!$D$29:$J$29,0)),0)</f>
        <v>0</v>
      </c>
      <c r="AP111" s="319">
        <f>IFERROR(AH111*INDEX('Precio Mayorista'!$D$66:$J$66,MATCH('Precio Mayorista'!G24,'Precio Mayorista'!$D$29:$J$29,0)),0)</f>
        <v>0</v>
      </c>
      <c r="AQ111" s="319">
        <f>IFERROR(AI111*INDEX('Precio Mayorista'!$D$66:$J$66,MATCH('Precio Mayorista'!H24,'Precio Mayorista'!$D$29:$J$29,0)),0)</f>
        <v>0</v>
      </c>
      <c r="AR111" s="319">
        <f>IFERROR(AJ111*INDEX('Precio Mayorista'!$D$66:$J$66,MATCH('Precio Mayorista'!I24,'Precio Mayorista'!$D$29:$J$29,0)),0)</f>
        <v>0</v>
      </c>
      <c r="AS111" s="319">
        <f>IFERROR(AK111*INDEX('Precio Mayorista'!$D$66:$J$66,MATCH('Precio Mayorista'!J24,'Precio Mayorista'!$D$29:$J$29,0)),0)</f>
        <v>0</v>
      </c>
    </row>
    <row r="112" spans="1:45" ht="13" x14ac:dyDescent="0.25">
      <c r="M112" s="365">
        <v>3</v>
      </c>
      <c r="N112" s="327">
        <f>IF($M$112='Precio Mayorista'!E$24,(INDEX('Precio Mayorista'!$D$49:$J$49,MATCH($M$112,'Precio Mayorista'!$D$29:$J$29,0))*N99),0)</f>
        <v>0</v>
      </c>
      <c r="O112" s="327">
        <f>IF($M$112='Precio Mayorista'!F$24,(INDEX('Precio Mayorista'!$D$49:$J$49,MATCH($M$112,'Precio Mayorista'!$D$29:$J$29,0))*O99),0)</f>
        <v>0</v>
      </c>
      <c r="P112" s="327">
        <f>IF($M$112='Precio Mayorista'!G$24,(INDEX('Precio Mayorista'!$D$49:$J$49,MATCH($M$112,'Precio Mayorista'!$D$29:$J$29,0))*P99),0)</f>
        <v>0</v>
      </c>
      <c r="Q112" s="327">
        <f>IF($M$112='Precio Mayorista'!H$24,(INDEX('Precio Mayorista'!$D$49:$J$49,MATCH($M$112,'Precio Mayorista'!$D$29:$J$29,0))*Q99),0)</f>
        <v>0</v>
      </c>
      <c r="R112" s="327">
        <f>IF($M$112='Precio Mayorista'!I$24,(INDEX('Precio Mayorista'!$D$49:$J$49,MATCH($M$112,'Precio Mayorista'!$D$29:$J$29,0))*R99),0)</f>
        <v>0</v>
      </c>
      <c r="S112" s="327" t="e">
        <f>IF($M$112='Precio Mayorista'!J$24,(INDEX('Precio Mayorista'!$D$49:$J$49,MATCH($M$112,'Precio Mayorista'!$D$29:$J$29,0))*S99),0)</f>
        <v>#N/A</v>
      </c>
      <c r="T112" s="316">
        <f>'Precio Mayorista'!G39</f>
        <v>0</v>
      </c>
    </row>
    <row r="113" spans="9:37" ht="13" x14ac:dyDescent="0.25">
      <c r="M113" s="365">
        <v>4</v>
      </c>
      <c r="N113" s="327">
        <f>IF($M$113='Precio Mayorista'!E$24,(INDEX('Precio Mayorista'!$D$49:$J$49,MATCH($M$112,'Precio Mayorista'!$D$29:$J$29,0))*$T$112)+(INDEX('Precio Mayorista'!$D$49:$J$49,MATCH($M$113,'Precio Mayorista'!$D$29:$J$29,0))*(N99-'Precios mayoristas efectivos'!$T$112)),0)</f>
        <v>0</v>
      </c>
      <c r="O113" s="327">
        <f>IF($M$113='Precio Mayorista'!F$24,(INDEX('Precio Mayorista'!$D$49:$J$49,MATCH($M$112,'Precio Mayorista'!$D$29:$J$29,0))*$T$112)+(INDEX('Precio Mayorista'!$D$49:$J$49,MATCH($M$113,'Precio Mayorista'!$D$29:$J$29,0))*(O99-'Precios mayoristas efectivos'!$T$112)),0)</f>
        <v>0</v>
      </c>
      <c r="P113" s="327">
        <f>IF($M$113='Precio Mayorista'!G$24,(INDEX('Precio Mayorista'!$D$49:$J$49,MATCH($M$112,'Precio Mayorista'!$D$29:$J$29,0))*$T$112)+(INDEX('Precio Mayorista'!$D$49:$J$49,MATCH($M$113,'Precio Mayorista'!$D$29:$J$29,0))*(P99-'Precios mayoristas efectivos'!$T$112)),0)</f>
        <v>0</v>
      </c>
      <c r="Q113" s="327">
        <f>IF($M$113='Precio Mayorista'!H$24,(INDEX('Precio Mayorista'!$D$49:$J$49,MATCH($M$112,'Precio Mayorista'!$D$29:$J$29,0))*$T$112)+(INDEX('Precio Mayorista'!$D$49:$J$49,MATCH($M$113,'Precio Mayorista'!$D$29:$J$29,0))*(Q99-'Precios mayoristas efectivos'!$T$112)),0)</f>
        <v>0</v>
      </c>
      <c r="R113" s="327">
        <f>IF($M$113='Precio Mayorista'!I$24,(INDEX('Precio Mayorista'!$D$49:$J$49,MATCH($M$112,'Precio Mayorista'!$D$29:$J$29,0))*$T$112)+(INDEX('Precio Mayorista'!$D$49:$J$49,MATCH($M$113,'Precio Mayorista'!$D$29:$J$29,0))*(R99-'Precios mayoristas efectivos'!$T$112)),0)</f>
        <v>0</v>
      </c>
      <c r="S113" s="327" t="e">
        <f>IF($M$113='Precio Mayorista'!J$24,(INDEX('Precio Mayorista'!$D$49:$J$49,MATCH($M$112,'Precio Mayorista'!$D$29:$J$29,0))*$T$112)+(INDEX('Precio Mayorista'!$D$49:$J$49,MATCH($M$113,'Precio Mayorista'!$D$29:$J$29,0))*(S99-'Precios mayoristas efectivos'!$T$112)),0)</f>
        <v>#N/A</v>
      </c>
    </row>
    <row r="114" spans="9:37" ht="13" x14ac:dyDescent="0.3">
      <c r="M114" s="365">
        <v>5</v>
      </c>
      <c r="N114" s="327">
        <f>IF($M$114='Precio Mayorista'!E$24,(INDEX('Precio Mayorista'!$D$49:$J$49,MATCH($M$114,'Precio Mayorista'!$D$29:$J$29,0))*N99),0)</f>
        <v>0</v>
      </c>
      <c r="O114" s="327">
        <f>IF($M$114='Precio Mayorista'!F$24,(INDEX('Precio Mayorista'!$D$49:$J$49,MATCH($M$114,'Precio Mayorista'!$D$29:$J$29,0))*O99),0)</f>
        <v>0</v>
      </c>
      <c r="P114" s="327">
        <f>IF($M$114='Precio Mayorista'!G$24,(INDEX('Precio Mayorista'!$D$49:$J$49,MATCH($M$114,'Precio Mayorista'!$D$29:$J$29,0))*P99),0)</f>
        <v>0</v>
      </c>
      <c r="Q114" s="327">
        <f>IF($M$114='Precio Mayorista'!H$24,(INDEX('Precio Mayorista'!$D$49:$J$49,MATCH($M$114,'Precio Mayorista'!$D$29:$J$29,0))*Q99),0)</f>
        <v>0</v>
      </c>
      <c r="R114" s="327">
        <f>IF($M$114='Precio Mayorista'!I$24,(INDEX('Precio Mayorista'!$D$49:$J$49,MATCH($M$114,'Precio Mayorista'!$D$29:$J$29,0))*R99),0)</f>
        <v>0</v>
      </c>
      <c r="S114" s="327" t="e">
        <f>IF($M$114='Precio Mayorista'!J$24,(INDEX('Precio Mayorista'!$D$49:$J$49,MATCH($M$114,'Precio Mayorista'!$D$29:$J$29,0))*S99),0)</f>
        <v>#N/A</v>
      </c>
      <c r="AE114" s="237"/>
      <c r="AF114" s="16"/>
      <c r="AG114" s="16"/>
      <c r="AH114" s="16"/>
      <c r="AI114" s="16"/>
      <c r="AJ114" s="16"/>
      <c r="AK114" s="16"/>
    </row>
    <row r="115" spans="9:37" ht="13" x14ac:dyDescent="0.3">
      <c r="M115" s="366" t="s">
        <v>124</v>
      </c>
      <c r="N115" s="328">
        <f t="shared" ref="N115:S115" si="33">SUM(N109:N114)</f>
        <v>22083333.333333336</v>
      </c>
      <c r="O115" s="328">
        <f t="shared" si="33"/>
        <v>17916666.666666664</v>
      </c>
      <c r="P115" s="328">
        <f t="shared" si="33"/>
        <v>13750000</v>
      </c>
      <c r="Q115" s="328">
        <f t="shared" si="33"/>
        <v>9449999.9999999981</v>
      </c>
      <c r="R115" s="328">
        <f t="shared" si="33"/>
        <v>4949999.9999999991</v>
      </c>
      <c r="S115" s="328" t="e">
        <f t="shared" si="33"/>
        <v>#N/A</v>
      </c>
      <c r="AE115" s="16"/>
      <c r="AF115" s="16"/>
      <c r="AG115" s="16"/>
      <c r="AH115" s="16"/>
      <c r="AI115" s="16"/>
      <c r="AJ115" s="16"/>
      <c r="AK115" s="16"/>
    </row>
    <row r="116" spans="9:37" ht="13" x14ac:dyDescent="0.3">
      <c r="AE116" s="237"/>
      <c r="AF116" s="16"/>
      <c r="AG116" s="16"/>
      <c r="AH116" s="16"/>
      <c r="AI116" s="16"/>
      <c r="AJ116" s="16"/>
      <c r="AK116" s="16"/>
    </row>
    <row r="117" spans="9:37" ht="25.4" customHeight="1" x14ac:dyDescent="0.3">
      <c r="M117" s="566" t="s">
        <v>356</v>
      </c>
      <c r="N117" s="567"/>
      <c r="O117" s="567"/>
      <c r="P117" s="567"/>
      <c r="Q117" s="567"/>
      <c r="R117" s="567"/>
      <c r="S117" s="567"/>
      <c r="T117" s="567"/>
      <c r="U117" s="567"/>
      <c r="V117" s="364"/>
      <c r="W117" s="362"/>
      <c r="AE117" s="237"/>
    </row>
    <row r="118" spans="9:37" ht="13" x14ac:dyDescent="0.3">
      <c r="I118" s="16"/>
      <c r="J118" s="16"/>
      <c r="K118" s="16"/>
      <c r="M118" s="362"/>
      <c r="N118" s="362"/>
      <c r="AE118" s="237"/>
      <c r="AF118" s="16"/>
      <c r="AG118" s="16"/>
      <c r="AH118" s="16"/>
      <c r="AI118" s="16"/>
      <c r="AJ118" s="16"/>
      <c r="AK118" s="16"/>
    </row>
  </sheetData>
  <mergeCells count="10">
    <mergeCell ref="M30:S30"/>
    <mergeCell ref="W101:AC101"/>
    <mergeCell ref="M117:U117"/>
    <mergeCell ref="M107:M108"/>
    <mergeCell ref="N107:N108"/>
    <mergeCell ref="O107:O108"/>
    <mergeCell ref="P107:P108"/>
    <mergeCell ref="Q107:Q108"/>
    <mergeCell ref="R107:R108"/>
    <mergeCell ref="S107:S108"/>
  </mergeCells>
  <conditionalFormatting sqref="N57:S57">
    <cfRule type="cellIs" dxfId="3" priority="5" operator="equal">
      <formula>TRUE</formula>
    </cfRule>
  </conditionalFormatting>
  <conditionalFormatting sqref="N81:S81">
    <cfRule type="cellIs" dxfId="2" priority="3" operator="equal">
      <formula>TRUE</formula>
    </cfRule>
  </conditionalFormatting>
  <conditionalFormatting sqref="T109:V109 N109:S114">
    <cfRule type="expression" dxfId="1" priority="155">
      <formula>#REF!=$E$33</formula>
    </cfRule>
  </conditionalFormatting>
  <conditionalFormatting sqref="X57:AC57">
    <cfRule type="cellIs" dxfId="0" priority="1" operator="equal">
      <formula>TRUE</formula>
    </cfRule>
  </conditionalFormatting>
  <hyperlinks>
    <hyperlink ref="B3" location="'Resultados &gt;&gt;'!A1" display="Ir a Resultados &gt;&gt;" xr:uid="{00000000-0004-0000-0D00-000000000000}"/>
  </hyperlinks>
  <pageMargins left="0.7" right="0.7" top="0.75" bottom="0.75" header="0.3" footer="0.3"/>
  <pageSetup paperSize="9" orientation="portrait"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Hoja5">
    <tabColor theme="9" tint="0.79998168889431442"/>
  </sheetPr>
  <dimension ref="A1:BB61"/>
  <sheetViews>
    <sheetView showGridLines="0" topLeftCell="A49" zoomScale="70" zoomScaleNormal="70" workbookViewId="0">
      <selection activeCell="C4" sqref="C4"/>
    </sheetView>
  </sheetViews>
  <sheetFormatPr baseColWidth="10" defaultColWidth="8.81640625" defaultRowHeight="12.5" x14ac:dyDescent="0.25"/>
  <cols>
    <col min="1" max="1" width="1.81640625" customWidth="1"/>
    <col min="2" max="2" width="34.81640625" customWidth="1"/>
    <col min="3" max="3" width="22.54296875" customWidth="1"/>
    <col min="4" max="4" width="19.81640625" customWidth="1"/>
    <col min="5" max="5" width="16.81640625" customWidth="1"/>
    <col min="6" max="6" width="17.1796875" bestFit="1" customWidth="1"/>
    <col min="7" max="7" width="17.54296875" customWidth="1"/>
    <col min="8" max="10" width="16.81640625" customWidth="1"/>
    <col min="11" max="11" width="24.54296875" customWidth="1"/>
    <col min="12" max="16" width="16.1796875" customWidth="1"/>
    <col min="17" max="17" width="9.453125" customWidth="1"/>
    <col min="19" max="19" width="14.81640625" customWidth="1"/>
    <col min="20" max="20" width="30.1796875" customWidth="1"/>
    <col min="21" max="21" width="15.1796875" customWidth="1"/>
    <col min="29" max="29" width="22.54296875" customWidth="1"/>
    <col min="30" max="30" width="18.54296875" customWidth="1"/>
    <col min="38" max="38" width="26.81640625" customWidth="1"/>
    <col min="39" max="39" width="12.81640625" customWidth="1"/>
    <col min="42" max="42" width="10.1796875" customWidth="1"/>
    <col min="47" max="47" width="31.1796875" customWidth="1"/>
    <col min="48" max="48" width="13.54296875" customWidth="1"/>
    <col min="50" max="50" width="13.453125" customWidth="1"/>
    <col min="51" max="51" width="13.81640625" customWidth="1"/>
  </cols>
  <sheetData>
    <row r="1" spans="2:48" s="1" customFormat="1" ht="20" x14ac:dyDescent="0.4">
      <c r="B1" s="1" t="s">
        <v>364</v>
      </c>
    </row>
    <row r="3" spans="2:48" ht="20.149999999999999" customHeight="1" x14ac:dyDescent="0.3">
      <c r="B3" s="14" t="s">
        <v>90</v>
      </c>
      <c r="D3" s="573" t="s">
        <v>365</v>
      </c>
      <c r="E3" s="574"/>
      <c r="F3" s="574"/>
      <c r="G3" s="574"/>
      <c r="H3" s="574"/>
      <c r="I3" s="574"/>
      <c r="J3" s="575"/>
    </row>
    <row r="6" spans="2:48" s="165" customFormat="1" ht="13" x14ac:dyDescent="0.25">
      <c r="B6" s="164" t="s">
        <v>366</v>
      </c>
      <c r="D6" s="572"/>
      <c r="E6" s="572"/>
      <c r="F6" s="206"/>
      <c r="G6" s="206"/>
      <c r="K6" s="164"/>
    </row>
    <row r="7" spans="2:48" x14ac:dyDescent="0.25">
      <c r="B7" s="212" t="s">
        <v>367</v>
      </c>
      <c r="E7" s="135"/>
      <c r="F7" s="135"/>
      <c r="G7" s="135"/>
    </row>
    <row r="8" spans="2:48" ht="12.75" customHeight="1" x14ac:dyDescent="0.25">
      <c r="B8" s="576" t="s">
        <v>368</v>
      </c>
      <c r="C8" s="577"/>
      <c r="D8" s="577"/>
      <c r="E8" s="577"/>
      <c r="F8" s="577"/>
      <c r="G8" s="577"/>
      <c r="H8" s="578"/>
    </row>
    <row r="9" spans="2:48" x14ac:dyDescent="0.25">
      <c r="B9" s="579"/>
      <c r="C9" s="580"/>
      <c r="D9" s="580"/>
      <c r="E9" s="580"/>
      <c r="F9" s="580"/>
      <c r="G9" s="580"/>
      <c r="H9" s="581"/>
    </row>
    <row r="10" spans="2:48" x14ac:dyDescent="0.25">
      <c r="B10" s="579"/>
      <c r="C10" s="580"/>
      <c r="D10" s="580"/>
      <c r="E10" s="580"/>
      <c r="F10" s="580"/>
      <c r="G10" s="580"/>
      <c r="H10" s="581"/>
    </row>
    <row r="11" spans="2:48" x14ac:dyDescent="0.25">
      <c r="B11" s="582"/>
      <c r="C11" s="583"/>
      <c r="D11" s="583"/>
      <c r="E11" s="583"/>
      <c r="F11" s="583"/>
      <c r="G11" s="583"/>
      <c r="H11" s="584"/>
    </row>
    <row r="13" spans="2:48" ht="13.5" thickBot="1" x14ac:dyDescent="0.35">
      <c r="B13" s="16" t="s">
        <v>252</v>
      </c>
      <c r="K13" s="16" t="s">
        <v>253</v>
      </c>
      <c r="T13" s="16" t="s">
        <v>254</v>
      </c>
      <c r="AC13" s="16" t="s">
        <v>255</v>
      </c>
      <c r="AL13" s="16" t="s">
        <v>256</v>
      </c>
      <c r="AU13" s="16" t="s">
        <v>257</v>
      </c>
    </row>
    <row r="14" spans="2:48" ht="30" customHeight="1" thickBot="1" x14ac:dyDescent="0.35">
      <c r="B14" s="312" t="s">
        <v>369</v>
      </c>
      <c r="C14" s="220">
        <f>IF('Precio Mayorista'!$D$14=B18,INDEX(C17:I17,1,MATCH(C15,C18:I18,0)),IF('Precio Mayorista'!$D$14=B19,INDEX(C17:I17,1,MATCH(C15,C19:I19,0)),IF('Precio Mayorista'!$D$14=B20,INDEX(C17:I17,1,MATCH(C15,C20:I20,0)))))</f>
        <v>2</v>
      </c>
      <c r="K14" s="312" t="s">
        <v>369</v>
      </c>
      <c r="L14" s="220">
        <f>IF('Precio Mayorista'!$D$14=K18,INDEX(L17:R17,1,MATCH(L15,L18:R18,0)),IF('Precio Mayorista'!$D$14=K19,INDEX(L17:R17,1,MATCH(L15,L19:R19,0)),IF('Precio Mayorista'!$D$14=K20,INDEX(L17:R17,1,MATCH(L15,L20:R20,0)))))</f>
        <v>2</v>
      </c>
      <c r="T14" s="312" t="s">
        <v>369</v>
      </c>
      <c r="U14" s="220">
        <f>IF('Precio Mayorista'!$D$14=T18,INDEX(U17:AA17,1,MATCH(U15,U18:AA18,0)),IF('Precio Mayorista'!$D$14=T19,INDEX(U17:AA17,1,MATCH(U15,U19:AA19,0)),IF('Precio Mayorista'!$D$14=T20,INDEX(U17:AA17,1,MATCH(U15,U20:AA20,0)))))</f>
        <v>2</v>
      </c>
      <c r="AC14" s="312" t="s">
        <v>369</v>
      </c>
      <c r="AD14" s="220">
        <f>IF('Precio Mayorista'!$D$14=AC18,INDEX(AD17:AJ17,1,MATCH(AD15,AD18:AJ18,0)),IF('Precio Mayorista'!$D$14=AC19,INDEX(AD17:AJ17,1,MATCH(AD15,AD19:AJ19,0)),IF('Precio Mayorista'!$D$14=AC20,INDEX(AD17:AJ17,1,MATCH(AD15,AD20:AJ20,0)))))</f>
        <v>1</v>
      </c>
      <c r="AL14" s="312" t="s">
        <v>369</v>
      </c>
      <c r="AM14" s="220">
        <f>IF('Precio Mayorista'!$D$14=AL18,INDEX(AM17:AS17,1,MATCH(AM15,AM18:AS18,0)),IF('Precio Mayorista'!$D$14=AL19,INDEX(AM17:AS17,1,MATCH(AM15,AM19:AS19,0)),IF('Precio Mayorista'!$D$14=AL20,INDEX(AM17:AS17,1,MATCH(AM15,AM20:AS20,0)))))</f>
        <v>1</v>
      </c>
      <c r="AU14" s="312" t="s">
        <v>369</v>
      </c>
      <c r="AV14" s="220" t="e">
        <f>IF('Precio Mayorista'!$D$14=AU18,INDEX(AV17:BB17,1,MATCH(AV15,AV18:BB18,0)),IF('Precio Mayorista'!$D$14=AU19,INDEX(AV17:BB17,1,MATCH(AV15,AV19:BB19,0)),IF('Precio Mayorista'!$D$14=AU20,INDEX(AV17:BB17,1,MATCH(AV15,AV20:BB20,0)))))</f>
        <v>#N/A</v>
      </c>
    </row>
    <row r="15" spans="2:48" ht="14.25" customHeight="1" x14ac:dyDescent="0.3">
      <c r="B15" s="333" t="s">
        <v>370</v>
      </c>
      <c r="C15" s="334" t="b">
        <f>TRUE</f>
        <v>1</v>
      </c>
      <c r="D15" s="132"/>
      <c r="K15" s="333" t="s">
        <v>370</v>
      </c>
      <c r="L15" s="334" t="b">
        <f>TRUE</f>
        <v>1</v>
      </c>
      <c r="T15" s="333" t="s">
        <v>370</v>
      </c>
      <c r="U15" s="334" t="b">
        <f>TRUE</f>
        <v>1</v>
      </c>
      <c r="AC15" s="333" t="s">
        <v>370</v>
      </c>
      <c r="AD15" s="334" t="b">
        <f>TRUE</f>
        <v>1</v>
      </c>
      <c r="AL15" s="333" t="s">
        <v>370</v>
      </c>
      <c r="AM15" s="334" t="b">
        <f>TRUE</f>
        <v>1</v>
      </c>
      <c r="AU15" s="333" t="s">
        <v>370</v>
      </c>
      <c r="AV15" s="334" t="b">
        <f>TRUE</f>
        <v>1</v>
      </c>
    </row>
    <row r="16" spans="2:48" ht="16.399999999999999" customHeight="1" thickBot="1" x14ac:dyDescent="0.35">
      <c r="B16" s="16" t="s">
        <v>252</v>
      </c>
      <c r="K16" s="16" t="s">
        <v>253</v>
      </c>
      <c r="T16" s="16" t="s">
        <v>254</v>
      </c>
      <c r="AC16" s="16" t="s">
        <v>255</v>
      </c>
      <c r="AL16" s="16" t="s">
        <v>256</v>
      </c>
      <c r="AU16" s="16" t="s">
        <v>257</v>
      </c>
    </row>
    <row r="17" spans="2:54" ht="16.399999999999999" customHeight="1" thickBot="1" x14ac:dyDescent="0.3">
      <c r="B17" s="186" t="s">
        <v>371</v>
      </c>
      <c r="C17" s="187">
        <v>0</v>
      </c>
      <c r="D17" s="187">
        <v>1</v>
      </c>
      <c r="E17" s="187">
        <v>2</v>
      </c>
      <c r="F17" s="187">
        <v>3</v>
      </c>
      <c r="G17" s="187">
        <v>4</v>
      </c>
      <c r="H17" s="187">
        <v>5</v>
      </c>
      <c r="I17" s="187">
        <v>6</v>
      </c>
      <c r="K17" s="186" t="s">
        <v>371</v>
      </c>
      <c r="L17" s="187">
        <v>0</v>
      </c>
      <c r="M17" s="187">
        <v>1</v>
      </c>
      <c r="N17" s="187">
        <v>2</v>
      </c>
      <c r="O17" s="187">
        <v>3</v>
      </c>
      <c r="P17" s="187">
        <v>4</v>
      </c>
      <c r="Q17" s="187">
        <v>5</v>
      </c>
      <c r="R17" s="187">
        <v>6</v>
      </c>
      <c r="T17" s="186" t="s">
        <v>371</v>
      </c>
      <c r="U17" s="187">
        <v>0</v>
      </c>
      <c r="V17" s="187">
        <v>1</v>
      </c>
      <c r="W17" s="187">
        <v>2</v>
      </c>
      <c r="X17" s="187">
        <v>3</v>
      </c>
      <c r="Y17" s="187">
        <v>4</v>
      </c>
      <c r="Z17" s="187">
        <v>5</v>
      </c>
      <c r="AA17" s="187">
        <v>6</v>
      </c>
      <c r="AC17" s="186" t="s">
        <v>371</v>
      </c>
      <c r="AD17" s="187">
        <v>0</v>
      </c>
      <c r="AE17" s="187">
        <v>1</v>
      </c>
      <c r="AF17" s="187">
        <v>2</v>
      </c>
      <c r="AG17" s="187">
        <v>3</v>
      </c>
      <c r="AH17" s="187">
        <v>4</v>
      </c>
      <c r="AI17" s="187">
        <v>5</v>
      </c>
      <c r="AJ17" s="187">
        <v>6</v>
      </c>
      <c r="AL17" s="186" t="s">
        <v>371</v>
      </c>
      <c r="AM17" s="187">
        <v>0</v>
      </c>
      <c r="AN17" s="187">
        <v>1</v>
      </c>
      <c r="AO17" s="187">
        <v>2</v>
      </c>
      <c r="AP17" s="187">
        <v>3</v>
      </c>
      <c r="AQ17" s="187">
        <v>4</v>
      </c>
      <c r="AR17" s="187">
        <v>5</v>
      </c>
      <c r="AS17" s="187">
        <v>6</v>
      </c>
      <c r="AU17" s="186" t="s">
        <v>371</v>
      </c>
      <c r="AV17" s="187">
        <v>0</v>
      </c>
      <c r="AW17" s="187">
        <v>1</v>
      </c>
      <c r="AX17" s="187">
        <v>2</v>
      </c>
      <c r="AY17" s="187">
        <v>3</v>
      </c>
      <c r="AZ17" s="187">
        <v>4</v>
      </c>
      <c r="BA17" s="187">
        <v>5</v>
      </c>
      <c r="BB17" s="187">
        <v>6</v>
      </c>
    </row>
    <row r="18" spans="2:54" ht="16.399999999999999" customHeight="1" x14ac:dyDescent="0.25">
      <c r="B18" s="154" t="s">
        <v>372</v>
      </c>
      <c r="C18" s="290" t="b">
        <f>IF(AND(ISBLANK('Precio Mayorista'!$D$31),ISBLANK('Precio Mayorista'!$D$32)),FALSE,IF(AND('Precio Mayorista'!$E$21&gt;='Precio Mayorista'!$D$31,IF(ISBLANK('Precio Mayorista'!$D$32),"",'Precio Mayorista'!$E$21&lt;'Precio Mayorista'!$E$31)),TRUE,FALSE))</f>
        <v>0</v>
      </c>
      <c r="D18" s="290" t="b">
        <f>IF(AND(ISBLANK('Precio Mayorista'!$E$31),ISBLANK('Precio Mayorista'!$E$32)),FALSE,IF(AND('Precio Mayorista'!$E$21&gt;='Precio Mayorista'!$E$31,IF(ISBLANK('Precio Mayorista'!$E$32),"",'Precio Mayorista'!$E$21&lt;'Precio Mayorista'!$F$31)),TRUE,FALSE))</f>
        <v>0</v>
      </c>
      <c r="E18" s="290" t="b">
        <f>IF(AND(ISBLANK('Precio Mayorista'!$F$31),ISBLANK('Precio Mayorista'!$F$32)),FALSE,IF(AND('Precio Mayorista'!$E$21&gt;='Precio Mayorista'!$F$31,IF(ISBLANK('Precio Mayorista'!$F$32),"",'Precio Mayorista'!$E$21&lt;'Precio Mayorista'!$G$31)),TRUE,FALSE))</f>
        <v>0</v>
      </c>
      <c r="F18" s="290" t="b">
        <f>IF(AND(ISBLANK('Precio Mayorista'!$G$31),ISBLANK('Precio Mayorista'!$G$32)),FALSE,IF(AND('Precio Mayorista'!$E$21&gt;='Precio Mayorista'!$G$31,IF(ISBLANK('Precio Mayorista'!$G$32),"",'Precio Mayorista'!$E$21&lt;'Precio Mayorista'!$H$31)),TRUE,FALSE))</f>
        <v>0</v>
      </c>
      <c r="G18" s="290" t="b">
        <f>IF(AND(ISBLANK('Precio Mayorista'!$H$31),ISBLANK('Precio Mayorista'!$H$32)),FALSE,IF(AND('Precio Mayorista'!$E$21&gt;='Precio Mayorista'!$H$31,IF(ISBLANK('Precio Mayorista'!$H$32),"",'Precio Mayorista'!$E$21&lt;'Precio Mayorista'!$I$31)),TRUE,FALSE))</f>
        <v>0</v>
      </c>
      <c r="H18" s="290" t="b">
        <f>IF(AND(ISBLANK('Precio Mayorista'!$I$31),ISBLANK('Precio Mayorista'!$I$32)),FALSE,IF(AND('Precio Mayorista'!$E$21&gt;='Precio Mayorista'!$I$31,IF(ISBLANK('Precio Mayorista'!$I$32),"",'Precio Mayorista'!$E$21&lt;'Precio Mayorista'!$J$31)),TRUE,FALSE))</f>
        <v>0</v>
      </c>
      <c r="I18" s="290" t="b">
        <f>IF(AND(ISBLANK('Precio Mayorista'!$J$31),ISBLANK('Precio Mayorista'!$J$32)),FALSE,IF(AND('Precio Mayorista'!$E$21&gt;='Precio Mayorista'!$J$31,IF(ISBLANK('Precio Mayorista'!$J$32),"",'Precio Mayorista'!$E$21&lt;'Precio Mayorista'!$P$31)),TRUE,FALSE))</f>
        <v>0</v>
      </c>
      <c r="K18" s="154" t="s">
        <v>372</v>
      </c>
      <c r="L18" s="290" t="b">
        <f>IF(AND(ISBLANK('Precio Mayorista'!$D$31),ISBLANK('Precio Mayorista'!$D$32)),FALSE,IF(AND('Precio Mayorista'!$F$21&gt;='Precio Mayorista'!$D$31,IF(ISBLANK('Precio Mayorista'!$D$32),"",'Precio Mayorista'!$F$21&lt;'Precio Mayorista'!$E$31)),TRUE,FALSE))</f>
        <v>0</v>
      </c>
      <c r="M18" s="290" t="b">
        <f>IF(AND(ISBLANK('Precio Mayorista'!$E$31),ISBLANK('Precio Mayorista'!$E$32)),FALSE,IF(AND('Precio Mayorista'!$F$21&gt;='Precio Mayorista'!$E$31,IF(ISBLANK('Precio Mayorista'!$E$32),"",'Precio Mayorista'!$F$21&lt;'Precio Mayorista'!$F$31)),TRUE,FALSE))</f>
        <v>0</v>
      </c>
      <c r="N18" s="290" t="b">
        <f>IF(AND(ISBLANK('Precio Mayorista'!$F$31),ISBLANK('Precio Mayorista'!$F$32)),FALSE,IF(AND('Precio Mayorista'!$F$21&gt;='Precio Mayorista'!$F$31,IF(ISBLANK('Precio Mayorista'!$F$32),"",'Precio Mayorista'!$F$21&lt;'Precio Mayorista'!$G$31)),TRUE,FALSE))</f>
        <v>0</v>
      </c>
      <c r="O18" s="290" t="b">
        <f>IF(AND(ISBLANK('Precio Mayorista'!$G$31),ISBLANK('Precio Mayorista'!$G$32)),FALSE,IF(AND('Precio Mayorista'!$F$21&gt;='Precio Mayorista'!$G$31,IF(ISBLANK('Precio Mayorista'!$G$32),"",'Precio Mayorista'!$F$21&lt;'Precio Mayorista'!$H$31)),TRUE,FALSE))</f>
        <v>0</v>
      </c>
      <c r="P18" s="290" t="b">
        <f>IF(AND(ISBLANK('Precio Mayorista'!$H$31),ISBLANK('Precio Mayorista'!$H$32)),FALSE,IF(AND('Precio Mayorista'!$F$21&gt;='Precio Mayorista'!$H$31,IF(ISBLANK('Precio Mayorista'!$H$32),"",'Precio Mayorista'!$F$21&lt;'Precio Mayorista'!$I$31)),TRUE,FALSE))</f>
        <v>0</v>
      </c>
      <c r="Q18" s="290" t="b">
        <f>IF(AND(ISBLANK('Precio Mayorista'!$I$31),ISBLANK('Precio Mayorista'!$I$32)),FALSE,IF(AND('Precio Mayorista'!$F$21&gt;='Precio Mayorista'!$I$31,IF(ISBLANK('Precio Mayorista'!$I$32),"",'Precio Mayorista'!$F$21&lt;'Precio Mayorista'!$J$31)),TRUE,FALSE))</f>
        <v>0</v>
      </c>
      <c r="R18" s="290" t="b">
        <f>IF(AND(ISBLANK('Precio Mayorista'!$J$31),ISBLANK('Precio Mayorista'!$J$32)),FALSE,IF(AND('Precio Mayorista'!$F$21&gt;='Precio Mayorista'!$J$31,IF(ISBLANK('Precio Mayorista'!$J$32),"",'Precio Mayorista'!$F$21&lt;'Precio Mayorista'!$P$31)),TRUE,FALSE))</f>
        <v>0</v>
      </c>
      <c r="T18" s="154" t="s">
        <v>372</v>
      </c>
      <c r="U18" s="290" t="b">
        <f>IF(AND(ISBLANK('Precio Mayorista'!$D$31),ISBLANK('Precio Mayorista'!$D$32)),FALSE,IF(AND('Precio Mayorista'!$G$21&gt;='Precio Mayorista'!$D$31,IF(ISBLANK('Precio Mayorista'!$D$32),"",'Precio Mayorista'!$G$21&lt;'Precio Mayorista'!$E$31)),TRUE,FALSE))</f>
        <v>0</v>
      </c>
      <c r="V18" s="290" t="b">
        <f>IF(AND(ISBLANK('Precio Mayorista'!$E$31),ISBLANK('Precio Mayorista'!$E$32)),FALSE,IF(AND('Precio Mayorista'!$G$21&gt;='Precio Mayorista'!$E$31,IF(ISBLANK('Precio Mayorista'!$E$32),"",'Precio Mayorista'!$G$21&lt;'Precio Mayorista'!$F$31)),TRUE,FALSE))</f>
        <v>0</v>
      </c>
      <c r="W18" s="290" t="b">
        <f>IF(AND(ISBLANK('Precio Mayorista'!$F$31),ISBLANK('Precio Mayorista'!$F$32)),FALSE,IF(AND('Precio Mayorista'!$G$21&gt;='Precio Mayorista'!$F$31,IF(ISBLANK('Precio Mayorista'!$F$32),"",'Precio Mayorista'!$G$21&lt;'Precio Mayorista'!$G$31)),TRUE,FALSE))</f>
        <v>0</v>
      </c>
      <c r="X18" s="290" t="b">
        <f>IF(AND(ISBLANK('Precio Mayorista'!$G$31),ISBLANK('Precio Mayorista'!$G$32)),FALSE,IF(AND('Precio Mayorista'!$G$21&gt;='Precio Mayorista'!$G$31,IF(ISBLANK('Precio Mayorista'!$G$32),"",'Precio Mayorista'!$G$21&lt;'Precio Mayorista'!$H$31)),TRUE,FALSE))</f>
        <v>0</v>
      </c>
      <c r="Y18" s="290" t="b">
        <f>IF(AND(ISBLANK('Precio Mayorista'!$H$31),ISBLANK('Precio Mayorista'!$H$32)),FALSE,IF(AND('Precio Mayorista'!$G$21&gt;='Precio Mayorista'!$H$31,IF(ISBLANK('Precio Mayorista'!$H$32),"",'Precio Mayorista'!$G$21&lt;'Precio Mayorista'!$I$31)),TRUE,FALSE))</f>
        <v>0</v>
      </c>
      <c r="Z18" s="290" t="b">
        <f>IF(AND(ISBLANK('Precio Mayorista'!$I$31),ISBLANK('Precio Mayorista'!$I$32)),FALSE,IF(AND('Precio Mayorista'!$G$21&gt;='Precio Mayorista'!$I$31,IF(ISBLANK('Precio Mayorista'!$I$32),"",'Precio Mayorista'!$G$21&lt;'Precio Mayorista'!$J$31)),TRUE,FALSE))</f>
        <v>0</v>
      </c>
      <c r="AA18" s="290" t="b">
        <f>IF(AND(ISBLANK('Precio Mayorista'!$J$31),ISBLANK('Precio Mayorista'!$J$32)),FALSE,IF(AND('Precio Mayorista'!$G$21&gt;='Precio Mayorista'!$J$31,IF(ISBLANK('Precio Mayorista'!$J$32),"",'Precio Mayorista'!$G$21&lt;'Precio Mayorista'!$P$31)),TRUE,FALSE))</f>
        <v>0</v>
      </c>
      <c r="AC18" s="154" t="s">
        <v>372</v>
      </c>
      <c r="AD18" s="290" t="b">
        <f>IF(AND(ISBLANK('Precio Mayorista'!$D$31),ISBLANK('Precio Mayorista'!$D$32)),FALSE,IF(AND('Precio Mayorista'!$H$21&gt;='Precio Mayorista'!$D$31,IF(ISBLANK('Precio Mayorista'!$D$32),"",'Precio Mayorista'!$H$21&lt;'Precio Mayorista'!$E$31)),TRUE,FALSE))</f>
        <v>0</v>
      </c>
      <c r="AE18" s="290" t="b">
        <f>IF(AND(ISBLANK('Precio Mayorista'!$E$31),ISBLANK('Precio Mayorista'!$E$32)),FALSE,IF(AND('Precio Mayorista'!$H$21&gt;='Precio Mayorista'!$E$31,IF(ISBLANK('Precio Mayorista'!$E$32),"",'Precio Mayorista'!$H$21&lt;'Precio Mayorista'!$F$31)),TRUE,FALSE))</f>
        <v>0</v>
      </c>
      <c r="AF18" s="290" t="b">
        <f>IF(AND(ISBLANK('Precio Mayorista'!$F$31),ISBLANK('Precio Mayorista'!$F$32)),FALSE,IF(AND('Precio Mayorista'!$H$21&gt;='Precio Mayorista'!$F$31,IF(ISBLANK('Precio Mayorista'!$F$32),"",'Precio Mayorista'!$H$21&lt;'Precio Mayorista'!$G$31)),TRUE,FALSE))</f>
        <v>0</v>
      </c>
      <c r="AG18" s="290" t="b">
        <f>IF(AND(ISBLANK('Precio Mayorista'!$G$31),ISBLANK('Precio Mayorista'!$G$32)),FALSE,IF(AND('Precio Mayorista'!$H$21&gt;='Precio Mayorista'!$G$31,IF(ISBLANK('Precio Mayorista'!$G$32),"",'Precio Mayorista'!$H$21&lt;'Precio Mayorista'!$H$31)),TRUE,FALSE))</f>
        <v>0</v>
      </c>
      <c r="AH18" s="290" t="b">
        <f>IF(AND(ISBLANK('Precio Mayorista'!$H$31),ISBLANK('Precio Mayorista'!$H$32)),FALSE,IF(AND('Precio Mayorista'!$H$21&gt;='Precio Mayorista'!$H$31,IF(ISBLANK('Precio Mayorista'!$H$32),"",'Precio Mayorista'!$H$21&lt;'Precio Mayorista'!$I$31)),TRUE,FALSE))</f>
        <v>0</v>
      </c>
      <c r="AI18" s="290" t="b">
        <f>IF(AND(ISBLANK('Precio Mayorista'!$I$31),ISBLANK('Precio Mayorista'!$I$32)),FALSE,IF(AND('Precio Mayorista'!$H$21&gt;='Precio Mayorista'!$I$31,IF(ISBLANK('Precio Mayorista'!$I$32),"",'Precio Mayorista'!$H$21&lt;'Precio Mayorista'!$J$31)),TRUE,FALSE))</f>
        <v>0</v>
      </c>
      <c r="AJ18" s="290" t="b">
        <f>IF(AND(ISBLANK('Precio Mayorista'!$J$31),ISBLANK('Precio Mayorista'!$J$32)),FALSE,IF(AND('Precio Mayorista'!$H$21&gt;='Precio Mayorista'!$J$31,IF(ISBLANK('Precio Mayorista'!$J$32),"",'Precio Mayorista'!$H$21&lt;'Precio Mayorista'!$P$31)),TRUE,FALSE))</f>
        <v>0</v>
      </c>
      <c r="AL18" s="154" t="s">
        <v>372</v>
      </c>
      <c r="AM18" s="290" t="b">
        <f>IF(AND(ISBLANK('Precio Mayorista'!$D$31),ISBLANK('Precio Mayorista'!$D$32)),FALSE,IF(AND('Precio Mayorista'!$I$21&gt;='Precio Mayorista'!$D$31,IF(ISBLANK('Precio Mayorista'!$D$32),"",'Precio Mayorista'!$I$21&lt;'Precio Mayorista'!$E$31)),TRUE,FALSE))</f>
        <v>0</v>
      </c>
      <c r="AN18" s="290" t="b">
        <f>IF(AND(ISBLANK('Precio Mayorista'!$E$31),ISBLANK('Precio Mayorista'!$E$32)),FALSE,IF(AND('Precio Mayorista'!$I$21&gt;='Precio Mayorista'!$E$31,IF(ISBLANK('Precio Mayorista'!$E$32),"",'Precio Mayorista'!$I$21&lt;'Precio Mayorista'!$F$31)),TRUE,FALSE))</f>
        <v>0</v>
      </c>
      <c r="AO18" s="290" t="b">
        <f>IF(AND(ISBLANK('Precio Mayorista'!$F$31),ISBLANK('Precio Mayorista'!$F$32)),FALSE,IF(AND('Precio Mayorista'!$I$21&gt;='Precio Mayorista'!$F$31,IF(ISBLANK('Precio Mayorista'!$F$32),"",'Precio Mayorista'!$I$21&lt;'Precio Mayorista'!$G$31)),TRUE,FALSE))</f>
        <v>0</v>
      </c>
      <c r="AP18" s="290" t="b">
        <f>IF(AND(ISBLANK('Precio Mayorista'!$G$31),ISBLANK('Precio Mayorista'!$G$32)),FALSE,IF(AND('Precio Mayorista'!$I$21&gt;='Precio Mayorista'!$G$31,IF(ISBLANK('Precio Mayorista'!$G$32),"",'Precio Mayorista'!$I$21&lt;'Precio Mayorista'!$H$31)),TRUE,FALSE))</f>
        <v>0</v>
      </c>
      <c r="AQ18" s="290" t="b">
        <f>IF(AND(ISBLANK('Precio Mayorista'!$H$31),ISBLANK('Precio Mayorista'!$H$32)),FALSE,IF(AND('Precio Mayorista'!$I$21&gt;='Precio Mayorista'!$H$31,IF(ISBLANK('Precio Mayorista'!$H$32),"",'Precio Mayorista'!$I$21&lt;'Precio Mayorista'!$I$31)),TRUE,FALSE))</f>
        <v>0</v>
      </c>
      <c r="AR18" s="290" t="b">
        <f>IF(AND(ISBLANK('Precio Mayorista'!$I$31),ISBLANK('Precio Mayorista'!$I$32)),FALSE,IF(AND('Precio Mayorista'!$I$21&gt;='Precio Mayorista'!$I$31,IF(ISBLANK('Precio Mayorista'!$I$32),"",'Precio Mayorista'!$I$21&lt;'Precio Mayorista'!$J$31)),TRUE,FALSE))</f>
        <v>0</v>
      </c>
      <c r="AS18" s="290" t="b">
        <f>IF(AND(ISBLANK('Precio Mayorista'!$J$31),ISBLANK('Precio Mayorista'!$J$32)),FALSE,IF(AND('Precio Mayorista'!$I$21&gt;='Precio Mayorista'!$J$31,IF(ISBLANK('Precio Mayorista'!$J$32),"",'Precio Mayorista'!$I$21&lt;'Precio Mayorista'!$P$31)),TRUE,FALSE))</f>
        <v>0</v>
      </c>
      <c r="AU18" s="154" t="s">
        <v>372</v>
      </c>
      <c r="AV18" s="290" t="b">
        <f>IF(AND(ISBLANK('Precio Mayorista'!$D$31),ISBLANK('Precio Mayorista'!$D$32)),FALSE,IF(AND('Precio Mayorista'!$J$21&gt;='Precio Mayorista'!$D$31,IF(ISBLANK('Precio Mayorista'!$D$32),"",'Precio Mayorista'!$J$21&lt;'Precio Mayorista'!$E$31)),TRUE,FALSE))</f>
        <v>0</v>
      </c>
      <c r="AW18" s="290" t="b">
        <f>IF(AND(ISBLANK('Precio Mayorista'!$E$31),ISBLANK('Precio Mayorista'!$E$32)),FALSE,IF(AND('Precio Mayorista'!$J$21&gt;='Precio Mayorista'!$E$31,IF(ISBLANK('Precio Mayorista'!$E$32),"",'Precio Mayorista'!$J$21&lt;'Precio Mayorista'!$F$31)),TRUE,FALSE))</f>
        <v>0</v>
      </c>
      <c r="AX18" s="290" t="b">
        <f>IF(AND(ISBLANK('Precio Mayorista'!$F$31),ISBLANK('Precio Mayorista'!$F$32)),FALSE,IF(AND('Precio Mayorista'!$J$21&gt;='Precio Mayorista'!$F$31,IF(ISBLANK('Precio Mayorista'!$F$32),"",'Precio Mayorista'!$J$21&lt;'Precio Mayorista'!$G$31)),TRUE,FALSE))</f>
        <v>0</v>
      </c>
      <c r="AY18" s="290" t="b">
        <f>IF(AND(ISBLANK('Precio Mayorista'!$G$31),ISBLANK('Precio Mayorista'!$G$32)),FALSE,IF(AND('Precio Mayorista'!$J$21&gt;='Precio Mayorista'!$G$31,IF(ISBLANK('Precio Mayorista'!$G$32),"",'Precio Mayorista'!$J$21&lt;'Precio Mayorista'!$H$31)),TRUE,FALSE))</f>
        <v>0</v>
      </c>
      <c r="AZ18" s="290" t="b">
        <f>IF(AND(ISBLANK('Precio Mayorista'!$H$31),ISBLANK('Precio Mayorista'!$H$32)),FALSE,IF(AND('Precio Mayorista'!$J$21&gt;='Precio Mayorista'!$H$31,IF(ISBLANK('Precio Mayorista'!$H$32),"",'Precio Mayorista'!$J$21&lt;'Precio Mayorista'!$I$31)),TRUE,FALSE))</f>
        <v>0</v>
      </c>
      <c r="BA18" s="290" t="b">
        <f>IF(AND(ISBLANK('Precio Mayorista'!$I$31),ISBLANK('Precio Mayorista'!$I$32)),FALSE,IF(AND('Precio Mayorista'!$J$21&gt;='Precio Mayorista'!$I$31,IF(ISBLANK('Precio Mayorista'!$I$32),"",'Precio Mayorista'!$J$21&lt;'Precio Mayorista'!$J$31)),TRUE,FALSE))</f>
        <v>0</v>
      </c>
      <c r="BB18" s="290" t="b">
        <f>IF(AND(ISBLANK('Precio Mayorista'!$J$31),ISBLANK('Precio Mayorista'!$J$32)),FALSE,IF(AND('Precio Mayorista'!$J$21&gt;='Precio Mayorista'!$J$31,IF(ISBLANK('Precio Mayorista'!$J$32),"",'Precio Mayorista'!$J$21&lt;'Precio Mayorista'!$P$31)),TRUE,FALSE))</f>
        <v>0</v>
      </c>
    </row>
    <row r="19" spans="2:54" ht="16.399999999999999" customHeight="1" x14ac:dyDescent="0.25">
      <c r="B19" s="154" t="s">
        <v>373</v>
      </c>
      <c r="C19" s="291" t="b">
        <f>IF(AND(ISBLANK('Precio Mayorista'!$D$34),ISBLANK('Precio Mayorista'!$D$35)),FALSE,IF(AND('Precio Mayorista'!$E$22&gt;='Precio Mayorista'!$D$34,IF(ISBLANK('Precio Mayorista'!$E$34),"",'Precio Mayorista'!$E$22&lt;'Precio Mayorista'!$E$34)),TRUE,FALSE))</f>
        <v>0</v>
      </c>
      <c r="D19" s="291" t="b">
        <f>IF(AND(ISBLANK('Precio Mayorista'!$E$34),ISBLANK('Precio Mayorista'!$E$35)),FALSE,IF(AND('Precio Mayorista'!$E$22&gt;='Precio Mayorista'!$E$34,IF(ISBLANK('Precio Mayorista'!$F$34),"",'Precio Mayorista'!$E$22&lt;'Precio Mayorista'!$F$34)),TRUE,FALSE))</f>
        <v>0</v>
      </c>
      <c r="E19" s="291" t="b">
        <f>IF(AND(ISBLANK('Precio Mayorista'!$F$34),ISBLANK('Precio Mayorista'!$F$35)),FALSE,IF(AND('Precio Mayorista'!$E$22&gt;='Precio Mayorista'!$F$34,IF(ISBLANK('Precio Mayorista'!$G$34),"",'Precio Mayorista'!$E$22&lt;'Precio Mayorista'!$G$34)),TRUE,FALSE))</f>
        <v>0</v>
      </c>
      <c r="F19" s="291" t="b">
        <f>IF(AND(ISBLANK('Precio Mayorista'!$G$34),ISBLANK('Precio Mayorista'!$G$35)),FALSE,IF(AND('Precio Mayorista'!$E$22&gt;='Precio Mayorista'!$G$34,IF(ISBLANK('Precio Mayorista'!$H$34),"",'Precio Mayorista'!$E$22&lt;'Precio Mayorista'!$H$34)),TRUE,FALSE))</f>
        <v>0</v>
      </c>
      <c r="G19" s="291" t="b">
        <f>IF(AND(ISBLANK('Precio Mayorista'!$H$34),ISBLANK('Precio Mayorista'!$H$35)),FALSE,IF(AND('Precio Mayorista'!$E$22&gt;='Precio Mayorista'!$H$34,IF(ISBLANK('Precio Mayorista'!$I$34),"",'Precio Mayorista'!$E$22&lt;'Precio Mayorista'!$I$34)),TRUE,FALSE))</f>
        <v>0</v>
      </c>
      <c r="H19" s="291" t="b">
        <f>IF(AND(ISBLANK('Precio Mayorista'!$I$34),ISBLANK('Precio Mayorista'!$I$35)),FALSE,IF(AND('Precio Mayorista'!$E$22&gt;='Precio Mayorista'!$I$34,IF(ISBLANK('Precio Mayorista'!$J$34),"",'Precio Mayorista'!$E$22&lt;'Precio Mayorista'!$J$34)),TRUE,FALSE))</f>
        <v>0</v>
      </c>
      <c r="I19" s="291" t="b">
        <f>IF(AND(ISBLANK('Precio Mayorista'!$J$34),ISBLANK('Precio Mayorista'!$J$35)),FALSE,IF(AND('Precio Mayorista'!$E$22&gt;='Precio Mayorista'!$J$34,IF(ISBLANK('Precio Mayorista'!$P$34),"",'Precio Mayorista'!$E$22&lt;'Precio Mayorista'!$P$34)),TRUE,FALSE))</f>
        <v>0</v>
      </c>
      <c r="K19" s="154" t="s">
        <v>373</v>
      </c>
      <c r="L19" s="291" t="b">
        <f>IF(AND(ISBLANK('Precio Mayorista'!$D$34),ISBLANK('Precio Mayorista'!$D$35)),FALSE,IF(AND('Precio Mayorista'!$F$22&gt;='Precio Mayorista'!$D$34,IF(ISBLANK('Precio Mayorista'!$E$34),"",'Precio Mayorista'!$F$22&lt;'Precio Mayorista'!$E$34)),TRUE,FALSE))</f>
        <v>0</v>
      </c>
      <c r="M19" s="291" t="b">
        <f>IF(AND(ISBLANK('Precio Mayorista'!$E$34),ISBLANK('Precio Mayorista'!$E$35)),FALSE,IF(AND('Precio Mayorista'!$F$22&gt;='Precio Mayorista'!$E$34,IF(ISBLANK('Precio Mayorista'!$F$34),"",'Precio Mayorista'!$F$22&lt;'Precio Mayorista'!$F$34)),TRUE,FALSE))</f>
        <v>0</v>
      </c>
      <c r="N19" s="291" t="b">
        <f>IF(AND(ISBLANK('Precio Mayorista'!$F$34),ISBLANK('Precio Mayorista'!$F$35)),FALSE,IF(AND('Precio Mayorista'!$F$22&gt;='Precio Mayorista'!$F$34,IF(ISBLANK('Precio Mayorista'!$G$34),"",'Precio Mayorista'!$F$22&lt;'Precio Mayorista'!$G$34)),TRUE,FALSE))</f>
        <v>0</v>
      </c>
      <c r="O19" s="291" t="b">
        <f>IF(AND(ISBLANK('Precio Mayorista'!$G$34),ISBLANK('Precio Mayorista'!$G$35)),FALSE,IF(AND('Precio Mayorista'!$F$22&gt;='Precio Mayorista'!$G$34,IF(ISBLANK('Precio Mayorista'!$H$34),"",'Precio Mayorista'!$F$22&lt;'Precio Mayorista'!$H$34)),TRUE,FALSE))</f>
        <v>0</v>
      </c>
      <c r="P19" s="291" t="b">
        <f>IF(AND(ISBLANK('Precio Mayorista'!$H$34),ISBLANK('Precio Mayorista'!$H$35)),FALSE,IF(AND('Precio Mayorista'!$F$22&gt;='Precio Mayorista'!$H$34,IF(ISBLANK('Precio Mayorista'!$I$34),"",'Precio Mayorista'!$F$22&lt;'Precio Mayorista'!$I$34)),TRUE,FALSE))</f>
        <v>0</v>
      </c>
      <c r="Q19" s="291" t="b">
        <f>IF(AND(ISBLANK('Precio Mayorista'!$I$34),ISBLANK('Precio Mayorista'!$I$35)),FALSE,IF(AND('Precio Mayorista'!$F$22&gt;='Precio Mayorista'!$I$34,IF(ISBLANK('Precio Mayorista'!$J$34),"",'Precio Mayorista'!$F$22&lt;'Precio Mayorista'!$J$34)),TRUE,FALSE))</f>
        <v>0</v>
      </c>
      <c r="R19" s="291" t="b">
        <f>IF(AND(ISBLANK('Precio Mayorista'!$J$34),ISBLANK('Precio Mayorista'!$J$35)),FALSE,IF(AND('Precio Mayorista'!$F$22&gt;='Precio Mayorista'!$J$34,IF(ISBLANK('Precio Mayorista'!$P$34),"",'Precio Mayorista'!$F$22&lt;'Precio Mayorista'!$P$34)),TRUE,FALSE))</f>
        <v>0</v>
      </c>
      <c r="T19" s="154" t="s">
        <v>373</v>
      </c>
      <c r="U19" s="291" t="b">
        <f>IF(AND(ISBLANK('Precio Mayorista'!$D$34),ISBLANK('Precio Mayorista'!$D$35)),FALSE,IF(AND('Precio Mayorista'!$G$22&gt;='Precio Mayorista'!$D$34,IF(ISBLANK('Precio Mayorista'!$E$34),"",'Precio Mayorista'!$G$22&lt;'Precio Mayorista'!$E$34)),TRUE,FALSE))</f>
        <v>0</v>
      </c>
      <c r="V19" s="291" t="b">
        <f>IF(AND(ISBLANK('Precio Mayorista'!$E$34),ISBLANK('Precio Mayorista'!$E$35)),FALSE,IF(AND('Precio Mayorista'!$G$22&gt;='Precio Mayorista'!$E$34,IF(ISBLANK('Precio Mayorista'!$F$34),"",'Precio Mayorista'!$G$22&lt;'Precio Mayorista'!$F$34)),TRUE,FALSE))</f>
        <v>0</v>
      </c>
      <c r="W19" s="291" t="b">
        <f>IF(AND(ISBLANK('Precio Mayorista'!$F$34),ISBLANK('Precio Mayorista'!$F$35)),FALSE,IF(AND('Precio Mayorista'!$G$22&gt;='Precio Mayorista'!$F$34,IF(ISBLANK('Precio Mayorista'!$G$34),"",'Precio Mayorista'!$G$22&lt;'Precio Mayorista'!$G$34)),TRUE,FALSE))</f>
        <v>0</v>
      </c>
      <c r="X19" s="291" t="b">
        <f>IF(AND(ISBLANK('Precio Mayorista'!$G$34),ISBLANK('Precio Mayorista'!$G$35)),FALSE,IF(AND('Precio Mayorista'!$G$22&gt;='Precio Mayorista'!$G$34,IF(ISBLANK('Precio Mayorista'!$H$34),"",'Precio Mayorista'!$G$22&lt;'Precio Mayorista'!$H$34)),TRUE,FALSE))</f>
        <v>0</v>
      </c>
      <c r="Y19" s="291" t="b">
        <f>IF(AND(ISBLANK('Precio Mayorista'!$H$34),ISBLANK('Precio Mayorista'!$H$35)),FALSE,IF(AND('Precio Mayorista'!$G$22&gt;='Precio Mayorista'!$H$34,IF(ISBLANK('Precio Mayorista'!$I$34),"",'Precio Mayorista'!$G$22&lt;'Precio Mayorista'!$I$34)),TRUE,FALSE))</f>
        <v>0</v>
      </c>
      <c r="Z19" s="291" t="b">
        <f>IF(AND(ISBLANK('Precio Mayorista'!$I$34),ISBLANK('Precio Mayorista'!$I$35)),FALSE,IF(AND('Precio Mayorista'!$G$22&gt;='Precio Mayorista'!$I$34,IF(ISBLANK('Precio Mayorista'!$J$34),"",'Precio Mayorista'!$G$22&lt;'Precio Mayorista'!$J$34)),TRUE,FALSE))</f>
        <v>0</v>
      </c>
      <c r="AA19" s="291" t="b">
        <f>IF(AND(ISBLANK('Precio Mayorista'!$J$34),ISBLANK('Precio Mayorista'!$J$35)),FALSE,IF(AND('Precio Mayorista'!$G$22&gt;='Precio Mayorista'!$J$34,IF(ISBLANK('Precio Mayorista'!$P$34),"",'Precio Mayorista'!$G$22&lt;'Precio Mayorista'!$P$34)),TRUE,FALSE))</f>
        <v>0</v>
      </c>
      <c r="AC19" s="154" t="s">
        <v>373</v>
      </c>
      <c r="AD19" s="291" t="b">
        <f>IF(AND(ISBLANK('Precio Mayorista'!$D$34),ISBLANK('Precio Mayorista'!$D$35)),FALSE,IF(AND('Precio Mayorista'!$H$22&gt;='Precio Mayorista'!$D$34,IF(ISBLANK('Precio Mayorista'!$E$34),"",'Precio Mayorista'!$H$22&lt;'Precio Mayorista'!$E$34)),TRUE,FALSE))</f>
        <v>0</v>
      </c>
      <c r="AE19" s="291" t="b">
        <f>IF(AND(ISBLANK('Precio Mayorista'!$E$34),ISBLANK('Precio Mayorista'!$E$35)),FALSE,IF(AND('Precio Mayorista'!$H$22&gt;='Precio Mayorista'!$E$34,IF(ISBLANK('Precio Mayorista'!$F$34),"",'Precio Mayorista'!$H$22&lt;'Precio Mayorista'!$F$34)),TRUE,FALSE))</f>
        <v>0</v>
      </c>
      <c r="AF19" s="291" t="b">
        <f>IF(AND(ISBLANK('Precio Mayorista'!$F$34),ISBLANK('Precio Mayorista'!$F$35)),FALSE,IF(AND('Precio Mayorista'!$H$22&gt;='Precio Mayorista'!$F$34,IF(ISBLANK('Precio Mayorista'!$G$34),"",'Precio Mayorista'!$H$22&lt;'Precio Mayorista'!$G$34)),TRUE,FALSE))</f>
        <v>0</v>
      </c>
      <c r="AG19" s="291" t="b">
        <f>IF(AND(ISBLANK('Precio Mayorista'!$G$34),ISBLANK('Precio Mayorista'!$G$35)),FALSE,IF(AND('Precio Mayorista'!$H$22&gt;='Precio Mayorista'!$G$34,IF(ISBLANK('Precio Mayorista'!$H$34),"",'Precio Mayorista'!$H$22&lt;'Precio Mayorista'!$H$34)),TRUE,FALSE))</f>
        <v>0</v>
      </c>
      <c r="AH19" s="291" t="b">
        <f>IF(AND(ISBLANK('Precio Mayorista'!$H$34),ISBLANK('Precio Mayorista'!$H$35)),FALSE,IF(AND('Precio Mayorista'!$H$22&gt;='Precio Mayorista'!$H$34,IF(ISBLANK('Precio Mayorista'!$I$34),"",'Precio Mayorista'!$H$22&lt;'Precio Mayorista'!$I$34)),TRUE,FALSE))</f>
        <v>0</v>
      </c>
      <c r="AI19" s="291" t="b">
        <f>IF(AND(ISBLANK('Precio Mayorista'!$I$34),ISBLANK('Precio Mayorista'!$I$35)),FALSE,IF(AND('Precio Mayorista'!$H$22&gt;='Precio Mayorista'!$I$34,IF(ISBLANK('Precio Mayorista'!$J$34),"",'Precio Mayorista'!$H$22&lt;'Precio Mayorista'!$J$34)),TRUE,FALSE))</f>
        <v>0</v>
      </c>
      <c r="AJ19" s="291" t="b">
        <f>IF(AND(ISBLANK('Precio Mayorista'!$J$34),ISBLANK('Precio Mayorista'!$J$35)),FALSE,IF(AND('Precio Mayorista'!$H$22&gt;='Precio Mayorista'!$J$34,IF(ISBLANK('Precio Mayorista'!$P$34),"",'Precio Mayorista'!$H$22&lt;'Precio Mayorista'!$P$34)),TRUE,FALSE))</f>
        <v>0</v>
      </c>
      <c r="AL19" s="154" t="s">
        <v>373</v>
      </c>
      <c r="AM19" s="291" t="b">
        <f>IF(AND(ISBLANK('Precio Mayorista'!$D$34),ISBLANK('Precio Mayorista'!$D$35)),FALSE,IF(AND('Precio Mayorista'!$I$22&gt;='Precio Mayorista'!$D$34,IF(ISBLANK('Precio Mayorista'!$E$34),"",'Precio Mayorista'!$I$22&lt;'Precio Mayorista'!$E$34)),TRUE,FALSE))</f>
        <v>0</v>
      </c>
      <c r="AN19" s="291" t="b">
        <f>IF(AND(ISBLANK('Precio Mayorista'!$E$34),ISBLANK('Precio Mayorista'!$E$35)),FALSE,IF(AND('Precio Mayorista'!$I$22&gt;='Precio Mayorista'!$E$34,IF(ISBLANK('Precio Mayorista'!$F$34),"",'Precio Mayorista'!$I$22&lt;'Precio Mayorista'!$F$34)),TRUE,FALSE))</f>
        <v>0</v>
      </c>
      <c r="AO19" s="291" t="b">
        <f>IF(AND(ISBLANK('Precio Mayorista'!$F$34),ISBLANK('Precio Mayorista'!$F$35)),FALSE,IF(AND('Precio Mayorista'!$I$22&gt;='Precio Mayorista'!$F$34,IF(ISBLANK('Precio Mayorista'!$G$34),"",'Precio Mayorista'!$I$22&lt;'Precio Mayorista'!$G$34)),TRUE,FALSE))</f>
        <v>0</v>
      </c>
      <c r="AP19" s="291" t="b">
        <f>IF(AND(ISBLANK('Precio Mayorista'!$G$34),ISBLANK('Precio Mayorista'!$G$35)),FALSE,IF(AND('Precio Mayorista'!$I$22&gt;='Precio Mayorista'!$G$34,IF(ISBLANK('Precio Mayorista'!$H$34),"",'Precio Mayorista'!$I$22&lt;'Precio Mayorista'!$H$34)),TRUE,FALSE))</f>
        <v>0</v>
      </c>
      <c r="AQ19" s="291" t="b">
        <f>IF(AND(ISBLANK('Precio Mayorista'!$H$34),ISBLANK('Precio Mayorista'!$H$35)),FALSE,IF(AND('Precio Mayorista'!$I$22&gt;='Precio Mayorista'!$H$34,IF(ISBLANK('Precio Mayorista'!$I$34),"",'Precio Mayorista'!$I$22&lt;'Precio Mayorista'!$I$34)),TRUE,FALSE))</f>
        <v>0</v>
      </c>
      <c r="AR19" s="291" t="b">
        <f>IF(AND(ISBLANK('Precio Mayorista'!$I$34),ISBLANK('Precio Mayorista'!$I$35)),FALSE,IF(AND('Precio Mayorista'!$I$22&gt;='Precio Mayorista'!$I$34,IF(ISBLANK('Precio Mayorista'!$J$34),"",'Precio Mayorista'!$I$22&lt;'Precio Mayorista'!$J$34)),TRUE,FALSE))</f>
        <v>0</v>
      </c>
      <c r="AS19" s="291" t="b">
        <f>IF(AND(ISBLANK('Precio Mayorista'!$J$34),ISBLANK('Precio Mayorista'!$J$35)),FALSE,IF(AND('Precio Mayorista'!$I$22&gt;='Precio Mayorista'!$J$34,IF(ISBLANK('Precio Mayorista'!$P$34),"",'Precio Mayorista'!$I$22&lt;'Precio Mayorista'!$P$34)),TRUE,FALSE))</f>
        <v>0</v>
      </c>
      <c r="AU19" s="154" t="s">
        <v>373</v>
      </c>
      <c r="AV19" s="291" t="b">
        <f>IF(AND(ISBLANK('Precio Mayorista'!$D$34),ISBLANK('Precio Mayorista'!$D$35)),FALSE,IF(AND('Precio Mayorista'!$J$22&gt;='Precio Mayorista'!$D$34,IF(ISBLANK('Precio Mayorista'!$E$34),"",'Precio Mayorista'!$J$22&lt;'Precio Mayorista'!$E$34)),TRUE,FALSE))</f>
        <v>0</v>
      </c>
      <c r="AW19" s="291" t="b">
        <f>IF(AND(ISBLANK('Precio Mayorista'!$E$34),ISBLANK('Precio Mayorista'!$E$35)),FALSE,IF(AND('Precio Mayorista'!$J$22&gt;='Precio Mayorista'!$E$34,IF(ISBLANK('Precio Mayorista'!$F$34),"",'Precio Mayorista'!$J$22&lt;'Precio Mayorista'!$F$34)),TRUE,FALSE))</f>
        <v>0</v>
      </c>
      <c r="AX19" s="291" t="b">
        <f>IF(AND(ISBLANK('Precio Mayorista'!$F$34),ISBLANK('Precio Mayorista'!$F$35)),FALSE,IF(AND('Precio Mayorista'!$J$22&gt;='Precio Mayorista'!$F$34,IF(ISBLANK('Precio Mayorista'!$G$34),"",'Precio Mayorista'!$J$22&lt;'Precio Mayorista'!$G$34)),TRUE,FALSE))</f>
        <v>0</v>
      </c>
      <c r="AY19" s="291" t="b">
        <f>IF(AND(ISBLANK('Precio Mayorista'!$G$34),ISBLANK('Precio Mayorista'!$G$35)),FALSE,IF(AND('Precio Mayorista'!$J$22&gt;='Precio Mayorista'!$G$34,IF(ISBLANK('Precio Mayorista'!$H$34),"",'Precio Mayorista'!$J$22&lt;'Precio Mayorista'!$H$34)),TRUE,FALSE))</f>
        <v>0</v>
      </c>
      <c r="AZ19" s="291" t="b">
        <f>IF(AND(ISBLANK('Precio Mayorista'!$H$34),ISBLANK('Precio Mayorista'!$H$35)),FALSE,IF(AND('Precio Mayorista'!$J$22&gt;='Precio Mayorista'!$H$34,IF(ISBLANK('Precio Mayorista'!$I$34),"",'Precio Mayorista'!$J$22&lt;'Precio Mayorista'!$I$34)),TRUE,FALSE))</f>
        <v>0</v>
      </c>
      <c r="BA19" s="291" t="b">
        <f>IF(AND(ISBLANK('Precio Mayorista'!$I$34),ISBLANK('Precio Mayorista'!$I$35)),FALSE,IF(AND('Precio Mayorista'!$J$22&gt;='Precio Mayorista'!$I$34,IF(ISBLANK('Precio Mayorista'!$J$34),"",'Precio Mayorista'!$J$22&lt;'Precio Mayorista'!$J$34)),TRUE,FALSE))</f>
        <v>0</v>
      </c>
      <c r="BB19" s="291" t="b">
        <f>IF(AND(ISBLANK('Precio Mayorista'!$J$34),ISBLANK('Precio Mayorista'!$J$35)),FALSE,IF(AND('Precio Mayorista'!$J$22&gt;='Precio Mayorista'!$J$34,IF(ISBLANK('Precio Mayorista'!$P$34),"",'Precio Mayorista'!$J$22&lt;'Precio Mayorista'!$P$34)),TRUE,FALSE))</f>
        <v>0</v>
      </c>
    </row>
    <row r="20" spans="2:54" ht="16.399999999999999" customHeight="1" x14ac:dyDescent="0.25">
      <c r="B20" s="141" t="s">
        <v>289</v>
      </c>
      <c r="C20" s="292" t="b">
        <f>IF(AND(ISBLANK('Precio Mayorista'!$D$38),ISBLANK('Precio Mayorista'!$D$39)),FALSE,IF(AND('Precio Mayorista'!$E$23&gt;='Precio Mayorista'!$D$38,IF(ISBLANK('Precio Mayorista'!$E$38),"",'Precio Mayorista'!$E$23&lt;'Precio Mayorista'!$E$38)),TRUE,FALSE))</f>
        <v>0</v>
      </c>
      <c r="D20" s="292" t="b">
        <f>IF(AND(ISBLANK('Precio Mayorista'!$E$38),ISBLANK('Precio Mayorista'!$E$39)),FALSE,IF(AND('Precio Mayorista'!$E$23&gt;='Precio Mayorista'!$E$38,IF(ISBLANK('Precio Mayorista'!$F$38),"",'Precio Mayorista'!$E$23&lt;'Precio Mayorista'!$F$38)),TRUE,FALSE))</f>
        <v>0</v>
      </c>
      <c r="E20" s="292" t="b">
        <f>IF(AND(ISBLANK('Precio Mayorista'!$F$38),ISBLANK('Precio Mayorista'!$F$39)),FALSE,IF(AND('Precio Mayorista'!$E$23&gt;='Precio Mayorista'!$F$38,IF(ISBLANK('Precio Mayorista'!$G$38),"",'Precio Mayorista'!$E$23&lt;'Precio Mayorista'!$G$38)),TRUE,FALSE))</f>
        <v>1</v>
      </c>
      <c r="F20" s="292" t="b">
        <f>IF(AND(ISBLANK('Precio Mayorista'!$G$38),ISBLANK('Precio Mayorista'!$G$39)),FALSE,IF(AND('Precio Mayorista'!$E$23&gt;='Precio Mayorista'!$G$38,IF(ISBLANK('Precio Mayorista'!$H$38),"",'Precio Mayorista'!$E$23&lt;'Precio Mayorista'!$H$38)),TRUE,FALSE))</f>
        <v>0</v>
      </c>
      <c r="G20" s="292" t="b">
        <f>IF(AND(ISBLANK('Precio Mayorista'!$H$38),ISBLANK('Precio Mayorista'!$H$39)),FALSE,IF(AND('Precio Mayorista'!$E$23&gt;='Precio Mayorista'!$H$38,IF(ISBLANK('Precio Mayorista'!$I$38),"",'Precio Mayorista'!$E$23&lt;'Precio Mayorista'!$I$38)),TRUE,FALSE))</f>
        <v>0</v>
      </c>
      <c r="H20" s="292" t="b">
        <f>IF(AND(ISBLANK('Precio Mayorista'!$I$38),ISBLANK('Precio Mayorista'!$I$39)),FALSE,IF(AND('Precio Mayorista'!$E$23&gt;='Precio Mayorista'!$I$38,IF(ISBLANK('Precio Mayorista'!$J$38),"",'Precio Mayorista'!$E$23&lt;'Precio Mayorista'!$J$38)),TRUE,FALSE))</f>
        <v>0</v>
      </c>
      <c r="I20" s="292" t="b">
        <f>IF(AND(ISBLANK('Precio Mayorista'!$J$38),ISBLANK('Precio Mayorista'!$J$39)),FALSE,IF(AND('Precio Mayorista'!$E$23&gt;='Precio Mayorista'!$J$38,IF(ISBLANK('Precio Mayorista'!$P$38),"",'Precio Mayorista'!$E$23&lt;'Precio Mayorista'!$P$38)),TRUE,FALSE))</f>
        <v>0</v>
      </c>
      <c r="K20" s="141" t="s">
        <v>289</v>
      </c>
      <c r="L20" s="292" t="b">
        <f>IF(AND(ISBLANK('Precio Mayorista'!$D$38),ISBLANK('Precio Mayorista'!$D$39)),FALSE,IF(AND('Precio Mayorista'!$F$23&gt;='Precio Mayorista'!$D$38,IF(ISBLANK('Precio Mayorista'!$E$38),"",'Precio Mayorista'!$F$23&lt;'Precio Mayorista'!$E$38)),TRUE,FALSE))</f>
        <v>0</v>
      </c>
      <c r="M20" s="292" t="b">
        <f>IF(AND(ISBLANK('Precio Mayorista'!$E$38),ISBLANK('Precio Mayorista'!$E$39)),FALSE,IF(AND('Precio Mayorista'!$F$23&gt;='Precio Mayorista'!$E$38,IF(ISBLANK('Precio Mayorista'!$F$38),"",'Precio Mayorista'!$F$23&lt;'Precio Mayorista'!$F$38)),TRUE,FALSE))</f>
        <v>0</v>
      </c>
      <c r="N20" s="292" t="b">
        <f>IF(AND(ISBLANK('Precio Mayorista'!$F$38),ISBLANK('Precio Mayorista'!$F$39)),FALSE,IF(AND('Precio Mayorista'!$F$23&gt;='Precio Mayorista'!$F$38,IF(ISBLANK('Precio Mayorista'!$G$38),"",'Precio Mayorista'!$F$23&lt;'Precio Mayorista'!$G$38)),TRUE,FALSE))</f>
        <v>1</v>
      </c>
      <c r="O20" s="292" t="b">
        <f>IF(AND(ISBLANK('Precio Mayorista'!$G$38),ISBLANK('Precio Mayorista'!$G$39)),FALSE,IF(AND('Precio Mayorista'!$F$23&gt;='Precio Mayorista'!$G$38,IF(ISBLANK('Precio Mayorista'!$H$38),"",'Precio Mayorista'!$F$23&lt;'Precio Mayorista'!$H$38)),TRUE,FALSE))</f>
        <v>0</v>
      </c>
      <c r="P20" s="292" t="b">
        <f>IF(AND(ISBLANK('Precio Mayorista'!$H$38),ISBLANK('Precio Mayorista'!$H$39)),FALSE,IF(AND('Precio Mayorista'!$F$23&gt;='Precio Mayorista'!$H$38,IF(ISBLANK('Precio Mayorista'!$I$38),"",'Precio Mayorista'!$F$23&lt;'Precio Mayorista'!$I$38)),TRUE,FALSE))</f>
        <v>0</v>
      </c>
      <c r="Q20" s="292" t="b">
        <f>IF(AND(ISBLANK('Precio Mayorista'!$I$38),ISBLANK('Precio Mayorista'!$I$39)),FALSE,IF(AND('Precio Mayorista'!$F$23&gt;='Precio Mayorista'!$I$38,IF(ISBLANK('Precio Mayorista'!$J$38),"",'Precio Mayorista'!$F$23&lt;'Precio Mayorista'!$J$38)),TRUE,FALSE))</f>
        <v>0</v>
      </c>
      <c r="R20" s="292" t="b">
        <f>IF(AND(ISBLANK('Precio Mayorista'!$J$38),ISBLANK('Precio Mayorista'!$J$39)),FALSE,IF(AND('Precio Mayorista'!$F$23&gt;='Precio Mayorista'!$J$38,IF(ISBLANK('Precio Mayorista'!$P$38),"",'Precio Mayorista'!$F$23&lt;'Precio Mayorista'!$P$38)),TRUE,FALSE))</f>
        <v>0</v>
      </c>
      <c r="T20" s="141" t="s">
        <v>289</v>
      </c>
      <c r="U20" s="292" t="b">
        <f>IF(AND(ISBLANK('Precio Mayorista'!$D$38),ISBLANK('Precio Mayorista'!$D$39)),FALSE,IF(AND('Precio Mayorista'!$G$23&gt;='Precio Mayorista'!$D$38,IF(ISBLANK('Precio Mayorista'!$E$38),"",'Precio Mayorista'!$G$23&lt;'Precio Mayorista'!$E$38)),TRUE,FALSE))</f>
        <v>0</v>
      </c>
      <c r="V20" s="292" t="b">
        <f>IF(AND(ISBLANK('Precio Mayorista'!$E$38),ISBLANK('Precio Mayorista'!$E$39)),FALSE,IF(AND('Precio Mayorista'!$G$23&gt;='Precio Mayorista'!$E$38,IF(ISBLANK('Precio Mayorista'!$F$38),"",'Precio Mayorista'!$G$23&lt;'Precio Mayorista'!$F$38)),TRUE,FALSE))</f>
        <v>0</v>
      </c>
      <c r="W20" s="292" t="b">
        <f>IF(AND(ISBLANK('Precio Mayorista'!$F$38),ISBLANK('Precio Mayorista'!$F$39)),FALSE,IF(AND('Precio Mayorista'!$G$23&gt;='Precio Mayorista'!$F$38,IF(ISBLANK('Precio Mayorista'!$G$38),"",'Precio Mayorista'!$G$23&lt;'Precio Mayorista'!$G$38)),TRUE,FALSE))</f>
        <v>1</v>
      </c>
      <c r="X20" s="292" t="b">
        <f>IF(AND(ISBLANK('Precio Mayorista'!$G$38),ISBLANK('Precio Mayorista'!$G$39)),FALSE,IF(AND('Precio Mayorista'!$G$23&gt;='Precio Mayorista'!$G$38,IF(ISBLANK('Precio Mayorista'!$H$38),"",'Precio Mayorista'!$G$23&lt;'Precio Mayorista'!$H$38)),TRUE,FALSE))</f>
        <v>0</v>
      </c>
      <c r="Y20" s="292" t="b">
        <f>IF(AND(ISBLANK('Precio Mayorista'!$H$38),ISBLANK('Precio Mayorista'!$H$39)),FALSE,IF(AND('Precio Mayorista'!$G$23&gt;='Precio Mayorista'!$H$38,IF(ISBLANK('Precio Mayorista'!$I$38),"",'Precio Mayorista'!$G$23&lt;'Precio Mayorista'!$I$38)),TRUE,FALSE))</f>
        <v>0</v>
      </c>
      <c r="Z20" s="292" t="b">
        <f>IF(AND(ISBLANK('Precio Mayorista'!$I$38),ISBLANK('Precio Mayorista'!$I$39)),FALSE,IF(AND('Precio Mayorista'!$G$23&gt;='Precio Mayorista'!$I$38,IF(ISBLANK('Precio Mayorista'!$J$38),"",'Precio Mayorista'!$G$23&lt;'Precio Mayorista'!$J$38)),TRUE,FALSE))</f>
        <v>0</v>
      </c>
      <c r="AA20" s="292" t="b">
        <f>IF(AND(ISBLANK('Precio Mayorista'!$J$38),ISBLANK('Precio Mayorista'!$J$39)),FALSE,IF(AND('Precio Mayorista'!$G$23&gt;='Precio Mayorista'!$J$38,IF(ISBLANK('Precio Mayorista'!$P$38),"",'Precio Mayorista'!$G$23&lt;'Precio Mayorista'!$P$38)),TRUE,FALSE))</f>
        <v>0</v>
      </c>
      <c r="AC20" s="141" t="s">
        <v>289</v>
      </c>
      <c r="AD20" s="292" t="b">
        <f>IF(AND(ISBLANK('Precio Mayorista'!$D$38),ISBLANK('Precio Mayorista'!$D$39)),FALSE,IF(AND('Precio Mayorista'!$H$23&gt;='Precio Mayorista'!$D$38,IF(ISBLANK('Precio Mayorista'!$E$38),"",'Precio Mayorista'!$H$23&lt;'Precio Mayorista'!$E$38)),TRUE,FALSE))</f>
        <v>0</v>
      </c>
      <c r="AE20" s="292" t="b">
        <f>IF(AND(ISBLANK('Precio Mayorista'!$E$38),ISBLANK('Precio Mayorista'!$E$39)),FALSE,IF(AND('Precio Mayorista'!$H$23&gt;='Precio Mayorista'!$E$38,IF(ISBLANK('Precio Mayorista'!$F$38),"",'Precio Mayorista'!$H$23&lt;'Precio Mayorista'!$F$38)),TRUE,FALSE))</f>
        <v>1</v>
      </c>
      <c r="AF20" s="292" t="b">
        <f>IF(AND(ISBLANK('Precio Mayorista'!$F$38),ISBLANK('Precio Mayorista'!$F$39)),FALSE,IF(AND('Precio Mayorista'!$H$23&gt;='Precio Mayorista'!$F$38,IF(ISBLANK('Precio Mayorista'!$G$38),"",'Precio Mayorista'!$H$23&lt;'Precio Mayorista'!$G$38)),TRUE,FALSE))</f>
        <v>0</v>
      </c>
      <c r="AG20" s="292" t="b">
        <f>IF(AND(ISBLANK('Precio Mayorista'!$G$38),ISBLANK('Precio Mayorista'!$G$39)),FALSE,IF(AND('Precio Mayorista'!$H$23&gt;='Precio Mayorista'!$G$38,IF(ISBLANK('Precio Mayorista'!$H$38),"",'Precio Mayorista'!$H$23&lt;'Precio Mayorista'!$H$38)),TRUE,FALSE))</f>
        <v>0</v>
      </c>
      <c r="AH20" s="292" t="b">
        <f>IF(AND(ISBLANK('Precio Mayorista'!$H$38),ISBLANK('Precio Mayorista'!$H$39)),FALSE,IF(AND('Precio Mayorista'!$H$23&gt;='Precio Mayorista'!$H$38,IF(ISBLANK('Precio Mayorista'!$I$38),"",'Precio Mayorista'!$H$23&lt;'Precio Mayorista'!$I$38)),TRUE,FALSE))</f>
        <v>0</v>
      </c>
      <c r="AI20" s="292" t="b">
        <f>IF(AND(ISBLANK('Precio Mayorista'!$I$38),ISBLANK('Precio Mayorista'!$I$39)),FALSE,IF(AND('Precio Mayorista'!$H$23&gt;='Precio Mayorista'!$I$38,IF(ISBLANK('Precio Mayorista'!$J$38),"",'Precio Mayorista'!$H$23&lt;'Precio Mayorista'!$J$38)),TRUE,FALSE))</f>
        <v>0</v>
      </c>
      <c r="AJ20" s="292" t="b">
        <f>IF(AND(ISBLANK('Precio Mayorista'!$J$38),ISBLANK('Precio Mayorista'!$J$39)),FALSE,IF(AND('Precio Mayorista'!$H$23&gt;='Precio Mayorista'!$J$38,IF(ISBLANK('Precio Mayorista'!$P$38),"",'Precio Mayorista'!$H$23&lt;'Precio Mayorista'!$P$38)),TRUE,FALSE))</f>
        <v>0</v>
      </c>
      <c r="AL20" s="141" t="s">
        <v>289</v>
      </c>
      <c r="AM20" s="292" t="b">
        <f>IF(AND(ISBLANK('Precio Mayorista'!$D$38),ISBLANK('Precio Mayorista'!$D$39)),FALSE,IF(AND('Precio Mayorista'!$I$23&gt;='Precio Mayorista'!$D$38,IF(ISBLANK('Precio Mayorista'!$E$38),"",'Precio Mayorista'!$I$23&lt;'Precio Mayorista'!$E$38)),TRUE,FALSE))</f>
        <v>0</v>
      </c>
      <c r="AN20" s="292" t="b">
        <f>IF(AND(ISBLANK('Precio Mayorista'!$E$38),ISBLANK('Precio Mayorista'!$E$39)),FALSE,IF(AND('Precio Mayorista'!$I$23&gt;='Precio Mayorista'!$E$38,IF(ISBLANK('Precio Mayorista'!$F$38),"",'Precio Mayorista'!$I$23&lt;'Precio Mayorista'!$F$38)),TRUE,FALSE))</f>
        <v>1</v>
      </c>
      <c r="AO20" s="292" t="b">
        <f>IF(AND(ISBLANK('Precio Mayorista'!$F$38),ISBLANK('Precio Mayorista'!$F$39)),FALSE,IF(AND('Precio Mayorista'!$I$23&gt;='Precio Mayorista'!$F$38,IF(ISBLANK('Precio Mayorista'!$G$38),"",'Precio Mayorista'!$I$23&lt;'Precio Mayorista'!$G$38)),TRUE,FALSE))</f>
        <v>0</v>
      </c>
      <c r="AP20" s="292" t="b">
        <f>IF(AND(ISBLANK('Precio Mayorista'!$G$38),ISBLANK('Precio Mayorista'!$G$39)),FALSE,IF(AND('Precio Mayorista'!$I$23&gt;='Precio Mayorista'!$G$38,IF(ISBLANK('Precio Mayorista'!$H$38),"",'Precio Mayorista'!$I$23&lt;'Precio Mayorista'!$H$38)),TRUE,FALSE))</f>
        <v>0</v>
      </c>
      <c r="AQ20" s="292" t="b">
        <f>IF(AND(ISBLANK('Precio Mayorista'!$H$38),ISBLANK('Precio Mayorista'!$H$39)),FALSE,IF(AND('Precio Mayorista'!$I$23&gt;='Precio Mayorista'!$H$38,IF(ISBLANK('Precio Mayorista'!$I$38),"",'Precio Mayorista'!$I$23&lt;'Precio Mayorista'!$I$38)),TRUE,FALSE))</f>
        <v>0</v>
      </c>
      <c r="AR20" s="292" t="b">
        <f>IF(AND(ISBLANK('Precio Mayorista'!$I$38),ISBLANK('Precio Mayorista'!$I$39)),FALSE,IF(AND('Precio Mayorista'!$I$23&gt;='Precio Mayorista'!$I$38,IF(ISBLANK('Precio Mayorista'!$J$38),"",'Precio Mayorista'!$I$23&lt;'Precio Mayorista'!$J$38)),TRUE,FALSE))</f>
        <v>0</v>
      </c>
      <c r="AS20" s="292" t="b">
        <f>IF(AND(ISBLANK('Precio Mayorista'!$J$38),ISBLANK('Precio Mayorista'!$J$39)),FALSE,IF(AND('Precio Mayorista'!$I$23&gt;='Precio Mayorista'!$J$38,IF(ISBLANK('Precio Mayorista'!$P$38),"",'Precio Mayorista'!$I$23&lt;'Precio Mayorista'!$P$38)),TRUE,FALSE))</f>
        <v>0</v>
      </c>
      <c r="AU20" s="141" t="s">
        <v>289</v>
      </c>
      <c r="AV20" s="292" t="b">
        <f>IF(AND(ISBLANK('Precio Mayorista'!$D$38),ISBLANK('Precio Mayorista'!$D$39)),FALSE,IF(AND('Precio Mayorista'!$J$23&gt;='Precio Mayorista'!$D$38,IF(ISBLANK('Precio Mayorista'!$E$38),"",'Precio Mayorista'!$J$23&lt;'Precio Mayorista'!$E$38)),TRUE,FALSE))</f>
        <v>0</v>
      </c>
      <c r="AW20" s="292" t="b">
        <f>IF(AND(ISBLANK('Precio Mayorista'!$E$38),ISBLANK('Precio Mayorista'!$E$39)),FALSE,IF(AND('Precio Mayorista'!$J$23&gt;='Precio Mayorista'!$E$38,IF(ISBLANK('Precio Mayorista'!$F$38),"",'Precio Mayorista'!$J$23&lt;'Precio Mayorista'!$F$38)),TRUE,FALSE))</f>
        <v>0</v>
      </c>
      <c r="AX20" s="292" t="b">
        <f>IF(AND(ISBLANK('Precio Mayorista'!$F$38),ISBLANK('Precio Mayorista'!$F$39)),FALSE,IF(AND('Precio Mayorista'!$J$23&gt;='Precio Mayorista'!$F$38,IF(ISBLANK('Precio Mayorista'!$G$38),"",'Precio Mayorista'!$J$23&lt;'Precio Mayorista'!$G$38)),TRUE,FALSE))</f>
        <v>0</v>
      </c>
      <c r="AY20" s="292" t="b">
        <f>IF(AND(ISBLANK('Precio Mayorista'!$G$38),ISBLANK('Precio Mayorista'!$G$39)),FALSE,IF(AND('Precio Mayorista'!$J$23&gt;='Precio Mayorista'!$G$38,IF(ISBLANK('Precio Mayorista'!$H$38),"",'Precio Mayorista'!$J$23&lt;'Precio Mayorista'!$H$38)),TRUE,FALSE))</f>
        <v>0</v>
      </c>
      <c r="AZ20" s="292" t="b">
        <f>IF(AND(ISBLANK('Precio Mayorista'!$H$38),ISBLANK('Precio Mayorista'!$H$39)),FALSE,IF(AND('Precio Mayorista'!$J$23&gt;='Precio Mayorista'!$H$38,IF(ISBLANK('Precio Mayorista'!$I$38),"",'Precio Mayorista'!$J$23&lt;'Precio Mayorista'!$I$38)),TRUE,FALSE))</f>
        <v>0</v>
      </c>
      <c r="BA20" s="292" t="b">
        <f>IF(AND(ISBLANK('Precio Mayorista'!$I$38),ISBLANK('Precio Mayorista'!$I$39)),FALSE,IF(AND('Precio Mayorista'!$J$23&gt;='Precio Mayorista'!$I$38,IF(ISBLANK('Precio Mayorista'!$J$38),"",'Precio Mayorista'!$J$23&lt;'Precio Mayorista'!$J$38)),TRUE,FALSE))</f>
        <v>0</v>
      </c>
      <c r="BB20" s="292" t="b">
        <f>IF(AND(ISBLANK('Precio Mayorista'!$J$38),ISBLANK('Precio Mayorista'!$J$39)),FALSE,IF(AND('Precio Mayorista'!$J$23&gt;='Precio Mayorista'!$J$38,IF(ISBLANK('Precio Mayorista'!$P$38),"",'Precio Mayorista'!$J$23&lt;'Precio Mayorista'!$P$38)),TRUE,FALSE))</f>
        <v>0</v>
      </c>
    </row>
    <row r="21" spans="2:54" ht="16.399999999999999" customHeight="1" x14ac:dyDescent="0.3">
      <c r="B21" s="132"/>
    </row>
    <row r="22" spans="2:54" ht="9.65" customHeight="1" x14ac:dyDescent="0.3">
      <c r="B22" s="188"/>
      <c r="C22" s="150"/>
      <c r="D22" s="132"/>
      <c r="E22" s="15"/>
    </row>
    <row r="23" spans="2:54" ht="9.65" customHeight="1" thickBot="1" x14ac:dyDescent="0.35">
      <c r="B23" s="188"/>
      <c r="C23" s="150"/>
      <c r="D23" s="132"/>
      <c r="E23" s="15"/>
    </row>
    <row r="24" spans="2:54" ht="16.399999999999999" customHeight="1" thickBot="1" x14ac:dyDescent="0.35">
      <c r="B24" s="188" t="s">
        <v>374</v>
      </c>
      <c r="C24" s="220">
        <f>IF('Precio Mayorista'!$D$14=B28,INDEX($C$27:$I$27,1,MATCH(C25,$C$28:$I$28,0)),"N/A")</f>
        <v>3</v>
      </c>
      <c r="K24" s="188" t="s">
        <v>374</v>
      </c>
      <c r="L24" s="220">
        <f>IF('Precio Mayorista'!$D$14=K28,INDEX(L27:R27,1,MATCH(L25,L28:R28,0)),"N/A")</f>
        <v>3</v>
      </c>
      <c r="T24" s="188" t="s">
        <v>374</v>
      </c>
      <c r="U24" s="220">
        <f>IF('Precio Mayorista'!$D$14=T28,INDEX(U27:AA27,1,MATCH(U25,U28:AA28,0)),"N/A")</f>
        <v>3</v>
      </c>
      <c r="AC24" s="188" t="s">
        <v>374</v>
      </c>
      <c r="AD24" s="220">
        <f>IF('Precio Mayorista'!$D$14=AC28,INDEX(AD27:AJ27,1,MATCH(AD25,AD28:AJ28,0)),"N/A")</f>
        <v>3</v>
      </c>
      <c r="AL24" s="188" t="s">
        <v>374</v>
      </c>
      <c r="AM24" s="220">
        <f>IF('Precio Mayorista'!$D$14=AL28,INDEX(AM27:AS27,1,MATCH(AM25,AM28:AS28,0)),"N/A")</f>
        <v>3</v>
      </c>
      <c r="AU24" s="188" t="s">
        <v>374</v>
      </c>
      <c r="AV24" s="220">
        <f>IF('Precio Mayorista'!$D$14=AU28,INDEX(AV27:BB27,1,MATCH(AV25,AV28:BB28,0)),"N/A")</f>
        <v>3</v>
      </c>
    </row>
    <row r="25" spans="2:54" ht="16.399999999999999" customHeight="1" x14ac:dyDescent="0.3">
      <c r="B25" s="188"/>
      <c r="C25" s="132" t="b">
        <f>TRUE</f>
        <v>1</v>
      </c>
      <c r="D25" s="132"/>
      <c r="K25" s="188"/>
      <c r="L25" s="132" t="b">
        <f>TRUE</f>
        <v>1</v>
      </c>
      <c r="T25" s="188"/>
      <c r="U25" s="132" t="b">
        <f>TRUE</f>
        <v>1</v>
      </c>
      <c r="AC25" s="188"/>
      <c r="AD25" s="132" t="b">
        <f>TRUE</f>
        <v>1</v>
      </c>
      <c r="AL25" s="188"/>
      <c r="AM25" s="132" t="b">
        <f>TRUE</f>
        <v>1</v>
      </c>
      <c r="AU25" s="188"/>
      <c r="AV25" s="132" t="b">
        <f>TRUE</f>
        <v>1</v>
      </c>
    </row>
    <row r="26" spans="2:54" ht="16.399999999999999" customHeight="1" thickBot="1" x14ac:dyDescent="0.35">
      <c r="B26" s="16" t="s">
        <v>252</v>
      </c>
      <c r="K26" s="16" t="s">
        <v>253</v>
      </c>
      <c r="T26" s="16" t="s">
        <v>254</v>
      </c>
      <c r="AC26" s="16" t="s">
        <v>255</v>
      </c>
      <c r="AL26" s="16" t="s">
        <v>256</v>
      </c>
      <c r="AU26" s="16" t="s">
        <v>257</v>
      </c>
    </row>
    <row r="27" spans="2:54" ht="16.399999999999999" customHeight="1" thickBot="1" x14ac:dyDescent="0.3">
      <c r="B27" s="186" t="s">
        <v>375</v>
      </c>
      <c r="C27" s="187">
        <v>0</v>
      </c>
      <c r="D27" s="187">
        <v>1</v>
      </c>
      <c r="E27" s="187">
        <v>2</v>
      </c>
      <c r="F27" s="187">
        <v>3</v>
      </c>
      <c r="G27" s="187">
        <v>4</v>
      </c>
      <c r="H27" s="187">
        <v>5</v>
      </c>
      <c r="I27" s="187">
        <v>6</v>
      </c>
      <c r="K27" s="186" t="s">
        <v>375</v>
      </c>
      <c r="L27" s="187">
        <v>0</v>
      </c>
      <c r="M27" s="187">
        <v>1</v>
      </c>
      <c r="N27" s="187">
        <v>2</v>
      </c>
      <c r="O27" s="187">
        <v>3</v>
      </c>
      <c r="P27" s="187">
        <v>4</v>
      </c>
      <c r="Q27" s="187">
        <v>5</v>
      </c>
      <c r="R27" s="187">
        <v>6</v>
      </c>
      <c r="T27" s="186" t="s">
        <v>375</v>
      </c>
      <c r="U27" s="187">
        <v>0</v>
      </c>
      <c r="V27" s="187">
        <v>1</v>
      </c>
      <c r="W27" s="187">
        <v>2</v>
      </c>
      <c r="X27" s="187">
        <v>3</v>
      </c>
      <c r="Y27" s="187">
        <v>4</v>
      </c>
      <c r="Z27" s="187">
        <v>5</v>
      </c>
      <c r="AA27" s="187">
        <v>6</v>
      </c>
      <c r="AC27" s="186" t="s">
        <v>375</v>
      </c>
      <c r="AD27" s="187">
        <v>0</v>
      </c>
      <c r="AE27" s="187">
        <v>1</v>
      </c>
      <c r="AF27" s="187">
        <v>2</v>
      </c>
      <c r="AG27" s="187">
        <v>3</v>
      </c>
      <c r="AH27" s="187">
        <v>4</v>
      </c>
      <c r="AI27" s="187">
        <v>5</v>
      </c>
      <c r="AJ27" s="187">
        <v>6</v>
      </c>
      <c r="AL27" s="186" t="s">
        <v>375</v>
      </c>
      <c r="AM27" s="187">
        <v>0</v>
      </c>
      <c r="AN27" s="187">
        <v>1</v>
      </c>
      <c r="AO27" s="187">
        <v>2</v>
      </c>
      <c r="AP27" s="187">
        <v>3</v>
      </c>
      <c r="AQ27" s="187">
        <v>4</v>
      </c>
      <c r="AR27" s="187">
        <v>5</v>
      </c>
      <c r="AS27" s="187">
        <v>6</v>
      </c>
      <c r="AU27" s="186" t="s">
        <v>375</v>
      </c>
      <c r="AV27" s="187">
        <v>0</v>
      </c>
      <c r="AW27" s="187">
        <v>1</v>
      </c>
      <c r="AX27" s="187">
        <v>2</v>
      </c>
      <c r="AY27" s="187">
        <v>3</v>
      </c>
      <c r="AZ27" s="187">
        <v>4</v>
      </c>
      <c r="BA27" s="187">
        <v>5</v>
      </c>
      <c r="BB27" s="187">
        <v>6</v>
      </c>
    </row>
    <row r="28" spans="2:54" ht="16.399999999999999" customHeight="1" x14ac:dyDescent="0.25">
      <c r="B28" s="141" t="s">
        <v>289</v>
      </c>
      <c r="C28" s="293" t="b">
        <f>IF(AND(ISBLANK('Precio Mayorista'!$D$42),ISBLANK('Precio Mayorista'!$D$43)),FALSE,IF(AND('Precio Mayorista'!$E$26&gt;='Precio Mayorista'!$D$42,IF(AND(ISBLANK('Precio Mayorista'!$E$42),(ISBLANK('Precio Mayorista'!$E$43))),"",'Precio Mayorista'!$E$26&lt;'Precio Mayorista'!$E$42)),TRUE,FALSE))</f>
        <v>0</v>
      </c>
      <c r="D28" s="293" t="b">
        <f>IF(AND(ISBLANK('Precio Mayorista'!$E$42),ISBLANK('Precio Mayorista'!$E$43)),FALSE,IF(AND('Precio Mayorista'!$E$26&gt;='Precio Mayorista'!$E$42,IF(AND(ISBLANK('Precio Mayorista'!$F$42),(ISBLANK('Precio Mayorista'!$F$43))),"",'Precio Mayorista'!$E$26&lt;'Precio Mayorista'!$F$42)),TRUE,FALSE))</f>
        <v>0</v>
      </c>
      <c r="E28" s="293" t="b">
        <f>IF(AND(ISBLANK('Precio Mayorista'!$F$42),ISBLANK('Precio Mayorista'!$F$43)),FALSE,IF(AND('Precio Mayorista'!$E$26&gt;='Precio Mayorista'!$F$42,IF(AND(ISBLANK('Precio Mayorista'!$G$42),(ISBLANK('Precio Mayorista'!$G$43))),"",'Precio Mayorista'!$E$26&lt;'Precio Mayorista'!$G$42)),TRUE,FALSE))</f>
        <v>0</v>
      </c>
      <c r="F28" s="293" t="b">
        <f>IF(AND(ISBLANK('Precio Mayorista'!$G$42),ISBLANK('Precio Mayorista'!$G$43)),FALSE,IF(AND('Precio Mayorista'!$E$26&gt;='Precio Mayorista'!$G$42,IF(AND(ISBLANK('Precio Mayorista'!$H$42),(ISBLANK('Precio Mayorista'!$H$43))),"",'Precio Mayorista'!$E$26&lt;'Precio Mayorista'!$H$42)),TRUE,FALSE))</f>
        <v>1</v>
      </c>
      <c r="G28" s="293" t="b">
        <f>IF(AND(ISBLANK('Precio Mayorista'!$H$42),ISBLANK('Precio Mayorista'!$H$43)),FALSE,IF(AND('Precio Mayorista'!$E$26&gt;='Precio Mayorista'!$H$42,IF(AND(ISBLANK('Precio Mayorista'!$I$42),(ISBLANK('Precio Mayorista'!$I$43))),"",'Precio Mayorista'!$E$26&lt;'Precio Mayorista'!$I$42)),TRUE,FALSE))</f>
        <v>0</v>
      </c>
      <c r="H28" s="293" t="b">
        <f>IF(AND(ISBLANK('Precio Mayorista'!$I$42),ISBLANK('Precio Mayorista'!$I$43)),FALSE,IF(AND('Precio Mayorista'!$E$26&gt;='Precio Mayorista'!$I$42,IF(AND(ISBLANK('Precio Mayorista'!$J$42),(ISBLANK('Precio Mayorista'!$J$43))),"",'Precio Mayorista'!$E$26&lt;'Precio Mayorista'!$J$42)),TRUE,FALSE))</f>
        <v>0</v>
      </c>
      <c r="I28" s="293" t="b">
        <f>IF(AND(ISBLANK('Precio Mayorista'!$J$42),ISBLANK('Precio Mayorista'!$J$43)),FALSE,IF(AND('Precio Mayorista'!$E$26&gt;='Precio Mayorista'!$J$42,IF(AND(ISBLANK('Precio Mayorista'!$P$42),(ISBLANK('Precio Mayorista'!$P$43))),"",'Precio Mayorista'!$E$26&lt;'Precio Mayorista'!$P$42)),TRUE,FALSE))</f>
        <v>0</v>
      </c>
      <c r="K28" s="141" t="s">
        <v>289</v>
      </c>
      <c r="L28" s="293" t="b">
        <f>IF(AND(ISBLANK('Precio Mayorista'!$D$42),ISBLANK('Precio Mayorista'!$D$43)),FALSE,IF(AND('Precio Mayorista'!$F$26&gt;='Precio Mayorista'!$D$42,IF(AND(ISBLANK('Precio Mayorista'!$E$42),(ISBLANK('Precio Mayorista'!$E$43))),"",'Precio Mayorista'!$F$26&lt;'Precio Mayorista'!$E$42)),TRUE,FALSE))</f>
        <v>0</v>
      </c>
      <c r="M28" s="293" t="b">
        <f>IF(AND(ISBLANK('Precio Mayorista'!$E$42),ISBLANK('Precio Mayorista'!$E$43)),FALSE,IF(AND('Precio Mayorista'!$F$26&gt;='Precio Mayorista'!$E$42,IF(AND(ISBLANK('Precio Mayorista'!$F$42),(ISBLANK('Precio Mayorista'!$F$43))),"",'Precio Mayorista'!$F$26&lt;'Precio Mayorista'!$F$42)),TRUE,FALSE))</f>
        <v>0</v>
      </c>
      <c r="N28" s="293" t="b">
        <f>IF(AND(ISBLANK('Precio Mayorista'!$F$42),ISBLANK('Precio Mayorista'!$F$43)),FALSE,IF(AND('Precio Mayorista'!$F$26&gt;='Precio Mayorista'!$F$42,IF(AND(ISBLANK('Precio Mayorista'!$G$42),(ISBLANK('Precio Mayorista'!$G$43))),"",'Precio Mayorista'!$F$26&lt;'Precio Mayorista'!$G$42)),TRUE,FALSE))</f>
        <v>0</v>
      </c>
      <c r="O28" s="293" t="b">
        <f>IF(AND(ISBLANK('Precio Mayorista'!$G$42),ISBLANK('Precio Mayorista'!$G$43)),FALSE,IF(AND('Precio Mayorista'!$F$26&gt;='Precio Mayorista'!$G$42,IF(AND(ISBLANK('Precio Mayorista'!$H$42),(ISBLANK('Precio Mayorista'!$H$43))),"",'Precio Mayorista'!$F$26&lt;'Precio Mayorista'!$H$42)),TRUE,FALSE))</f>
        <v>1</v>
      </c>
      <c r="P28" s="293" t="b">
        <f>IF(AND(ISBLANK('Precio Mayorista'!$H$42),ISBLANK('Precio Mayorista'!$H$43)),FALSE,IF(AND('Precio Mayorista'!$F$26&gt;='Precio Mayorista'!$H$42,IF(AND(ISBLANK('Precio Mayorista'!$I$42),(ISBLANK('Precio Mayorista'!$I$43))),"",'Precio Mayorista'!$F$26&lt;'Precio Mayorista'!$I$42)),TRUE,FALSE))</f>
        <v>0</v>
      </c>
      <c r="Q28" s="293" t="b">
        <f>IF(AND(ISBLANK('Precio Mayorista'!$I$42),ISBLANK('Precio Mayorista'!$I$43)),FALSE,IF(AND('Precio Mayorista'!$F$26&gt;='Precio Mayorista'!$I$42,IF(AND(ISBLANK('Precio Mayorista'!$J$42),(ISBLANK('Precio Mayorista'!$J$43))),"",'Precio Mayorista'!$F$26&lt;'Precio Mayorista'!$J$42)),TRUE,FALSE))</f>
        <v>0</v>
      </c>
      <c r="R28" s="293" t="b">
        <f>IF(AND(ISBLANK('Precio Mayorista'!$J$42),ISBLANK('Precio Mayorista'!$J$43)),FALSE,IF(AND('Precio Mayorista'!$F$26&gt;='Precio Mayorista'!$J$42,IF(AND(ISBLANK('Precio Mayorista'!$P$42),(ISBLANK('Precio Mayorista'!$P$43))),"",'Precio Mayorista'!$F$26&lt;'Precio Mayorista'!$P$42)),TRUE,FALSE))</f>
        <v>0</v>
      </c>
      <c r="T28" s="141" t="s">
        <v>289</v>
      </c>
      <c r="U28" s="293" t="b">
        <f>IF(AND(ISBLANK('Precio Mayorista'!$D$42),ISBLANK('Precio Mayorista'!$D$43)),FALSE,IF(AND('Precio Mayorista'!$G$26&gt;='Precio Mayorista'!$D$42,IF(AND(ISBLANK('Precio Mayorista'!$E$42),(ISBLANK('Precio Mayorista'!$E$43))),"",'Precio Mayorista'!$G$26&lt;'Precio Mayorista'!$E$42)),TRUE,FALSE))</f>
        <v>0</v>
      </c>
      <c r="V28" s="293" t="b">
        <f>IF(AND(ISBLANK('Precio Mayorista'!$E$42),ISBLANK('Precio Mayorista'!$E$43)),FALSE,IF(AND('Precio Mayorista'!$G$26&gt;='Precio Mayorista'!$E$42,IF(AND(ISBLANK('Precio Mayorista'!$F$42),(ISBLANK('Precio Mayorista'!$F$43))),"",'Precio Mayorista'!$G$26&lt;'Precio Mayorista'!$F$42)),TRUE,FALSE))</f>
        <v>0</v>
      </c>
      <c r="W28" s="293" t="b">
        <f>IF(AND(ISBLANK('Precio Mayorista'!$F$42),ISBLANK('Precio Mayorista'!$F$43)),FALSE,IF(AND('Precio Mayorista'!$G$26&gt;='Precio Mayorista'!$F$42,IF(AND(ISBLANK('Precio Mayorista'!$G$42),(ISBLANK('Precio Mayorista'!$G$43))),"",'Precio Mayorista'!$G$26&lt;'Precio Mayorista'!$G$42)),TRUE,FALSE))</f>
        <v>0</v>
      </c>
      <c r="X28" s="293" t="b">
        <f>IF(AND(ISBLANK('Precio Mayorista'!$G$42),ISBLANK('Precio Mayorista'!$G$43)),FALSE,IF(AND('Precio Mayorista'!$G$26&gt;='Precio Mayorista'!$G$42,IF(AND(ISBLANK('Precio Mayorista'!$H$42),(ISBLANK('Precio Mayorista'!$H$43))),"",'Precio Mayorista'!$G$26&lt;'Precio Mayorista'!$H$42)),TRUE,FALSE))</f>
        <v>1</v>
      </c>
      <c r="Y28" s="293" t="b">
        <f>IF(AND(ISBLANK('Precio Mayorista'!$H$42),ISBLANK('Precio Mayorista'!$H$43)),FALSE,IF(AND('Precio Mayorista'!$G$26&gt;='Precio Mayorista'!$H$42,IF(AND(ISBLANK('Precio Mayorista'!$I$42),(ISBLANK('Precio Mayorista'!$I$43))),"",'Precio Mayorista'!$G$26&lt;'Precio Mayorista'!$I$42)),TRUE,FALSE))</f>
        <v>0</v>
      </c>
      <c r="Z28" s="293" t="b">
        <f>IF(AND(ISBLANK('Precio Mayorista'!$I$42),ISBLANK('Precio Mayorista'!$I$43)),FALSE,IF(AND('Precio Mayorista'!$G$26&gt;='Precio Mayorista'!$I$42,IF(AND(ISBLANK('Precio Mayorista'!$J$42),(ISBLANK('Precio Mayorista'!$J$43))),"",'Precio Mayorista'!$G$26&lt;'Precio Mayorista'!$J$42)),TRUE,FALSE))</f>
        <v>0</v>
      </c>
      <c r="AA28" s="293" t="b">
        <f>IF(AND(ISBLANK('Precio Mayorista'!$J$42),ISBLANK('Precio Mayorista'!$J$43)),FALSE,IF(AND('Precio Mayorista'!$G$26&gt;='Precio Mayorista'!$J$42,IF(AND(ISBLANK('Precio Mayorista'!$P$42),(ISBLANK('Precio Mayorista'!$P$43))),"",'Precio Mayorista'!$G$26&lt;'Precio Mayorista'!$P$42)),TRUE,FALSE))</f>
        <v>0</v>
      </c>
      <c r="AC28" s="141" t="s">
        <v>289</v>
      </c>
      <c r="AD28" s="293" t="b">
        <f>IF(AND(ISBLANK('Precio Mayorista'!$D$42),ISBLANK('Precio Mayorista'!$D$43)),FALSE,IF(AND('Precio Mayorista'!$H$26&gt;='Precio Mayorista'!$D$42,IF(AND(ISBLANK('Precio Mayorista'!$E$42),(ISBLANK('Precio Mayorista'!$E$43))),"",'Precio Mayorista'!$H$26&lt;'Precio Mayorista'!$E$42)),TRUE,FALSE))</f>
        <v>0</v>
      </c>
      <c r="AE28" s="293" t="b">
        <f>IF(AND(ISBLANK('Precio Mayorista'!$E$42),ISBLANK('Precio Mayorista'!$E$43)),FALSE,IF(AND('Precio Mayorista'!$H$26&gt;='Precio Mayorista'!$E$42,IF(AND(ISBLANK('Precio Mayorista'!$F$42),(ISBLANK('Precio Mayorista'!$F$43))),"",'Precio Mayorista'!$H$26&lt;'Precio Mayorista'!$F$42)),TRUE,FALSE))</f>
        <v>0</v>
      </c>
      <c r="AF28" s="293" t="b">
        <f>IF(AND(ISBLANK('Precio Mayorista'!$F$42),ISBLANK('Precio Mayorista'!$F$43)),FALSE,IF(AND('Precio Mayorista'!$H$26&gt;='Precio Mayorista'!$F$42,IF(AND(ISBLANK('Precio Mayorista'!$G$42),(ISBLANK('Precio Mayorista'!$G$43))),"",'Precio Mayorista'!$H$26&lt;'Precio Mayorista'!$G$42)),TRUE,FALSE))</f>
        <v>0</v>
      </c>
      <c r="AG28" s="293" t="b">
        <f>IF(AND(ISBLANK('Precio Mayorista'!$G$42),ISBLANK('Precio Mayorista'!$G$43)),FALSE,IF(AND('Precio Mayorista'!$H$26&gt;='Precio Mayorista'!$G$42,IF(AND(ISBLANK('Precio Mayorista'!$H$42),(ISBLANK('Precio Mayorista'!$H$43))),"",'Precio Mayorista'!$H$26&lt;'Precio Mayorista'!$H$42)),TRUE,FALSE))</f>
        <v>1</v>
      </c>
      <c r="AH28" s="293" t="b">
        <f>IF(AND(ISBLANK('Precio Mayorista'!$H$42),ISBLANK('Precio Mayorista'!$H$43)),FALSE,IF(AND('Precio Mayorista'!$H$26&gt;='Precio Mayorista'!$H$42,IF(AND(ISBLANK('Precio Mayorista'!$I$42),(ISBLANK('Precio Mayorista'!$I$43))),"",'Precio Mayorista'!$H$26&lt;'Precio Mayorista'!$I$42)),TRUE,FALSE))</f>
        <v>0</v>
      </c>
      <c r="AI28" s="293" t="b">
        <f>IF(AND(ISBLANK('Precio Mayorista'!$I$42),ISBLANK('Precio Mayorista'!$I$43)),FALSE,IF(AND('Precio Mayorista'!$H$26&gt;='Precio Mayorista'!$I$42,IF(AND(ISBLANK('Precio Mayorista'!$J$42),(ISBLANK('Precio Mayorista'!$J$43))),"",'Precio Mayorista'!$H$26&lt;'Precio Mayorista'!$J$42)),TRUE,FALSE))</f>
        <v>0</v>
      </c>
      <c r="AJ28" s="293" t="b">
        <f>IF(AND(ISBLANK('Precio Mayorista'!$J$42),ISBLANK('Precio Mayorista'!$J$43)),FALSE,IF(AND('Precio Mayorista'!$H$26&gt;='Precio Mayorista'!$J$42,IF(AND(ISBLANK('Precio Mayorista'!$P$42),(ISBLANK('Precio Mayorista'!$P$43))),"",'Precio Mayorista'!$H$26&lt;'Precio Mayorista'!$P$42)),TRUE,FALSE))</f>
        <v>0</v>
      </c>
      <c r="AL28" s="141" t="s">
        <v>289</v>
      </c>
      <c r="AM28" s="293" t="b">
        <f>IF(AND(ISBLANK('Precio Mayorista'!$D$42),ISBLANK('Precio Mayorista'!$D$43)),FALSE,IF(AND('Precio Mayorista'!$I$26&gt;='Precio Mayorista'!$D$42,IF(AND(ISBLANK('Precio Mayorista'!$E$42),(ISBLANK('Precio Mayorista'!$E$43))),"",'Precio Mayorista'!$I$26&lt;'Precio Mayorista'!$E$42)),TRUE,FALSE))</f>
        <v>0</v>
      </c>
      <c r="AN28" s="293" t="b">
        <f>IF(AND(ISBLANK('Precio Mayorista'!$E$42),ISBLANK('Precio Mayorista'!$E$43)),FALSE,IF(AND('Precio Mayorista'!$I$26&gt;='Precio Mayorista'!$E$42,IF(AND(ISBLANK('Precio Mayorista'!$F$42),(ISBLANK('Precio Mayorista'!$F$43))),"",'Precio Mayorista'!$I$26&lt;'Precio Mayorista'!$F$42)),TRUE,FALSE))</f>
        <v>0</v>
      </c>
      <c r="AO28" s="293" t="b">
        <f>IF(AND(ISBLANK('Precio Mayorista'!$F$42),ISBLANK('Precio Mayorista'!$F$43)),FALSE,IF(AND('Precio Mayorista'!$I$26&gt;='Precio Mayorista'!$F$42,IF(AND(ISBLANK('Precio Mayorista'!$G$42),(ISBLANK('Precio Mayorista'!$G$43))),"",'Precio Mayorista'!$I$26&lt;'Precio Mayorista'!$G$42)),TRUE,FALSE))</f>
        <v>0</v>
      </c>
      <c r="AP28" s="293" t="b">
        <f>IF(AND(ISBLANK('Precio Mayorista'!$G$42),ISBLANK('Precio Mayorista'!$G$43)),FALSE,IF(AND('Precio Mayorista'!$I$26&gt;='Precio Mayorista'!$G$42,IF(AND(ISBLANK('Precio Mayorista'!$H$42),(ISBLANK('Precio Mayorista'!$H$43))),"",'Precio Mayorista'!$I$26&lt;'Precio Mayorista'!$H$42)),TRUE,FALSE))</f>
        <v>1</v>
      </c>
      <c r="AQ28" s="293" t="b">
        <f>IF(AND(ISBLANK('Precio Mayorista'!$H$42),ISBLANK('Precio Mayorista'!$H$43)),FALSE,IF(AND('Precio Mayorista'!$I$26&gt;='Precio Mayorista'!$H$42,IF(AND(ISBLANK('Precio Mayorista'!$I$42),(ISBLANK('Precio Mayorista'!$I$43))),"",'Precio Mayorista'!$I$26&lt;'Precio Mayorista'!$I$42)),TRUE,FALSE))</f>
        <v>0</v>
      </c>
      <c r="AR28" s="293" t="b">
        <f>IF(AND(ISBLANK('Precio Mayorista'!$I$42),ISBLANK('Precio Mayorista'!$I$43)),FALSE,IF(AND('Precio Mayorista'!$I$26&gt;='Precio Mayorista'!$I$42,IF(AND(ISBLANK('Precio Mayorista'!$J$42),(ISBLANK('Precio Mayorista'!$J$43))),"",'Precio Mayorista'!$I$26&lt;'Precio Mayorista'!$J$42)),TRUE,FALSE))</f>
        <v>0</v>
      </c>
      <c r="AS28" s="293" t="b">
        <f>IF(AND(ISBLANK('Precio Mayorista'!$J$42),ISBLANK('Precio Mayorista'!$J$43)),FALSE,IF(AND('Precio Mayorista'!$I$26&gt;='Precio Mayorista'!$J$42,IF(AND(ISBLANK('Precio Mayorista'!$P$42),(ISBLANK('Precio Mayorista'!$P$43))),"",'Precio Mayorista'!$I$26&lt;'Precio Mayorista'!$P$42)),TRUE,FALSE))</f>
        <v>0</v>
      </c>
      <c r="AU28" s="141" t="s">
        <v>289</v>
      </c>
      <c r="AV28" s="293" t="b">
        <f>IF(AND(ISBLANK('Precio Mayorista'!$D$42),ISBLANK('Precio Mayorista'!$D$43)),FALSE,IF(AND('Precio Mayorista'!$J$26&gt;='Precio Mayorista'!$D$42,IF(AND(ISBLANK('Precio Mayorista'!$E$42),(ISBLANK('Precio Mayorista'!$E$43))),"",'Precio Mayorista'!$J$26&lt;'Precio Mayorista'!$E$42)),TRUE,FALSE))</f>
        <v>0</v>
      </c>
      <c r="AW28" s="293" t="b">
        <f>IF(AND(ISBLANK('Precio Mayorista'!$E$42),ISBLANK('Precio Mayorista'!$E$43)),FALSE,IF(AND('Precio Mayorista'!$J$26&gt;='Precio Mayorista'!$E$42,IF(AND(ISBLANK('Precio Mayorista'!$F$42),(ISBLANK('Precio Mayorista'!$F$43))),"",'Precio Mayorista'!$J$26&lt;'Precio Mayorista'!$F$42)),TRUE,FALSE))</f>
        <v>0</v>
      </c>
      <c r="AX28" s="293" t="b">
        <f>IF(AND(ISBLANK('Precio Mayorista'!$F$42),ISBLANK('Precio Mayorista'!$F$43)),FALSE,IF(AND('Precio Mayorista'!$J$26&gt;='Precio Mayorista'!$F$42,IF(AND(ISBLANK('Precio Mayorista'!$G$42),(ISBLANK('Precio Mayorista'!$G$43))),"",'Precio Mayorista'!$J$26&lt;'Precio Mayorista'!$G$42)),TRUE,FALSE))</f>
        <v>0</v>
      </c>
      <c r="AY28" s="293" t="b">
        <f>IF(AND(ISBLANK('Precio Mayorista'!$G$42),ISBLANK('Precio Mayorista'!$G$43)),FALSE,IF(AND('Precio Mayorista'!$J$26&gt;='Precio Mayorista'!$G$42,IF(AND(ISBLANK('Precio Mayorista'!$H$42),(ISBLANK('Precio Mayorista'!$H$43))),"",'Precio Mayorista'!$J$26&lt;'Precio Mayorista'!$H$42)),TRUE,FALSE))</f>
        <v>1</v>
      </c>
      <c r="AZ28" s="293" t="b">
        <f>IF(AND(ISBLANK('Precio Mayorista'!$H$42),ISBLANK('Precio Mayorista'!$H$43)),FALSE,IF(AND('Precio Mayorista'!$J$26&gt;='Precio Mayorista'!$H$42,IF(AND(ISBLANK('Precio Mayorista'!$I$42),(ISBLANK('Precio Mayorista'!$I$43))),"",'Precio Mayorista'!$J$26&lt;'Precio Mayorista'!$I$42)),TRUE,FALSE))</f>
        <v>0</v>
      </c>
      <c r="BA28" s="293" t="b">
        <f>IF(AND(ISBLANK('Precio Mayorista'!$I$42),ISBLANK('Precio Mayorista'!$I$43)),FALSE,IF(AND('Precio Mayorista'!$J$26&gt;='Precio Mayorista'!$I$42,IF(AND(ISBLANK('Precio Mayorista'!$J$42),(ISBLANK('Precio Mayorista'!$J$43))),"",'Precio Mayorista'!$J$26&lt;'Precio Mayorista'!$J$42)),TRUE,FALSE))</f>
        <v>0</v>
      </c>
      <c r="BB28" s="293" t="b">
        <f>IF(AND(ISBLANK('Precio Mayorista'!$J$42),ISBLANK('Precio Mayorista'!$J$43)),FALSE,IF(AND('Precio Mayorista'!$J$26&gt;='Precio Mayorista'!$J$42,IF(AND(ISBLANK('Precio Mayorista'!$P$42),(ISBLANK('Precio Mayorista'!$P$43))),"",'Precio Mayorista'!$J$26&lt;'Precio Mayorista'!$P$42)),TRUE,FALSE))</f>
        <v>0</v>
      </c>
    </row>
    <row r="29" spans="2:54" ht="10.4" customHeight="1" x14ac:dyDescent="0.3">
      <c r="B29" s="141"/>
      <c r="C29" s="150"/>
      <c r="D29" s="132"/>
      <c r="E29" s="15"/>
      <c r="F29" s="15"/>
      <c r="G29" s="15"/>
    </row>
    <row r="30" spans="2:54" ht="13" x14ac:dyDescent="0.25">
      <c r="B30" s="147"/>
      <c r="C30" s="144"/>
      <c r="D30" s="145"/>
      <c r="E30" s="146"/>
      <c r="F30" s="146"/>
      <c r="G30" s="146"/>
      <c r="L30" s="136"/>
      <c r="O30" s="137"/>
    </row>
    <row r="31" spans="2:54" s="170" customFormat="1" ht="13" x14ac:dyDescent="0.25">
      <c r="B31" s="166" t="s">
        <v>376</v>
      </c>
      <c r="C31" s="167"/>
      <c r="D31" s="168"/>
      <c r="E31" s="169"/>
      <c r="F31" s="169"/>
      <c r="G31" s="169"/>
    </row>
    <row r="32" spans="2:54" x14ac:dyDescent="0.25">
      <c r="B32" s="151" t="s">
        <v>372</v>
      </c>
      <c r="C32" s="144"/>
      <c r="D32" s="145"/>
      <c r="E32" s="146"/>
      <c r="F32" s="146"/>
      <c r="G32" s="146"/>
    </row>
    <row r="33" spans="2:7" x14ac:dyDescent="0.25">
      <c r="B33" s="151" t="s">
        <v>373</v>
      </c>
      <c r="C33" s="144"/>
      <c r="D33" s="145"/>
      <c r="E33" s="146"/>
      <c r="F33" s="146"/>
      <c r="G33" s="146"/>
    </row>
    <row r="34" spans="2:7" x14ac:dyDescent="0.25">
      <c r="B34" s="151" t="s">
        <v>377</v>
      </c>
      <c r="C34" s="144"/>
      <c r="D34" s="145"/>
      <c r="E34" s="146"/>
      <c r="F34" s="146"/>
      <c r="G34" s="146"/>
    </row>
    <row r="35" spans="2:7" x14ac:dyDescent="0.25">
      <c r="B35" s="151" t="s">
        <v>289</v>
      </c>
      <c r="C35" s="144"/>
      <c r="D35" s="145"/>
      <c r="E35" s="146"/>
      <c r="F35" s="146"/>
      <c r="G35" s="146"/>
    </row>
    <row r="36" spans="2:7" ht="13" x14ac:dyDescent="0.25">
      <c r="B36" s="139"/>
      <c r="C36" s="144"/>
      <c r="D36" s="145"/>
      <c r="E36" s="146"/>
      <c r="F36" s="146"/>
      <c r="G36" s="146"/>
    </row>
    <row r="37" spans="2:7" s="170" customFormat="1" ht="13" x14ac:dyDescent="0.25">
      <c r="B37" s="166" t="s">
        <v>378</v>
      </c>
    </row>
    <row r="38" spans="2:7" x14ac:dyDescent="0.25">
      <c r="B38" s="212"/>
      <c r="C38" s="212"/>
      <c r="D38" s="212"/>
    </row>
    <row r="39" spans="2:7" ht="13" x14ac:dyDescent="0.25">
      <c r="B39" s="15"/>
      <c r="C39" s="15"/>
      <c r="D39" s="216" t="s">
        <v>120</v>
      </c>
    </row>
    <row r="40" spans="2:7" x14ac:dyDescent="0.25">
      <c r="B40" s="368" t="s">
        <v>241</v>
      </c>
      <c r="C40" s="369" t="str">
        <f>IF(Supuestos!B48="","",Supuestos!B48)</f>
        <v>Datos</v>
      </c>
      <c r="D40" s="390">
        <f>IF($B$32='Precio Mayorista'!$D$14,INDEX('Precios mayoristas efectivos'!$C$11:$C$13,MATCH('Hoja Auxiliar'!$B40,'Precios mayoristas efectivos'!$B$11:$B$13,0)),IF($B$33='Precio Mayorista'!$D$14,INDEX('Precios mayoristas efectivos'!$C$26:$C$28,MATCH('Hoja Auxiliar'!B40,'Precios mayoristas efectivos'!$B$11:$B$13,0)),IF($B$34='Precio Mayorista'!$D$14,INDEX('Precios mayoristas efectivos'!$C$68:$C$70,MATCH('Hoja Auxiliar'!B40,'Precios mayoristas efectivos'!$B$68:$B$70,0)),IF($B$35='Precio Mayorista'!$D$14,INDEX('Precios mayoristas efectivos'!$C$98:$C$100,MATCH('Hoja Auxiliar'!B40,'Precios mayoristas efectivos'!$B$98:$B$100,0)),""))))</f>
        <v>1.2699999999999999E-2</v>
      </c>
      <c r="E40" s="235"/>
    </row>
    <row r="41" spans="2:7" ht="25" x14ac:dyDescent="0.25">
      <c r="B41" s="368" t="s">
        <v>239</v>
      </c>
      <c r="C41" s="369" t="str">
        <f>IF(Supuestos!B49="","",Supuestos!B49)</f>
        <v>Originación voz on-net local</v>
      </c>
      <c r="D41" s="370">
        <f>IF($B$32='Precio Mayorista'!$D$14,INDEX('Precios mayoristas efectivos'!$C$11:$C$13,MATCH('Hoja Auxiliar'!$B41,'Precios mayoristas efectivos'!$B$11:$B$13,0)),IF($B$33='Precio Mayorista'!$D$14,INDEX('Precios mayoristas efectivos'!$C$26:$C$28,MATCH('Hoja Auxiliar'!B41,'Precios mayoristas efectivos'!$B$11:$B$13,0)),IF($B$34='Precio Mayorista'!$D$14,INDEX('Precios mayoristas efectivos'!$C$68:$C$70,MATCH('Hoja Auxiliar'!B41,'Precios mayoristas efectivos'!$B$68:$B$70,0)),IF($B$35='Precio Mayorista'!$D$14,INDEX('Precios mayoristas efectivos'!$C$98:$C$100,MATCH('Hoja Auxiliar'!B41,'Precios mayoristas efectivos'!$B$98:$B$100,0)),""))))</f>
        <v>0.03</v>
      </c>
      <c r="E41" s="235"/>
      <c r="F41" s="43"/>
    </row>
    <row r="42" spans="2:7" ht="25" x14ac:dyDescent="0.25">
      <c r="B42" s="368" t="s">
        <v>239</v>
      </c>
      <c r="C42" s="369" t="str">
        <f>IF(Supuestos!B50="","",Supuestos!B50)</f>
        <v>Originación voz off-net móvil local</v>
      </c>
      <c r="D42" s="370">
        <f>IF($B$32='Precio Mayorista'!$D$14,INDEX('Precios mayoristas efectivos'!$C$11:$C$13,MATCH('Hoja Auxiliar'!$B42,'Precios mayoristas efectivos'!$B$11:$B$13,0)),IF($B$33='Precio Mayorista'!$D$14,INDEX('Precios mayoristas efectivos'!$C$26:$C$28,MATCH('Hoja Auxiliar'!B42,'Precios mayoristas efectivos'!$B$11:$B$13,0)),IF($B$34='Precio Mayorista'!$D$14,INDEX('Precios mayoristas efectivos'!$C$68:$C$70,MATCH('Hoja Auxiliar'!B42,'Precios mayoristas efectivos'!$B$68:$B$70,0)),IF($B$35='Precio Mayorista'!$D$14,INDEX('Precios mayoristas efectivos'!$C$98:$C$100,MATCH('Hoja Auxiliar'!B42,'Precios mayoristas efectivos'!$B$98:$B$100,0)),""))))</f>
        <v>0.03</v>
      </c>
      <c r="E42" s="235"/>
    </row>
    <row r="43" spans="2:7" ht="25" x14ac:dyDescent="0.25">
      <c r="B43" s="368" t="s">
        <v>239</v>
      </c>
      <c r="C43" s="369" t="str">
        <f>IF(Supuestos!B51="","",Supuestos!B51)</f>
        <v>Originación voz off-net fijo local</v>
      </c>
      <c r="D43" s="370">
        <f>IF($B$32='Precio Mayorista'!$D$14,INDEX('Precios mayoristas efectivos'!$C$11:$C$13,MATCH('Hoja Auxiliar'!$B43,'Precios mayoristas efectivos'!$B$11:$B$13,0)),IF($B$33='Precio Mayorista'!$D$14,INDEX('Precios mayoristas efectivos'!$C$26:$C$28,MATCH('Hoja Auxiliar'!B43,'Precios mayoristas efectivos'!$B$11:$B$13,0)),IF($B$34='Precio Mayorista'!$D$14,INDEX('Precios mayoristas efectivos'!$C$68:$C$70,MATCH('Hoja Auxiliar'!B43,'Precios mayoristas efectivos'!$B$68:$B$70,0)),IF($B$35='Precio Mayorista'!$D$14,INDEX('Precios mayoristas efectivos'!$C$98:$C$100,MATCH('Hoja Auxiliar'!B43,'Precios mayoristas efectivos'!$B$98:$B$100,0)),""))))</f>
        <v>0.03</v>
      </c>
      <c r="E43" s="235"/>
    </row>
    <row r="44" spans="2:7" ht="25" x14ac:dyDescent="0.25">
      <c r="B44" s="368" t="s">
        <v>239</v>
      </c>
      <c r="C44" s="369" t="str">
        <f>IF(Supuestos!B52="","",Supuestos!B52)</f>
        <v>Originación voz on-net LDN</v>
      </c>
      <c r="D44" s="370">
        <f>IF($B$32='Precio Mayorista'!$D$14,INDEX('Precios mayoristas efectivos'!$C$11:$C$13,MATCH('Hoja Auxiliar'!$B44,'Precios mayoristas efectivos'!$B$11:$B$13,0)),IF($B$33='Precio Mayorista'!$D$14,INDEX('Precios mayoristas efectivos'!$C$26:$C$28,MATCH('Hoja Auxiliar'!B44,'Precios mayoristas efectivos'!$B$11:$B$13,0)),IF($B$34='Precio Mayorista'!$D$14,INDEX('Precios mayoristas efectivos'!$C$68:$C$70,MATCH('Hoja Auxiliar'!B44,'Precios mayoristas efectivos'!$B$68:$B$70,0)),IF($B$35='Precio Mayorista'!$D$14,INDEX('Precios mayoristas efectivos'!$C$98:$C$100,MATCH('Hoja Auxiliar'!B44,'Precios mayoristas efectivos'!$B$98:$B$100,0)),""))))</f>
        <v>0.03</v>
      </c>
      <c r="E44" s="235"/>
    </row>
    <row r="45" spans="2:7" ht="25" x14ac:dyDescent="0.25">
      <c r="B45" s="368" t="s">
        <v>239</v>
      </c>
      <c r="C45" s="369" t="str">
        <f>IF(Supuestos!B53="","",Supuestos!B53)</f>
        <v>Originación voz off-net móvil LDN</v>
      </c>
      <c r="D45" s="370">
        <f>IF($B$32='Precio Mayorista'!$D$14,INDEX('Precios mayoristas efectivos'!$C$11:$C$13,MATCH('Hoja Auxiliar'!$B45,'Precios mayoristas efectivos'!$B$11:$B$13,0)),IF($B$33='Precio Mayorista'!$D$14,INDEX('Precios mayoristas efectivos'!$C$26:$C$28,MATCH('Hoja Auxiliar'!B45,'Precios mayoristas efectivos'!$B$11:$B$13,0)),IF($B$34='Precio Mayorista'!$D$14,INDEX('Precios mayoristas efectivos'!$C$68:$C$70,MATCH('Hoja Auxiliar'!B45,'Precios mayoristas efectivos'!$B$68:$B$70,0)),IF($B$35='Precio Mayorista'!$D$14,INDEX('Precios mayoristas efectivos'!$C$98:$C$100,MATCH('Hoja Auxiliar'!B45,'Precios mayoristas efectivos'!$B$98:$B$100,0)),""))))</f>
        <v>0.03</v>
      </c>
      <c r="E45" s="235"/>
    </row>
    <row r="46" spans="2:7" ht="25" x14ac:dyDescent="0.25">
      <c r="B46" s="368" t="s">
        <v>239</v>
      </c>
      <c r="C46" s="369" t="str">
        <f>IF(Supuestos!B54="","",Supuestos!B54)</f>
        <v>Originación voz off-net fijo LDN</v>
      </c>
      <c r="D46" s="370">
        <f>IF($B$32='Precio Mayorista'!$D$14,INDEX('Precios mayoristas efectivos'!$C$11:$C$13,MATCH('Hoja Auxiliar'!$B46,'Precios mayoristas efectivos'!$B$11:$B$13,0)),IF($B$33='Precio Mayorista'!$D$14,INDEX('Precios mayoristas efectivos'!$C$26:$C$28,MATCH('Hoja Auxiliar'!B46,'Precios mayoristas efectivos'!$B$11:$B$13,0)),IF($B$34='Precio Mayorista'!$D$14,INDEX('Precios mayoristas efectivos'!$C$68:$C$70,MATCH('Hoja Auxiliar'!B46,'Precios mayoristas efectivos'!$B$68:$B$70,0)),IF($B$35='Precio Mayorista'!$D$14,INDEX('Precios mayoristas efectivos'!$C$98:$C$100,MATCH('Hoja Auxiliar'!B46,'Precios mayoristas efectivos'!$B$98:$B$100,0)),""))))</f>
        <v>0.03</v>
      </c>
      <c r="E46" s="235"/>
    </row>
    <row r="47" spans="2:7" ht="25" x14ac:dyDescent="0.25">
      <c r="B47" s="368" t="s">
        <v>239</v>
      </c>
      <c r="C47" s="369" t="str">
        <f>IF(Supuestos!B55="","",Supuestos!B55)</f>
        <v>Originación voz internacional USA-Canadá</v>
      </c>
      <c r="D47" s="370">
        <f>IF($B$32='Precio Mayorista'!$D$14,INDEX('Precios mayoristas efectivos'!$C$11:$C$13,MATCH('Hoja Auxiliar'!$B47,'Precios mayoristas efectivos'!$B$11:$B$13,0)),IF($B$33='Precio Mayorista'!$D$14,INDEX('Precios mayoristas efectivos'!$C$26:$C$28,MATCH('Hoja Auxiliar'!B47,'Precios mayoristas efectivos'!$B$11:$B$13,0)),IF($B$34='Precio Mayorista'!$D$14,INDEX('Precios mayoristas efectivos'!$C$68:$C$70,MATCH('Hoja Auxiliar'!B47,'Precios mayoristas efectivos'!$B$68:$B$70,0)),IF($B$35='Precio Mayorista'!$D$14,INDEX('Precios mayoristas efectivos'!$C$98:$C$100,MATCH('Hoja Auxiliar'!B47,'Precios mayoristas efectivos'!$B$98:$B$100,0)),""))))</f>
        <v>0.03</v>
      </c>
      <c r="E47" s="235"/>
    </row>
    <row r="48" spans="2:7" ht="37.5" x14ac:dyDescent="0.25">
      <c r="B48" s="368" t="s">
        <v>239</v>
      </c>
      <c r="C48" s="369" t="str">
        <f>IF(Supuestos!B56="","",Supuestos!B56)</f>
        <v>Originación voz internacional Mundial Centroamérica</v>
      </c>
      <c r="D48" s="370">
        <f>IF($B$32='Precio Mayorista'!$D$14,INDEX('Precios mayoristas efectivos'!$C$11:$C$13,MATCH('Hoja Auxiliar'!$B48,'Precios mayoristas efectivos'!$B$11:$B$13,0)),IF($B$33='Precio Mayorista'!$D$14,INDEX('Precios mayoristas efectivos'!$C$26:$C$28,MATCH('Hoja Auxiliar'!B48,'Precios mayoristas efectivos'!$B$11:$B$13,0)),IF($B$34='Precio Mayorista'!$D$14,INDEX('Precios mayoristas efectivos'!$C$68:$C$70,MATCH('Hoja Auxiliar'!B48,'Precios mayoristas efectivos'!$B$68:$B$70,0)),IF($B$35='Precio Mayorista'!$D$14,INDEX('Precios mayoristas efectivos'!$C$98:$C$100,MATCH('Hoja Auxiliar'!B48,'Precios mayoristas efectivos'!$B$98:$B$100,0)),""))))</f>
        <v>0.03</v>
      </c>
      <c r="E48" s="235"/>
    </row>
    <row r="49" spans="1:10" ht="37.5" x14ac:dyDescent="0.25">
      <c r="B49" s="368" t="s">
        <v>239</v>
      </c>
      <c r="C49" s="369" t="str">
        <f>IF(Supuestos!B57="","",Supuestos!B57)</f>
        <v>Originación voz internacional Mundial LATAM y Caribe</v>
      </c>
      <c r="D49" s="370">
        <f>IF($B$32='Precio Mayorista'!$D$14,INDEX('Precios mayoristas efectivos'!$C$11:$C$13,MATCH('Hoja Auxiliar'!$B49,'Precios mayoristas efectivos'!$B$11:$B$13,0)),IF($B$33='Precio Mayorista'!$D$14,INDEX('Precios mayoristas efectivos'!$C$26:$C$28,MATCH('Hoja Auxiliar'!B49,'Precios mayoristas efectivos'!$B$11:$B$13,0)),IF($B$34='Precio Mayorista'!$D$14,INDEX('Precios mayoristas efectivos'!$C$68:$C$70,MATCH('Hoja Auxiliar'!B49,'Precios mayoristas efectivos'!$B$68:$B$70,0)),IF($B$35='Precio Mayorista'!$D$14,INDEX('Precios mayoristas efectivos'!$C$98:$C$100,MATCH('Hoja Auxiliar'!B49,'Precios mayoristas efectivos'!$B$98:$B$100,0)),""))))</f>
        <v>0.03</v>
      </c>
      <c r="E49" s="235"/>
    </row>
    <row r="50" spans="1:10" ht="25" x14ac:dyDescent="0.25">
      <c r="B50" s="368" t="s">
        <v>239</v>
      </c>
      <c r="C50" s="369" t="str">
        <f>IF(Supuestos!B58="","",Supuestos!B58)</f>
        <v>Originación voz internacional Europa</v>
      </c>
      <c r="D50" s="370">
        <f>IF($B$32='Precio Mayorista'!$D$14,INDEX('Precios mayoristas efectivos'!$C$11:$C$13,MATCH('Hoja Auxiliar'!$B50,'Precios mayoristas efectivos'!$B$11:$B$13,0)),IF($B$33='Precio Mayorista'!$D$14,INDEX('Precios mayoristas efectivos'!$C$26:$C$28,MATCH('Hoja Auxiliar'!B50,'Precios mayoristas efectivos'!$B$11:$B$13,0)),IF($B$34='Precio Mayorista'!$D$14,INDEX('Precios mayoristas efectivos'!$C$68:$C$70,MATCH('Hoja Auxiliar'!B50,'Precios mayoristas efectivos'!$B$68:$B$70,0)),IF($B$35='Precio Mayorista'!$D$14,INDEX('Precios mayoristas efectivos'!$C$98:$C$100,MATCH('Hoja Auxiliar'!B50,'Precios mayoristas efectivos'!$B$98:$B$100,0)),""))))</f>
        <v>0.03</v>
      </c>
      <c r="E50" s="235"/>
    </row>
    <row r="51" spans="1:10" ht="37.5" x14ac:dyDescent="0.25">
      <c r="B51" s="368" t="s">
        <v>239</v>
      </c>
      <c r="C51" s="369" t="str">
        <f>IF(Supuestos!B59="","",Supuestos!B59)</f>
        <v>Originación voz internacional Mundial Otros geográficos</v>
      </c>
      <c r="D51" s="370">
        <f>IF($B$32='Precio Mayorista'!$D$14,INDEX('Precios mayoristas efectivos'!$C$11:$C$13,MATCH('Hoja Auxiliar'!$B51,'Precios mayoristas efectivos'!$B$11:$B$13,0)),IF($B$33='Precio Mayorista'!$D$14,INDEX('Precios mayoristas efectivos'!$C$26:$C$28,MATCH('Hoja Auxiliar'!B51,'Precios mayoristas efectivos'!$B$11:$B$13,0)),IF($B$34='Precio Mayorista'!$D$14,INDEX('Precios mayoristas efectivos'!$C$68:$C$70,MATCH('Hoja Auxiliar'!B51,'Precios mayoristas efectivos'!$B$68:$B$70,0)),IF($B$35='Precio Mayorista'!$D$14,INDEX('Precios mayoristas efectivos'!$C$98:$C$100,MATCH('Hoja Auxiliar'!B51,'Precios mayoristas efectivos'!$B$98:$B$100,0)),""))))</f>
        <v>0.03</v>
      </c>
      <c r="E51" s="235"/>
    </row>
    <row r="52" spans="1:10" ht="25" x14ac:dyDescent="0.25">
      <c r="B52" s="368" t="s">
        <v>239</v>
      </c>
      <c r="C52" s="369" t="str">
        <f>IF(Supuestos!B60="","",Supuestos!B60)</f>
        <v>Originación voz internacional Cuba</v>
      </c>
      <c r="D52" s="370">
        <f>IF($B$32='Precio Mayorista'!$D$14,INDEX('Precios mayoristas efectivos'!$C$11:$C$13,MATCH('Hoja Auxiliar'!$B52,'Precios mayoristas efectivos'!$B$11:$B$13,0)),IF($B$33='Precio Mayorista'!$D$14,INDEX('Precios mayoristas efectivos'!$C$26:$C$28,MATCH('Hoja Auxiliar'!B52,'Precios mayoristas efectivos'!$B$11:$B$13,0)),IF($B$34='Precio Mayorista'!$D$14,INDEX('Precios mayoristas efectivos'!$C$68:$C$70,MATCH('Hoja Auxiliar'!B52,'Precios mayoristas efectivos'!$B$68:$B$70,0)),IF($B$35='Precio Mayorista'!$D$14,INDEX('Precios mayoristas efectivos'!$C$98:$C$100,MATCH('Hoja Auxiliar'!B52,'Precios mayoristas efectivos'!$B$98:$B$100,0)),""))))</f>
        <v>0.03</v>
      </c>
      <c r="E52" s="235"/>
    </row>
    <row r="53" spans="1:10" ht="25" x14ac:dyDescent="0.25">
      <c r="B53" s="368" t="s">
        <v>239</v>
      </c>
      <c r="C53" s="369" t="str">
        <f>IF(Supuestos!B61="","",Supuestos!B61)</f>
        <v>Originación voz Mundial destinos no geográficos</v>
      </c>
      <c r="D53" s="370">
        <f>IF($B$32='Precio Mayorista'!$D$14,INDEX('Precios mayoristas efectivos'!$C$11:$C$13,MATCH('Hoja Auxiliar'!$B53,'Precios mayoristas efectivos'!$B$11:$B$13,0)),IF($B$33='Precio Mayorista'!$D$14,INDEX('Precios mayoristas efectivos'!$C$26:$C$28,MATCH('Hoja Auxiliar'!B53,'Precios mayoristas efectivos'!$B$11:$B$13,0)),IF($B$34='Precio Mayorista'!$D$14,INDEX('Precios mayoristas efectivos'!$C$68:$C$70,MATCH('Hoja Auxiliar'!B53,'Precios mayoristas efectivos'!$B$68:$B$70,0)),IF($B$35='Precio Mayorista'!$D$14,INDEX('Precios mayoristas efectivos'!$C$98:$C$100,MATCH('Hoja Auxiliar'!B53,'Precios mayoristas efectivos'!$B$98:$B$100,0)),""))))</f>
        <v>0.03</v>
      </c>
      <c r="E53" s="235"/>
    </row>
    <row r="54" spans="1:10" ht="25" x14ac:dyDescent="0.25">
      <c r="B54" s="368" t="s">
        <v>239</v>
      </c>
      <c r="C54" s="369" t="str">
        <f>IF(Supuestos!B62="","",Supuestos!B66)</f>
        <v>Otros servicios (incluyendo marcaciones especiales)</v>
      </c>
      <c r="D54" s="370">
        <f>IF($B$32='Precio Mayorista'!$D$14,INDEX('Precios mayoristas efectivos'!$C$11:$C$13,MATCH('Hoja Auxiliar'!$B54,'Precios mayoristas efectivos'!$B$11:$B$13,0)),IF($B$33='Precio Mayorista'!$D$14,INDEX('Precios mayoristas efectivos'!$C$26:$C$28,MATCH('Hoja Auxiliar'!B54,'Precios mayoristas efectivos'!$B$11:$B$13,0)),IF($B$34='Precio Mayorista'!$D$14,INDEX('Precios mayoristas efectivos'!$C$68:$C$70,MATCH('Hoja Auxiliar'!B54,'Precios mayoristas efectivos'!$B$68:$B$70,0)),IF($B$35='Precio Mayorista'!$D$14,INDEX('Precios mayoristas efectivos'!$C$98:$C$100,MATCH('Hoja Auxiliar'!B54,'Precios mayoristas efectivos'!$B$98:$B$100,0)),""))))</f>
        <v>0.03</v>
      </c>
      <c r="E54" s="43"/>
    </row>
    <row r="55" spans="1:10" x14ac:dyDescent="0.25">
      <c r="B55" s="368" t="s">
        <v>240</v>
      </c>
      <c r="C55" s="369" t="str">
        <f>IF(Supuestos!B63="","",Supuestos!B62)</f>
        <v>Originación SMS on-net</v>
      </c>
      <c r="D55" s="370">
        <f>IF($B$32='Precio Mayorista'!$D$14,INDEX('Precios mayoristas efectivos'!$C$11:$C$13,MATCH('Hoja Auxiliar'!$B55,'Precios mayoristas efectivos'!$B$11:$B$13,0)),IF($B$33='Precio Mayorista'!$D$14,INDEX('Precios mayoristas efectivos'!$C$26:$C$28,MATCH('Hoja Auxiliar'!B55,'Precios mayoristas efectivos'!$B$11:$B$13,0)),IF($B$34='Precio Mayorista'!$D$14,INDEX('Precios mayoristas efectivos'!$C$68:$C$70,MATCH('Hoja Auxiliar'!B55,'Precios mayoristas efectivos'!$B$68:$B$70,0)),IF($B$35='Precio Mayorista'!$D$14,INDEX('Precios mayoristas efectivos'!$C$98:$C$100,MATCH('Hoja Auxiliar'!B55,'Precios mayoristas efectivos'!$B$98:$B$100,0)),""))))</f>
        <v>1.4999999999999999E-2</v>
      </c>
      <c r="E55" s="235"/>
    </row>
    <row r="56" spans="1:10" ht="25" x14ac:dyDescent="0.25">
      <c r="B56" s="368" t="s">
        <v>240</v>
      </c>
      <c r="C56" s="369" t="str">
        <f>IF(Supuestos!B64="","",Supuestos!B63)</f>
        <v>Originación SMS - off-net nacional</v>
      </c>
      <c r="D56" s="370">
        <f>IF($B$32='Precio Mayorista'!$D$14,INDEX('Precios mayoristas efectivos'!$C$11:$C$13,MATCH('Hoja Auxiliar'!$B56,'Precios mayoristas efectivos'!$B$11:$B$13,0)),IF($B$33='Precio Mayorista'!$D$14,INDEX('Precios mayoristas efectivos'!$C$26:$C$28,MATCH('Hoja Auxiliar'!B56,'Precios mayoristas efectivos'!$B$11:$B$13,0)),IF($B$34='Precio Mayorista'!$D$14,INDEX('Precios mayoristas efectivos'!$C$68:$C$70,MATCH('Hoja Auxiliar'!B56,'Precios mayoristas efectivos'!$B$68:$B$70,0)),IF($B$35='Precio Mayorista'!$D$14,INDEX('Precios mayoristas efectivos'!$C$98:$C$100,MATCH('Hoja Auxiliar'!B56,'Precios mayoristas efectivos'!$B$98:$B$100,0)),""))))</f>
        <v>1.4999999999999999E-2</v>
      </c>
      <c r="E56" s="235"/>
    </row>
    <row r="57" spans="1:10" ht="37.5" x14ac:dyDescent="0.25">
      <c r="B57" s="368" t="s">
        <v>240</v>
      </c>
      <c r="C57" s="369" t="str">
        <f>IF(Supuestos!B65="","",Supuestos!B64)</f>
        <v>Originación SMS internacional (USA-Canadá)</v>
      </c>
      <c r="D57" s="370">
        <f>IF($B$32='Precio Mayorista'!$D$14,INDEX('Precios mayoristas efectivos'!$C$11:$C$13,MATCH('Hoja Auxiliar'!$B57,'Precios mayoristas efectivos'!$B$11:$B$13,0)),IF($B$33='Precio Mayorista'!$D$14,INDEX('Precios mayoristas efectivos'!$C$26:$C$28,MATCH('Hoja Auxiliar'!B57,'Precios mayoristas efectivos'!$B$11:$B$13,0)),IF($B$34='Precio Mayorista'!$D$14,INDEX('Precios mayoristas efectivos'!$C$68:$C$70,MATCH('Hoja Auxiliar'!B57,'Precios mayoristas efectivos'!$B$68:$B$70,0)),IF($B$35='Precio Mayorista'!$D$14,INDEX('Precios mayoristas efectivos'!$C$98:$C$100,MATCH('Hoja Auxiliar'!B57,'Precios mayoristas efectivos'!$B$98:$B$100,0)),""))))</f>
        <v>1.4999999999999999E-2</v>
      </c>
      <c r="E57" s="235"/>
    </row>
    <row r="58" spans="1:10" ht="37.5" x14ac:dyDescent="0.25">
      <c r="B58" s="368" t="s">
        <v>240</v>
      </c>
      <c r="C58" s="369" t="str">
        <f>IF(Supuestos!B66="","",Supuestos!B65)</f>
        <v>Originación SMS internacional (Resto del Mundo)</v>
      </c>
      <c r="D58" s="370">
        <f>IF($B$32='Precio Mayorista'!$D$14,INDEX('Precios mayoristas efectivos'!$C$11:$C$13,MATCH('Hoja Auxiliar'!$B58,'Precios mayoristas efectivos'!$B$11:$B$13,0)),IF($B$33='Precio Mayorista'!$D$14,INDEX('Precios mayoristas efectivos'!$C$26:$C$28,MATCH('Hoja Auxiliar'!B58,'Precios mayoristas efectivos'!$B$11:$B$13,0)),IF($B$34='Precio Mayorista'!$D$14,INDEX('Precios mayoristas efectivos'!$C$68:$C$70,MATCH('Hoja Auxiliar'!B58,'Precios mayoristas efectivos'!$B$68:$B$70,0)),IF($B$35='Precio Mayorista'!$D$14,INDEX('Precios mayoristas efectivos'!$C$98:$C$100,MATCH('Hoja Auxiliar'!B58,'Precios mayoristas efectivos'!$B$98:$B$100,0)),""))))</f>
        <v>1.4999999999999999E-2</v>
      </c>
      <c r="E58" s="235"/>
    </row>
    <row r="59" spans="1:10" x14ac:dyDescent="0.25">
      <c r="B59" s="372"/>
      <c r="C59" s="236"/>
      <c r="D59" s="371"/>
      <c r="E59" s="316"/>
    </row>
    <row r="60" spans="1:10" s="170" customFormat="1" ht="13" x14ac:dyDescent="0.25">
      <c r="A60"/>
      <c r="B60" s="166" t="s">
        <v>379</v>
      </c>
      <c r="C60" s="166"/>
      <c r="D60" s="166"/>
      <c r="E60" s="166"/>
      <c r="F60" s="166"/>
      <c r="G60" s="166"/>
      <c r="H60" s="166"/>
      <c r="I60" s="166"/>
      <c r="J60" s="166"/>
    </row>
    <row r="61" spans="1:10" ht="13" x14ac:dyDescent="0.25">
      <c r="B61" s="368" t="s">
        <v>113</v>
      </c>
      <c r="C61" s="369" t="s">
        <v>113</v>
      </c>
      <c r="D61" s="370" cm="1">
        <f t="array" ref="D61">IF($B$32='Precio Mayorista'!$D$14,'Precios mayoristas efectivos'!$C$17,IF('Hoja Auxiliar'!$B$33='Precio Mayorista'!$D$14,'Precios mayoristas efectivos'!$C$33,IF('Hoja Auxiliar'!$B$34='Precio Mayorista'!$D$14,'Precios mayoristas efectivos'!$C$74,IF('Hoja Auxiliar'!$B$35='Precio Mayorista'!$D$14,'Precios mayoristas efectivos'!$C$104,N/A))))</f>
        <v>0.375</v>
      </c>
      <c r="E61" s="124"/>
      <c r="F61" s="124"/>
      <c r="G61" s="124"/>
      <c r="H61" s="124"/>
      <c r="I61" s="124"/>
      <c r="J61" s="124"/>
    </row>
  </sheetData>
  <mergeCells count="3">
    <mergeCell ref="D6:E6"/>
    <mergeCell ref="D3:J3"/>
    <mergeCell ref="B8:H11"/>
  </mergeCells>
  <hyperlinks>
    <hyperlink ref="B3" location="'Resultados &gt;&gt;'!A1" display="Ir a Resultados &gt;&gt;" xr:uid="{00000000-0004-0000-0F00-000000000000}"/>
  </hyperlinks>
  <pageMargins left="0.7" right="0.7" top="0.75" bottom="0.75" header="0.3" footer="0.3"/>
  <pageSetup paperSize="9" orientation="portrait"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Sheet16">
    <tabColor theme="3"/>
  </sheetPr>
  <dimension ref="A1:F100"/>
  <sheetViews>
    <sheetView showGridLines="0" topLeftCell="A88" workbookViewId="0">
      <selection activeCell="B48" sqref="B48"/>
    </sheetView>
  </sheetViews>
  <sheetFormatPr baseColWidth="10" defaultColWidth="8.81640625" defaultRowHeight="12.5" x14ac:dyDescent="0.25"/>
  <cols>
    <col min="1" max="1" width="1.81640625" style="51" customWidth="1"/>
    <col min="2" max="2" width="49.54296875" style="51" customWidth="1"/>
    <col min="3" max="11" width="11.81640625" style="51" customWidth="1"/>
    <col min="12" max="16384" width="8.81640625" style="51"/>
  </cols>
  <sheetData>
    <row r="1" spans="2:6" s="427" customFormat="1" ht="20" x14ac:dyDescent="0.4">
      <c r="B1" s="427" t="s">
        <v>380</v>
      </c>
    </row>
    <row r="2" spans="2:6" s="50" customFormat="1" x14ac:dyDescent="0.25"/>
    <row r="3" spans="2:6" s="18" customFormat="1" ht="15.65" customHeight="1" x14ac:dyDescent="0.25">
      <c r="B3" s="18" t="s">
        <v>63</v>
      </c>
    </row>
    <row r="4" spans="2:6" s="50" customFormat="1" x14ac:dyDescent="0.25"/>
    <row r="5" spans="2:6" s="50" customFormat="1" x14ac:dyDescent="0.25">
      <c r="B5" s="3" t="s">
        <v>64</v>
      </c>
      <c r="C5" s="373">
        <v>45658</v>
      </c>
    </row>
    <row r="6" spans="2:6" s="50" customFormat="1" x14ac:dyDescent="0.25">
      <c r="B6" s="3" t="s">
        <v>65</v>
      </c>
      <c r="C6" s="374">
        <v>45747</v>
      </c>
      <c r="D6" s="256"/>
      <c r="E6" s="256"/>
      <c r="F6" s="256"/>
    </row>
    <row r="7" spans="2:6" s="50" customFormat="1" x14ac:dyDescent="0.25">
      <c r="B7" s="3" t="s">
        <v>381</v>
      </c>
      <c r="C7" s="97">
        <v>3</v>
      </c>
    </row>
    <row r="8" spans="2:6" s="50" customFormat="1" x14ac:dyDescent="0.25"/>
    <row r="9" spans="2:6" s="18" customFormat="1" ht="15.65" customHeight="1" x14ac:dyDescent="0.25">
      <c r="B9" s="18" t="s">
        <v>382</v>
      </c>
    </row>
    <row r="10" spans="2:6" s="50" customFormat="1" x14ac:dyDescent="0.25"/>
    <row r="11" spans="2:6" s="50" customFormat="1" x14ac:dyDescent="0.25">
      <c r="B11" s="3" t="s">
        <v>383</v>
      </c>
      <c r="C11" s="97">
        <v>24</v>
      </c>
    </row>
    <row r="12" spans="2:6" s="50" customFormat="1" x14ac:dyDescent="0.25"/>
    <row r="13" spans="2:6" s="50" customFormat="1" x14ac:dyDescent="0.25">
      <c r="B13" s="3" t="s">
        <v>384</v>
      </c>
      <c r="C13" s="98">
        <f>C11/C7</f>
        <v>8</v>
      </c>
    </row>
    <row r="14" spans="2:6" s="50" customFormat="1" x14ac:dyDescent="0.25">
      <c r="B14" s="3"/>
      <c r="C14" s="98"/>
    </row>
    <row r="15" spans="2:6" s="50" customFormat="1" x14ac:dyDescent="0.25">
      <c r="B15" s="3" t="s">
        <v>385</v>
      </c>
      <c r="C15" s="98">
        <f>12/C7</f>
        <v>4</v>
      </c>
    </row>
    <row r="16" spans="2:6" s="50" customFormat="1" x14ac:dyDescent="0.25">
      <c r="B16" s="3"/>
      <c r="C16" s="52"/>
    </row>
    <row r="17" spans="1:3" s="18" customFormat="1" ht="15.65" hidden="1" customHeight="1" x14ac:dyDescent="0.25">
      <c r="B17" s="18" t="s">
        <v>386</v>
      </c>
    </row>
    <row r="18" spans="1:3" hidden="1" x14ac:dyDescent="0.25"/>
    <row r="19" spans="1:3" hidden="1" x14ac:dyDescent="0.25">
      <c r="B19" s="51" t="s">
        <v>386</v>
      </c>
      <c r="C19" s="53">
        <f>'Informacion del AEP'!F124</f>
        <v>1000000</v>
      </c>
    </row>
    <row r="20" spans="1:3" customFormat="1" hidden="1" x14ac:dyDescent="0.25">
      <c r="A20" s="51"/>
      <c r="B20" s="51" t="s">
        <v>387</v>
      </c>
      <c r="C20" s="54">
        <f>+SQRT($C$19/'Informacion del AEP'!$H$31)</f>
        <v>0.11180339887498948</v>
      </c>
    </row>
    <row r="21" spans="1:3" hidden="1" x14ac:dyDescent="0.25"/>
    <row r="22" spans="1:3" hidden="1" x14ac:dyDescent="0.25"/>
    <row r="23" spans="1:3" s="18" customFormat="1" ht="15.65" hidden="1" customHeight="1" x14ac:dyDescent="0.25">
      <c r="B23" s="18" t="s">
        <v>388</v>
      </c>
    </row>
    <row r="24" spans="1:3" hidden="1" x14ac:dyDescent="0.25"/>
    <row r="25" spans="1:3" hidden="1" x14ac:dyDescent="0.25">
      <c r="B25" s="125" t="s">
        <v>389</v>
      </c>
      <c r="C25" s="60">
        <v>0.1</v>
      </c>
    </row>
    <row r="26" spans="1:3" hidden="1" x14ac:dyDescent="0.25">
      <c r="B26" s="125" t="s">
        <v>227</v>
      </c>
      <c r="C26" s="60">
        <v>0</v>
      </c>
    </row>
    <row r="27" spans="1:3" hidden="1" x14ac:dyDescent="0.25">
      <c r="B27" s="125" t="s">
        <v>228</v>
      </c>
      <c r="C27" s="60">
        <v>0</v>
      </c>
    </row>
    <row r="28" spans="1:3" hidden="1" x14ac:dyDescent="0.25">
      <c r="B28" s="125" t="s">
        <v>390</v>
      </c>
      <c r="C28" s="60">
        <v>0.1</v>
      </c>
    </row>
    <row r="29" spans="1:3" hidden="1" x14ac:dyDescent="0.25">
      <c r="B29" s="125" t="s">
        <v>391</v>
      </c>
      <c r="C29" s="60">
        <v>0.05</v>
      </c>
    </row>
    <row r="30" spans="1:3" hidden="1" x14ac:dyDescent="0.25">
      <c r="B30" s="125" t="s">
        <v>392</v>
      </c>
      <c r="C30" s="60">
        <v>0</v>
      </c>
    </row>
    <row r="31" spans="1:3" hidden="1" x14ac:dyDescent="0.25">
      <c r="B31" s="125" t="s">
        <v>393</v>
      </c>
      <c r="C31" s="60">
        <v>0.1</v>
      </c>
    </row>
    <row r="32" spans="1:3" hidden="1" x14ac:dyDescent="0.25">
      <c r="B32" s="125" t="s">
        <v>394</v>
      </c>
      <c r="C32" s="60">
        <v>0</v>
      </c>
    </row>
    <row r="33" spans="2:3" hidden="1" x14ac:dyDescent="0.25">
      <c r="B33" s="125" t="s">
        <v>395</v>
      </c>
      <c r="C33" s="60">
        <v>0</v>
      </c>
    </row>
    <row r="34" spans="2:3" hidden="1" x14ac:dyDescent="0.25">
      <c r="B34" s="125" t="s">
        <v>396</v>
      </c>
      <c r="C34" s="60">
        <v>0</v>
      </c>
    </row>
    <row r="35" spans="2:3" hidden="1" x14ac:dyDescent="0.25">
      <c r="B35" s="125" t="s">
        <v>397</v>
      </c>
      <c r="C35" s="60">
        <v>0.05</v>
      </c>
    </row>
    <row r="36" spans="2:3" hidden="1" x14ac:dyDescent="0.25">
      <c r="B36" s="125" t="s">
        <v>398</v>
      </c>
      <c r="C36" s="60">
        <v>0</v>
      </c>
    </row>
    <row r="37" spans="2:3" hidden="1" x14ac:dyDescent="0.25">
      <c r="B37" s="125" t="s">
        <v>399</v>
      </c>
      <c r="C37" s="60">
        <v>0</v>
      </c>
    </row>
    <row r="38" spans="2:3" hidden="1" x14ac:dyDescent="0.25">
      <c r="B38" s="125" t="s">
        <v>400</v>
      </c>
      <c r="C38" s="60">
        <v>0.05</v>
      </c>
    </row>
    <row r="39" spans="2:3" hidden="1" x14ac:dyDescent="0.25">
      <c r="B39" s="125" t="s">
        <v>401</v>
      </c>
      <c r="C39" s="60">
        <v>0</v>
      </c>
    </row>
    <row r="40" spans="2:3" hidden="1" x14ac:dyDescent="0.25">
      <c r="B40" s="255" t="s">
        <v>402</v>
      </c>
      <c r="C40" s="60">
        <v>0.1</v>
      </c>
    </row>
    <row r="41" spans="2:3" hidden="1" x14ac:dyDescent="0.25">
      <c r="B41" s="255" t="s">
        <v>403</v>
      </c>
      <c r="C41" s="60">
        <v>0</v>
      </c>
    </row>
    <row r="42" spans="2:3" hidden="1" x14ac:dyDescent="0.25">
      <c r="B42" s="255" t="s">
        <v>404</v>
      </c>
      <c r="C42" s="60">
        <v>0</v>
      </c>
    </row>
    <row r="43" spans="2:3" hidden="1" x14ac:dyDescent="0.25">
      <c r="B43" s="255" t="s">
        <v>405</v>
      </c>
      <c r="C43" s="60">
        <v>0.05</v>
      </c>
    </row>
    <row r="44" spans="2:3" hidden="1" x14ac:dyDescent="0.25">
      <c r="B44" s="255" t="s">
        <v>406</v>
      </c>
      <c r="C44" s="60">
        <v>0</v>
      </c>
    </row>
    <row r="45" spans="2:3" ht="3.65" customHeight="1" x14ac:dyDescent="0.25">
      <c r="C45" s="86"/>
    </row>
    <row r="46" spans="2:3" s="18" customFormat="1" ht="15.65" customHeight="1" x14ac:dyDescent="0.25">
      <c r="B46" s="18" t="s">
        <v>407</v>
      </c>
    </row>
    <row r="47" spans="2:3" s="50" customFormat="1" x14ac:dyDescent="0.25"/>
    <row r="48" spans="2:3" s="50" customFormat="1" x14ac:dyDescent="0.25">
      <c r="B48" s="255" t="s">
        <v>234</v>
      </c>
      <c r="C48" s="378"/>
    </row>
    <row r="49" spans="2:3" s="50" customFormat="1" x14ac:dyDescent="0.25">
      <c r="B49" s="255" t="s">
        <v>236</v>
      </c>
      <c r="C49" s="378"/>
    </row>
    <row r="50" spans="2:3" s="50" customFormat="1" x14ac:dyDescent="0.25">
      <c r="B50" s="255" t="s">
        <v>408</v>
      </c>
      <c r="C50" s="378"/>
    </row>
    <row r="51" spans="2:3" s="50" customFormat="1" x14ac:dyDescent="0.25">
      <c r="B51" s="255" t="s">
        <v>409</v>
      </c>
      <c r="C51" s="378"/>
    </row>
    <row r="52" spans="2:3" s="50" customFormat="1" x14ac:dyDescent="0.25">
      <c r="B52" s="255" t="s">
        <v>410</v>
      </c>
      <c r="C52" s="378"/>
    </row>
    <row r="53" spans="2:3" s="50" customFormat="1" x14ac:dyDescent="0.25">
      <c r="B53" s="255" t="s">
        <v>411</v>
      </c>
      <c r="C53" s="378"/>
    </row>
    <row r="54" spans="2:3" s="376" customFormat="1" ht="12" customHeight="1" x14ac:dyDescent="0.25">
      <c r="B54" s="377" t="s">
        <v>412</v>
      </c>
      <c r="C54" s="379"/>
    </row>
    <row r="55" spans="2:3" s="376" customFormat="1" ht="12.65" customHeight="1" x14ac:dyDescent="0.25">
      <c r="B55" s="377" t="s">
        <v>413</v>
      </c>
      <c r="C55" s="379"/>
    </row>
    <row r="56" spans="2:3" s="376" customFormat="1" ht="12.65" customHeight="1" x14ac:dyDescent="0.25">
      <c r="B56" s="377" t="s">
        <v>414</v>
      </c>
      <c r="C56" s="379"/>
    </row>
    <row r="57" spans="2:3" s="50" customFormat="1" x14ac:dyDescent="0.25">
      <c r="B57" s="255" t="s">
        <v>415</v>
      </c>
      <c r="C57" s="378"/>
    </row>
    <row r="58" spans="2:3" s="50" customFormat="1" x14ac:dyDescent="0.25">
      <c r="B58" s="255" t="s">
        <v>416</v>
      </c>
      <c r="C58" s="378"/>
    </row>
    <row r="59" spans="2:3" s="50" customFormat="1" x14ac:dyDescent="0.25">
      <c r="B59" s="255" t="s">
        <v>417</v>
      </c>
      <c r="C59" s="378"/>
    </row>
    <row r="60" spans="2:3" s="50" customFormat="1" x14ac:dyDescent="0.25">
      <c r="B60" s="255" t="s">
        <v>418</v>
      </c>
      <c r="C60" s="378"/>
    </row>
    <row r="61" spans="2:3" s="50" customFormat="1" x14ac:dyDescent="0.25">
      <c r="B61" s="255" t="s">
        <v>419</v>
      </c>
      <c r="C61" s="378"/>
    </row>
    <row r="62" spans="2:3" s="50" customFormat="1" x14ac:dyDescent="0.25">
      <c r="B62" s="255" t="s">
        <v>420</v>
      </c>
      <c r="C62" s="378"/>
    </row>
    <row r="63" spans="2:3" s="50" customFormat="1" x14ac:dyDescent="0.25">
      <c r="B63" s="255" t="s">
        <v>421</v>
      </c>
      <c r="C63" s="378"/>
    </row>
    <row r="64" spans="2:3" s="50" customFormat="1" x14ac:dyDescent="0.25">
      <c r="B64" s="125" t="s">
        <v>422</v>
      </c>
      <c r="C64" s="378"/>
    </row>
    <row r="65" spans="2:3" s="50" customFormat="1" x14ac:dyDescent="0.25">
      <c r="B65" s="125" t="s">
        <v>423</v>
      </c>
      <c r="C65" s="378"/>
    </row>
    <row r="66" spans="2:3" s="50" customFormat="1" x14ac:dyDescent="0.25">
      <c r="B66" s="125" t="s">
        <v>424</v>
      </c>
      <c r="C66" s="378"/>
    </row>
    <row r="67" spans="2:3" s="50" customFormat="1" x14ac:dyDescent="0.25"/>
    <row r="68" spans="2:3" s="18" customFormat="1" ht="15.65" customHeight="1" x14ac:dyDescent="0.25">
      <c r="B68" s="18" t="s">
        <v>101</v>
      </c>
    </row>
    <row r="70" spans="2:3" x14ac:dyDescent="0.25">
      <c r="B70" s="51" t="s">
        <v>67</v>
      </c>
    </row>
    <row r="71" spans="2:3" x14ac:dyDescent="0.25">
      <c r="B71" s="51" t="s">
        <v>104</v>
      </c>
    </row>
    <row r="73" spans="2:3" s="18" customFormat="1" ht="15.65" customHeight="1" x14ac:dyDescent="0.25">
      <c r="B73" s="18" t="s">
        <v>425</v>
      </c>
    </row>
    <row r="75" spans="2:3" x14ac:dyDescent="0.25">
      <c r="B75" s="99" t="s">
        <v>426</v>
      </c>
    </row>
    <row r="76" spans="2:3" x14ac:dyDescent="0.25">
      <c r="B76" s="99" t="s">
        <v>92</v>
      </c>
    </row>
    <row r="77" spans="2:3" x14ac:dyDescent="0.25">
      <c r="B77" s="99" t="s">
        <v>135</v>
      </c>
    </row>
    <row r="78" spans="2:3" x14ac:dyDescent="0.25">
      <c r="B78" s="99" t="str">
        <f>'Ofertas insignia'!C108</f>
        <v>Telcel Prepago 1</v>
      </c>
    </row>
    <row r="79" spans="2:3" x14ac:dyDescent="0.25">
      <c r="B79" s="99" t="str">
        <f>'Ofertas insignia'!C109</f>
        <v>Telcel Prepago 2</v>
      </c>
    </row>
    <row r="80" spans="2:3" x14ac:dyDescent="0.25">
      <c r="B80" s="99" t="str">
        <f>'Ofertas insignia'!C110</f>
        <v>Telcel Prepago 3</v>
      </c>
    </row>
    <row r="81" spans="2:2" x14ac:dyDescent="0.25">
      <c r="B81" s="99" t="str">
        <f>'Ofertas insignia'!D108</f>
        <v>Telcel Pospago 1</v>
      </c>
    </row>
    <row r="82" spans="2:2" x14ac:dyDescent="0.25">
      <c r="B82" s="99" t="str">
        <f>'Ofertas insignia'!D109</f>
        <v>Telcel Pospago 5</v>
      </c>
    </row>
    <row r="83" spans="2:2" x14ac:dyDescent="0.25">
      <c r="B83" s="99" t="str">
        <f>'Ofertas insignia'!D110</f>
        <v>Telcel Pospago 3</v>
      </c>
    </row>
    <row r="84" spans="2:2" x14ac:dyDescent="0.25">
      <c r="B84" s="99" t="str">
        <f>'Ofertas insignia'!D111</f>
        <v>Telcel Pospago 4</v>
      </c>
    </row>
    <row r="85" spans="2:2" x14ac:dyDescent="0.25">
      <c r="B85" s="99" t="str">
        <f>'Ofertas insignia'!D112</f>
        <v>Telcel Pospago 2</v>
      </c>
    </row>
    <row r="86" spans="2:2" x14ac:dyDescent="0.25">
      <c r="B86" s="99" t="str">
        <f>'Ofertas insignia'!D113</f>
        <v>Telcel Pospago 6</v>
      </c>
    </row>
    <row r="87" spans="2:2" x14ac:dyDescent="0.25">
      <c r="B87" s="99" t="str">
        <f>'Ofertas insignia'!D114</f>
        <v>Telcel Pospago 7</v>
      </c>
    </row>
    <row r="88" spans="2:2" x14ac:dyDescent="0.25">
      <c r="B88" s="99" t="str">
        <f>'Ofertas insignia'!D115</f>
        <v>Telcel Pospago 9</v>
      </c>
    </row>
    <row r="89" spans="2:2" x14ac:dyDescent="0.25">
      <c r="B89" s="99" t="str">
        <f>'Ofertas insignia'!D116</f>
        <v>Telcel Pospago 8</v>
      </c>
    </row>
    <row r="90" spans="2:2" x14ac:dyDescent="0.25">
      <c r="B90" s="99" t="str">
        <f>'Ofertas insignia'!D117</f>
        <v>Telcel Pospago 19</v>
      </c>
    </row>
    <row r="91" spans="2:2" x14ac:dyDescent="0.25">
      <c r="B91" s="51" t="str">
        <f>'Ofertas insignia'!E108</f>
        <v>Monto 1</v>
      </c>
    </row>
    <row r="92" spans="2:2" x14ac:dyDescent="0.25">
      <c r="B92" s="51" t="str">
        <f>'Ofertas insignia'!E109</f>
        <v>Monto 2</v>
      </c>
    </row>
    <row r="93" spans="2:2" x14ac:dyDescent="0.25">
      <c r="B93" s="51" t="str">
        <f>'Ofertas insignia'!E110</f>
        <v>Monto 3</v>
      </c>
    </row>
    <row r="94" spans="2:2" x14ac:dyDescent="0.25">
      <c r="B94" s="51" t="str">
        <f>'Ofertas insignia'!F108</f>
        <v>Portabilidad 1</v>
      </c>
    </row>
    <row r="95" spans="2:2" x14ac:dyDescent="0.25">
      <c r="B95" s="51" t="str">
        <f>'Ofertas insignia'!F109</f>
        <v>Portabilidad 2</v>
      </c>
    </row>
    <row r="96" spans="2:2" x14ac:dyDescent="0.25">
      <c r="B96" s="51" t="str">
        <f>IF('Ofertas insignia'!G108=0,"",'Ofertas insignia'!G108)</f>
        <v>Telcel Pospago 22</v>
      </c>
    </row>
    <row r="97" spans="2:2" x14ac:dyDescent="0.25">
      <c r="B97" s="51" t="str">
        <f>IF('Ofertas insignia'!G109=0,"",'Ofertas insignia'!G109)</f>
        <v>Telcel Pospago 23</v>
      </c>
    </row>
    <row r="98" spans="2:2" x14ac:dyDescent="0.25">
      <c r="B98" s="51" t="str">
        <f>IF('Ofertas insignia'!G110=0,"",'Ofertas insignia'!G110)</f>
        <v>Telcel Pospago 24</v>
      </c>
    </row>
    <row r="99" spans="2:2" x14ac:dyDescent="0.25">
      <c r="B99" s="51" t="str">
        <f>IF('Ofertas insignia'!G111=0,"",'Ofertas insignia'!G111)</f>
        <v>Telcel Pospago 25</v>
      </c>
    </row>
    <row r="100" spans="2:2" x14ac:dyDescent="0.25">
      <c r="B100" s="51" t="str">
        <f>IF('Ofertas insignia'!G112=0,"",'Ofertas insignia'!G112)</f>
        <v>Telcel Pospago 26</v>
      </c>
    </row>
  </sheetData>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4">
    <tabColor rgb="FFC00000"/>
  </sheetPr>
  <dimension ref="C13"/>
  <sheetViews>
    <sheetView showGridLines="0" topLeftCell="A4" workbookViewId="0">
      <selection activeCell="D43" sqref="D43"/>
    </sheetView>
  </sheetViews>
  <sheetFormatPr baseColWidth="10" defaultColWidth="8.81640625" defaultRowHeight="12.5" x14ac:dyDescent="0.25"/>
  <cols>
    <col min="1" max="16384" width="8.81640625" style="426"/>
  </cols>
  <sheetData>
    <row r="13" spans="3:3" ht="28" x14ac:dyDescent="0.6">
      <c r="C13" s="425" t="s">
        <v>61</v>
      </c>
    </row>
  </sheetData>
  <pageMargins left="0.7" right="0.7" top="0.75" bottom="0.75" header="0.3" footer="0.3"/>
  <pageSetup paperSize="9" orientation="portrait"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Hoja6">
    <tabColor theme="3"/>
  </sheetPr>
  <dimension ref="B1:F14"/>
  <sheetViews>
    <sheetView showGridLines="0" workbookViewId="0">
      <selection activeCell="H9" sqref="H9"/>
    </sheetView>
  </sheetViews>
  <sheetFormatPr baseColWidth="10" defaultColWidth="8.81640625" defaultRowHeight="12.5" x14ac:dyDescent="0.25"/>
  <cols>
    <col min="2" max="2" width="16.81640625" customWidth="1"/>
    <col min="3" max="3" width="2.81640625" customWidth="1"/>
    <col min="4" max="6" width="12.1796875" customWidth="1"/>
  </cols>
  <sheetData>
    <row r="1" spans="2:6" s="427" customFormat="1" ht="20" x14ac:dyDescent="0.4">
      <c r="B1" s="427" t="s">
        <v>427</v>
      </c>
    </row>
    <row r="3" spans="2:6" ht="20.149999999999999" customHeight="1" x14ac:dyDescent="0.25">
      <c r="B3" s="14" t="s">
        <v>90</v>
      </c>
      <c r="C3" s="14"/>
    </row>
    <row r="5" spans="2:6" s="170" customFormat="1" ht="13" x14ac:dyDescent="0.25">
      <c r="B5" s="164" t="s">
        <v>428</v>
      </c>
      <c r="C5" s="164"/>
    </row>
    <row r="9" spans="2:6" ht="54.65" customHeight="1" x14ac:dyDescent="0.25">
      <c r="B9" s="215" t="s">
        <v>84</v>
      </c>
      <c r="C9" s="215"/>
      <c r="D9" s="216" t="s">
        <v>429</v>
      </c>
      <c r="E9" s="216" t="s">
        <v>430</v>
      </c>
      <c r="F9" s="216" t="s">
        <v>431</v>
      </c>
    </row>
    <row r="10" spans="2:6" ht="13" x14ac:dyDescent="0.3">
      <c r="B10" s="16" t="s">
        <v>86</v>
      </c>
      <c r="C10" s="16"/>
      <c r="D10" s="217">
        <f>'Prueba Servicios Moviles'!C19</f>
        <v>0.17257783132530122</v>
      </c>
      <c r="E10" s="217">
        <f>'Prueba Servicios Moviles'!D19</f>
        <v>0.14379669769989045</v>
      </c>
      <c r="F10" s="217">
        <f>'Prueba Servicios Moviles'!E19</f>
        <v>0.21301155581865036</v>
      </c>
    </row>
    <row r="11" spans="2:6" ht="13" x14ac:dyDescent="0.3">
      <c r="B11" s="16" t="s">
        <v>8</v>
      </c>
      <c r="C11" s="16"/>
      <c r="D11" s="217">
        <v>1</v>
      </c>
      <c r="E11" s="217">
        <v>1</v>
      </c>
      <c r="F11" s="217">
        <v>1</v>
      </c>
    </row>
    <row r="12" spans="2:6" ht="13" x14ac:dyDescent="0.3">
      <c r="B12" s="16" t="s">
        <v>10</v>
      </c>
      <c r="C12" s="16"/>
      <c r="D12" s="217">
        <f>'Prueba Servicios Moviles'!C21/'Prueba Servicios Moviles'!C20</f>
        <v>0.82742216867469875</v>
      </c>
      <c r="E12" s="217">
        <f>'Prueba Servicios Moviles'!D21/'Prueba Servicios Moviles'!D20</f>
        <v>0.85620330230010955</v>
      </c>
      <c r="F12" s="217">
        <f>'Prueba Servicios Moviles'!E21/'Prueba Servicios Moviles'!E20</f>
        <v>0.78698844418134961</v>
      </c>
    </row>
    <row r="13" spans="2:6" x14ac:dyDescent="0.25">
      <c r="B13" t="s">
        <v>13</v>
      </c>
      <c r="D13" s="217">
        <f>'Prueba Servicios Moviles'!C22/'Prueba Servicios Moviles'!C20</f>
        <v>0.13374024096385542</v>
      </c>
      <c r="E13" s="217">
        <f>'Prueba Servicios Moviles'!D22/'Prueba Servicios Moviles'!D20</f>
        <v>7.0120657672010353E-2</v>
      </c>
      <c r="F13" s="217">
        <f>'Prueba Servicios Moviles'!E22/'Prueba Servicios Moviles'!E20</f>
        <v>0.22256069851660978</v>
      </c>
    </row>
    <row r="14" spans="2:6" x14ac:dyDescent="0.25">
      <c r="B14" t="s">
        <v>108</v>
      </c>
      <c r="D14" s="217">
        <f>'Prueba Servicios Moviles'!C23/'Prueba Servicios Moviles'!C21</f>
        <v>0.83836517073494632</v>
      </c>
      <c r="E14" s="217">
        <f>'Prueba Servicios Moviles'!D23/'Prueba Servicios Moviles'!D21</f>
        <v>0.91810279464744204</v>
      </c>
      <c r="F14" s="217">
        <f>'Prueba Servicios Moviles'!E23/'Prueba Servicios Moviles'!E21</f>
        <v>0.7171995342979598</v>
      </c>
    </row>
  </sheetData>
  <hyperlinks>
    <hyperlink ref="B3" location="'Resultados &gt;&gt;'!A1" display="Ir a Resultados &gt;&gt;" xr:uid="{00000000-0004-0000-1100-000000000000}"/>
  </hyperlink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5">
    <tabColor theme="4" tint="0.79998168889431442"/>
    <pageSetUpPr fitToPage="1"/>
  </sheetPr>
  <dimension ref="B1:AG47"/>
  <sheetViews>
    <sheetView showGridLines="0" topLeftCell="P5" zoomScale="50" zoomScaleNormal="50" workbookViewId="0">
      <selection activeCell="W41" sqref="W41"/>
    </sheetView>
  </sheetViews>
  <sheetFormatPr baseColWidth="10" defaultColWidth="8.81640625" defaultRowHeight="12.5" x14ac:dyDescent="0.25"/>
  <cols>
    <col min="1" max="1" width="6.1796875" customWidth="1"/>
    <col min="2" max="2" width="28" customWidth="1"/>
    <col min="3" max="5" width="19.81640625" bestFit="1" customWidth="1"/>
    <col min="6" max="6" width="3.54296875" customWidth="1"/>
    <col min="7" max="7" width="18.81640625" bestFit="1" customWidth="1"/>
    <col min="8" max="8" width="18.1796875" bestFit="1" customWidth="1"/>
    <col min="9" max="9" width="17.1796875" bestFit="1" customWidth="1"/>
    <col min="10" max="10" width="4.1796875" customWidth="1"/>
    <col min="11" max="11" width="18.81640625" bestFit="1" customWidth="1"/>
    <col min="12" max="12" width="18.1796875" bestFit="1" customWidth="1"/>
    <col min="13" max="13" width="17.1796875" bestFit="1" customWidth="1"/>
    <col min="14" max="14" width="4.1796875" customWidth="1"/>
    <col min="15" max="15" width="18.81640625" bestFit="1" customWidth="1"/>
    <col min="16" max="16" width="18.1796875" bestFit="1" customWidth="1"/>
    <col min="17" max="17" width="4.1796875" customWidth="1"/>
    <col min="18" max="19" width="18" bestFit="1" customWidth="1"/>
    <col min="20" max="20" width="17.54296875" bestFit="1" customWidth="1"/>
    <col min="21" max="21" width="18" bestFit="1" customWidth="1"/>
    <col min="22" max="22" width="17.54296875" bestFit="1" customWidth="1"/>
    <col min="23" max="23" width="18" bestFit="1" customWidth="1"/>
    <col min="24" max="24" width="17.54296875" bestFit="1" customWidth="1"/>
    <col min="25" max="25" width="18" bestFit="1" customWidth="1"/>
    <col min="26" max="27" width="17.54296875" bestFit="1" customWidth="1"/>
    <col min="29" max="30" width="18" bestFit="1" customWidth="1"/>
    <col min="31" max="31" width="17.54296875" bestFit="1" customWidth="1"/>
    <col min="32" max="32" width="18" bestFit="1" customWidth="1"/>
    <col min="33" max="33" width="17.54296875" bestFit="1" customWidth="1"/>
  </cols>
  <sheetData>
    <row r="1" spans="2:33" s="1" customFormat="1" ht="20" x14ac:dyDescent="0.4">
      <c r="B1" s="1" t="s">
        <v>62</v>
      </c>
    </row>
    <row r="3" spans="2:33" ht="13" x14ac:dyDescent="0.3">
      <c r="B3" s="16" t="s">
        <v>63</v>
      </c>
      <c r="C3" s="88" t="s">
        <v>64</v>
      </c>
      <c r="D3" s="71"/>
      <c r="E3" s="88" t="s">
        <v>65</v>
      </c>
      <c r="F3" s="88"/>
    </row>
    <row r="4" spans="2:33" x14ac:dyDescent="0.25">
      <c r="C4" s="85">
        <f>Supuestos!$C$5</f>
        <v>45658</v>
      </c>
      <c r="D4" s="90"/>
      <c r="E4" s="85">
        <f>Supuestos!$C$6</f>
        <v>45747</v>
      </c>
      <c r="F4" s="85"/>
    </row>
    <row r="6" spans="2:33" ht="20.149999999999999" customHeight="1" x14ac:dyDescent="0.25">
      <c r="B6" s="39" t="s">
        <v>66</v>
      </c>
      <c r="C6" s="83" t="s">
        <v>67</v>
      </c>
    </row>
    <row r="8" spans="2:33" s="18" customFormat="1" ht="15.65" customHeight="1" x14ac:dyDescent="0.25">
      <c r="B8" s="18" t="s">
        <v>4</v>
      </c>
    </row>
    <row r="9" spans="2:33" x14ac:dyDescent="0.25">
      <c r="G9" s="15"/>
      <c r="K9" s="15"/>
      <c r="O9" s="15"/>
    </row>
    <row r="10" spans="2:33" ht="42" customHeight="1" x14ac:dyDescent="0.25">
      <c r="F10" s="121"/>
      <c r="G10" s="492" t="s">
        <v>68</v>
      </c>
      <c r="H10" s="493"/>
      <c r="I10" s="493"/>
      <c r="J10" s="493"/>
      <c r="K10" s="493"/>
      <c r="L10" s="493"/>
      <c r="M10" s="493"/>
      <c r="N10" s="493"/>
      <c r="O10" s="493"/>
      <c r="P10" s="493"/>
      <c r="Q10" s="493"/>
      <c r="R10" s="493"/>
      <c r="S10" s="493"/>
      <c r="T10" s="494"/>
      <c r="U10" s="443"/>
      <c r="V10" s="443"/>
      <c r="W10" s="443"/>
      <c r="X10" s="443"/>
      <c r="Y10" s="443"/>
      <c r="Z10" s="443"/>
      <c r="AA10" s="443"/>
      <c r="AB10" s="443"/>
      <c r="AC10" s="443"/>
      <c r="AD10" s="443"/>
      <c r="AE10" s="443"/>
      <c r="AF10" s="443"/>
      <c r="AG10" s="443"/>
    </row>
    <row r="11" spans="2:33" x14ac:dyDescent="0.25">
      <c r="G11" s="3"/>
      <c r="K11" s="3"/>
      <c r="O11" s="3"/>
    </row>
    <row r="12" spans="2:33" x14ac:dyDescent="0.25">
      <c r="G12" s="3"/>
      <c r="J12" s="2"/>
      <c r="K12" s="3"/>
      <c r="N12" s="2"/>
      <c r="O12" s="3"/>
      <c r="Q12" s="2"/>
    </row>
    <row r="13" spans="2:33" ht="13" x14ac:dyDescent="0.3">
      <c r="G13" s="491" t="s">
        <v>69</v>
      </c>
      <c r="H13" s="491"/>
      <c r="I13" s="491"/>
      <c r="J13" s="491"/>
      <c r="K13" s="491"/>
      <c r="L13" s="491"/>
      <c r="M13" s="491"/>
      <c r="N13" s="491"/>
      <c r="O13" s="491"/>
      <c r="P13" s="491"/>
      <c r="Q13" s="491"/>
      <c r="R13" s="491"/>
      <c r="S13" s="491"/>
      <c r="T13" s="491"/>
      <c r="U13" s="436"/>
      <c r="V13" s="436"/>
      <c r="W13" s="436"/>
      <c r="X13" s="436"/>
      <c r="Y13" s="436"/>
      <c r="Z13" s="436"/>
      <c r="AA13" s="436"/>
      <c r="AB13" s="436"/>
      <c r="AC13" s="436"/>
      <c r="AD13" s="436"/>
      <c r="AE13" s="436"/>
      <c r="AF13" s="436"/>
      <c r="AG13" s="436"/>
    </row>
    <row r="14" spans="2:33" s="2" customFormat="1" ht="13" x14ac:dyDescent="0.3">
      <c r="G14" s="120"/>
      <c r="H14" s="120"/>
      <c r="I14" s="120"/>
      <c r="J14" s="120"/>
      <c r="K14" s="120"/>
      <c r="L14" s="120"/>
      <c r="M14" s="120"/>
      <c r="N14" s="120"/>
      <c r="O14" s="120"/>
      <c r="P14" s="120"/>
      <c r="Q14" s="120"/>
      <c r="R14" s="120"/>
      <c r="S14" s="120"/>
      <c r="T14" s="120"/>
      <c r="U14" s="120"/>
      <c r="V14" s="120"/>
      <c r="W14" s="120"/>
      <c r="X14" s="120"/>
      <c r="Y14" s="120"/>
      <c r="Z14" s="120"/>
      <c r="AA14" s="120"/>
      <c r="AC14" s="120"/>
      <c r="AD14" s="120"/>
      <c r="AE14" s="120"/>
      <c r="AF14" s="120"/>
      <c r="AG14" s="120"/>
    </row>
    <row r="15" spans="2:33" ht="13" customHeight="1" x14ac:dyDescent="0.3">
      <c r="G15" s="490" t="s">
        <v>70</v>
      </c>
      <c r="H15" s="490"/>
      <c r="I15" s="490"/>
      <c r="J15" s="116"/>
      <c r="K15" s="490" t="s">
        <v>71</v>
      </c>
      <c r="L15" s="490"/>
      <c r="M15" s="490"/>
      <c r="N15" s="116"/>
      <c r="O15" s="490" t="s">
        <v>71</v>
      </c>
      <c r="P15" s="490"/>
      <c r="Q15" s="116"/>
      <c r="R15" s="490" t="s">
        <v>72</v>
      </c>
      <c r="S15" s="490"/>
      <c r="T15" s="490"/>
      <c r="U15" s="490"/>
      <c r="V15" s="490"/>
      <c r="W15" s="490"/>
      <c r="X15" s="490"/>
      <c r="Y15" s="490"/>
      <c r="Z15" s="490"/>
      <c r="AA15" s="490"/>
      <c r="AC15" s="490" t="s">
        <v>73</v>
      </c>
      <c r="AD15" s="490"/>
      <c r="AE15" s="490"/>
      <c r="AF15" s="490"/>
      <c r="AG15" s="490"/>
    </row>
    <row r="16" spans="2:33" ht="13" x14ac:dyDescent="0.3">
      <c r="G16" s="259" t="s">
        <v>74</v>
      </c>
      <c r="H16" s="115" t="s">
        <v>75</v>
      </c>
      <c r="I16" s="115" t="s">
        <v>76</v>
      </c>
      <c r="J16" s="115"/>
      <c r="K16" s="259" t="s">
        <v>74</v>
      </c>
      <c r="L16" s="259" t="s">
        <v>75</v>
      </c>
      <c r="M16" s="259" t="s">
        <v>76</v>
      </c>
      <c r="N16" s="115"/>
      <c r="O16" s="259" t="s">
        <v>74</v>
      </c>
      <c r="P16" s="259" t="s">
        <v>75</v>
      </c>
      <c r="Q16" s="115"/>
      <c r="R16" s="115" t="s">
        <v>74</v>
      </c>
      <c r="S16" s="115" t="s">
        <v>75</v>
      </c>
      <c r="T16" s="115" t="s">
        <v>76</v>
      </c>
      <c r="U16" s="115" t="s">
        <v>77</v>
      </c>
      <c r="V16" s="115" t="s">
        <v>78</v>
      </c>
      <c r="W16" s="115" t="s">
        <v>79</v>
      </c>
      <c r="X16" s="115" t="s">
        <v>80</v>
      </c>
      <c r="Y16" s="115" t="s">
        <v>81</v>
      </c>
      <c r="Z16" s="115" t="s">
        <v>82</v>
      </c>
      <c r="AA16" s="115" t="s">
        <v>83</v>
      </c>
      <c r="AC16" s="115" t="s">
        <v>74</v>
      </c>
      <c r="AD16" s="115" t="s">
        <v>75</v>
      </c>
      <c r="AE16" s="115" t="s">
        <v>76</v>
      </c>
      <c r="AF16" s="115" t="s">
        <v>75</v>
      </c>
      <c r="AG16" s="115" t="s">
        <v>76</v>
      </c>
    </row>
    <row r="17" spans="2:33" ht="46.4" customHeight="1" x14ac:dyDescent="0.25">
      <c r="B17" s="40" t="s">
        <v>84</v>
      </c>
      <c r="C17" s="23" t="str">
        <f>Supuestos!B$75</f>
        <v>Todos los segmentos</v>
      </c>
      <c r="D17" s="23" t="str">
        <f>Supuestos!B$76</f>
        <v>Segmento Prepago</v>
      </c>
      <c r="E17" s="23" t="str">
        <f>Supuestos!B$77</f>
        <v>Segmento Pospago</v>
      </c>
      <c r="F17" s="117"/>
      <c r="G17" s="23" t="str">
        <f>Supuestos!B$78</f>
        <v>Telcel Prepago 1</v>
      </c>
      <c r="H17" s="117" t="str">
        <f>Supuestos!B$79</f>
        <v>Telcel Prepago 2</v>
      </c>
      <c r="I17" s="117" t="str">
        <f>Supuestos!B$80</f>
        <v>Telcel Prepago 3</v>
      </c>
      <c r="J17" s="117"/>
      <c r="K17" s="23" t="str">
        <f>Supuestos!B$91</f>
        <v>Monto 1</v>
      </c>
      <c r="L17" s="23" t="str">
        <f>Supuestos!B$92</f>
        <v>Monto 2</v>
      </c>
      <c r="M17" s="23" t="str">
        <f>Supuestos!B$93</f>
        <v>Monto 3</v>
      </c>
      <c r="N17" s="117"/>
      <c r="O17" s="23" t="str">
        <f>Supuestos!B$94</f>
        <v>Portabilidad 1</v>
      </c>
      <c r="P17" s="23" t="str">
        <f>Supuestos!B$95</f>
        <v>Portabilidad 2</v>
      </c>
      <c r="Q17" s="117"/>
      <c r="R17" s="23" t="str">
        <f>Supuestos!B$81</f>
        <v>Telcel Pospago 1</v>
      </c>
      <c r="S17" s="23" t="str">
        <f>Supuestos!B$82</f>
        <v>Telcel Pospago 5</v>
      </c>
      <c r="T17" s="23" t="str">
        <f>Supuestos!B$83</f>
        <v>Telcel Pospago 3</v>
      </c>
      <c r="U17" s="23" t="str">
        <f>Supuestos!B$84</f>
        <v>Telcel Pospago 4</v>
      </c>
      <c r="V17" s="23" t="str">
        <f>Supuestos!B$85</f>
        <v>Telcel Pospago 2</v>
      </c>
      <c r="W17" s="23" t="str">
        <f>Supuestos!B$86</f>
        <v>Telcel Pospago 6</v>
      </c>
      <c r="X17" s="23" t="str">
        <f>Supuestos!B$87</f>
        <v>Telcel Pospago 7</v>
      </c>
      <c r="Y17" s="23" t="str">
        <f>Supuestos!B$88</f>
        <v>Telcel Pospago 9</v>
      </c>
      <c r="Z17" s="23" t="str">
        <f>Supuestos!B$89</f>
        <v>Telcel Pospago 8</v>
      </c>
      <c r="AA17" s="23" t="str">
        <f>Supuestos!B$90</f>
        <v>Telcel Pospago 19</v>
      </c>
      <c r="AB17" s="23"/>
      <c r="AC17" s="23" t="str">
        <f>Supuestos!B$96</f>
        <v>Telcel Pospago 22</v>
      </c>
      <c r="AD17" s="23" t="str">
        <f>Supuestos!B$97</f>
        <v>Telcel Pospago 23</v>
      </c>
      <c r="AE17" s="23" t="str">
        <f>Supuestos!B$98</f>
        <v>Telcel Pospago 24</v>
      </c>
      <c r="AF17" s="23" t="str">
        <f>Supuestos!B$99</f>
        <v>Telcel Pospago 25</v>
      </c>
      <c r="AG17" s="23" t="str">
        <f>Supuestos!B$100</f>
        <v>Telcel Pospago 26</v>
      </c>
    </row>
    <row r="18" spans="2:33" ht="13" x14ac:dyDescent="0.3">
      <c r="B18" s="92" t="s">
        <v>85</v>
      </c>
      <c r="C18" s="95" t="str">
        <f>IF(C19&lt;0,"No","Sí")</f>
        <v>Sí</v>
      </c>
      <c r="D18" s="95" t="str">
        <f>IF(D19&lt;0,"No","Sí")</f>
        <v>Sí</v>
      </c>
      <c r="E18" s="95" t="str">
        <f>IF(E19&lt;0,"No","Sí")</f>
        <v>Sí</v>
      </c>
      <c r="F18" s="96"/>
      <c r="G18" s="96"/>
      <c r="H18" s="96"/>
      <c r="I18" s="96"/>
      <c r="J18" s="96"/>
      <c r="K18" s="96"/>
      <c r="L18" s="96"/>
      <c r="M18" s="96"/>
      <c r="N18" s="96"/>
      <c r="O18" s="96"/>
      <c r="P18" s="96"/>
      <c r="Q18" s="96"/>
      <c r="R18" s="96"/>
      <c r="S18" s="96"/>
      <c r="T18" s="96"/>
      <c r="U18" s="96"/>
      <c r="V18" s="96"/>
      <c r="W18" s="96"/>
      <c r="X18" s="96"/>
      <c r="Y18" s="96"/>
      <c r="Z18" s="96"/>
      <c r="AA18" s="96"/>
      <c r="AC18" s="96"/>
      <c r="AD18" s="96"/>
      <c r="AE18" s="96"/>
      <c r="AF18" s="96"/>
      <c r="AG18" s="96"/>
    </row>
    <row r="19" spans="2:33" ht="13" x14ac:dyDescent="0.3">
      <c r="B19" s="92" t="s">
        <v>86</v>
      </c>
      <c r="C19" s="93">
        <f>(C20-C21)/C20</f>
        <v>0.17257783132530122</v>
      </c>
      <c r="D19" s="93">
        <f t="shared" ref="D19:T19" si="0">(D20-D21)/D20</f>
        <v>0.14379669769989045</v>
      </c>
      <c r="E19" s="93">
        <f t="shared" si="0"/>
        <v>0.21301155581865036</v>
      </c>
      <c r="F19" s="118"/>
      <c r="G19" s="93">
        <f t="shared" si="0"/>
        <v>0.22118183045440207</v>
      </c>
      <c r="H19" s="93">
        <f>(H20-H21)/H20</f>
        <v>0.47476395849051173</v>
      </c>
      <c r="I19" s="93">
        <f t="shared" si="0"/>
        <v>0.22577452438698634</v>
      </c>
      <c r="J19" s="118"/>
      <c r="K19" s="93">
        <f>(K20-K21)/K20</f>
        <v>-0.27523084539758919</v>
      </c>
      <c r="L19" s="93">
        <f>(L20-L21)/L20</f>
        <v>-0.58998694238202931</v>
      </c>
      <c r="M19" s="93">
        <f>(M20-M21)/M20</f>
        <v>-0.90312548822867866</v>
      </c>
      <c r="N19" s="118"/>
      <c r="O19" s="93">
        <f>(O20-O21)/O20</f>
        <v>-6.6079085476295685</v>
      </c>
      <c r="P19" s="93">
        <f>(P20-P21)/P20</f>
        <v>-8.5095875849113902</v>
      </c>
      <c r="Q19" s="118"/>
      <c r="R19" s="93">
        <f t="shared" si="0"/>
        <v>0.16498497485549574</v>
      </c>
      <c r="S19" s="93">
        <f t="shared" si="0"/>
        <v>-0.24848613956449889</v>
      </c>
      <c r="T19" s="93">
        <f t="shared" si="0"/>
        <v>-0.24856821935807688</v>
      </c>
      <c r="U19" s="93">
        <f t="shared" ref="U19:X19" si="1">(U20-U21)/U20</f>
        <v>0.16498496180886638</v>
      </c>
      <c r="V19" s="93">
        <f t="shared" si="1"/>
        <v>0.16511277395607429</v>
      </c>
      <c r="W19" s="93">
        <f t="shared" si="1"/>
        <v>0.16505788624136383</v>
      </c>
      <c r="X19" s="93">
        <f t="shared" si="1"/>
        <v>0.16498494855733264</v>
      </c>
      <c r="Y19" s="93">
        <f t="shared" ref="Y19:Z19" si="2">(Y20-Y21)/Y20</f>
        <v>0.16511276070454053</v>
      </c>
      <c r="Z19" s="93">
        <f t="shared" si="2"/>
        <v>0.1650578729898301</v>
      </c>
      <c r="AA19" s="93">
        <f t="shared" ref="AA19" si="3">(AA20-AA21)/AA20</f>
        <v>0.16498497947757804</v>
      </c>
      <c r="AC19" s="93">
        <f t="shared" ref="AC19:AG19" si="4">(AC20-AC21)/AC20</f>
        <v>0.16498497506040014</v>
      </c>
      <c r="AD19" s="93">
        <f t="shared" si="4"/>
        <v>0.16511278720760802</v>
      </c>
      <c r="AE19" s="93">
        <f t="shared" si="4"/>
        <v>0.16505789949289756</v>
      </c>
      <c r="AF19" s="93">
        <f t="shared" si="4"/>
        <v>0.16498496180886638</v>
      </c>
      <c r="AG19" s="93">
        <f t="shared" si="4"/>
        <v>0.16511277395607429</v>
      </c>
    </row>
    <row r="20" spans="2:33" ht="13" x14ac:dyDescent="0.25">
      <c r="B20" s="33" t="s">
        <v>8</v>
      </c>
      <c r="C20" s="91">
        <f>INDEX('Ingresos minoristas'!$D$13:$AC$23,MATCH('Prueba Servicios Moviles'!$B$20,'Ingresos minoristas'!$C$13:$C$23,0),MATCH('Prueba Servicios Moviles'!C$17,'Ingresos minoristas'!$D$12:$AC$12,0))</f>
        <v>20750000000</v>
      </c>
      <c r="D20" s="91">
        <f>INDEX('Ingresos minoristas'!$D$13:$AC$23,MATCH('Prueba Servicios Moviles'!$B$20,'Ingresos minoristas'!$C$13:$C$23,0),MATCH('Prueba Servicios Moviles'!D$17,'Ingresos minoristas'!$D$12:$AC$12,0))</f>
        <v>12100000000</v>
      </c>
      <c r="E20" s="91">
        <f>INDEX('Ingresos minoristas'!$D$13:$AC$23,MATCH('Prueba Servicios Moviles'!$B$20,'Ingresos minoristas'!$C$13:$C$23,0),MATCH('Prueba Servicios Moviles'!E$17,'Ingresos minoristas'!$D$12:$AC$12,0))</f>
        <v>8650000000</v>
      </c>
      <c r="F20" s="119"/>
      <c r="G20" s="91">
        <f>INDEX('Ingresos minoristas'!$D$13:$AC$23,MATCH('Prueba Servicios Moviles'!$B$20,'Ingresos minoristas'!$C$13:$C$23,0),MATCH('Prueba Servicios Moviles'!G$17,'Ingresos minoristas'!$D$12:$AC$12,0))</f>
        <v>4449999999.9999971</v>
      </c>
      <c r="H20" s="91">
        <f>INDEX('Ingresos minoristas'!$D$13:$AC$23,MATCH('Prueba Servicios Moviles'!$B$20,'Ingresos minoristas'!$C$13:$C$23,0),MATCH('Prueba Servicios Moviles'!H$17,'Ingresos minoristas'!$D$12:$AC$12,0))</f>
        <v>4449999999.9999971</v>
      </c>
      <c r="I20" s="91">
        <f>INDEX('Ingresos minoristas'!$D$13:$AC$23,MATCH('Prueba Servicios Moviles'!$B$20,'Ingresos minoristas'!$C$13:$C$23,0),MATCH('Prueba Servicios Moviles'!I$17,'Ingresos minoristas'!$D$12:$AC$12,0))</f>
        <v>4449999999.9999971</v>
      </c>
      <c r="J20" s="119"/>
      <c r="K20" s="91">
        <f>INDEX('Ingresos minoristas'!$D$13:$AC$23,MATCH('Prueba Servicios Moviles'!$B$20,'Ingresos minoristas'!$C$13:$C$23,0),MATCH('Prueba Servicios Moviles'!K$17,'Ingresos minoristas'!$D$12:$AC$12,0))</f>
        <v>1500000000</v>
      </c>
      <c r="L20" s="91">
        <f>INDEX('Ingresos minoristas'!$D$13:$AC$23,MATCH('Prueba Servicios Moviles'!$B$20,'Ingresos minoristas'!$C$13:$C$23,0),MATCH('Prueba Servicios Moviles'!L$17,'Ingresos minoristas'!$D$12:$AC$12,0))</f>
        <v>1200000000</v>
      </c>
      <c r="M20" s="91">
        <f>INDEX('Ingresos minoristas'!$D$13:$AC$23,MATCH('Prueba Servicios Moviles'!$B$20,'Ingresos minoristas'!$C$13:$C$23,0),MATCH('Prueba Servicios Moviles'!M$17,'Ingresos minoristas'!$D$12:$AC$12,0))</f>
        <v>1000000000</v>
      </c>
      <c r="N20" s="119"/>
      <c r="O20" s="91">
        <f>INDEX('Ingresos minoristas'!$D$13:$AC$23,MATCH('Prueba Servicios Moviles'!$B$20,'Ingresos minoristas'!$C$13:$C$23,0),MATCH('Prueba Servicios Moviles'!O$17,'Ingresos minoristas'!$D$12:$AC$12,0))</f>
        <v>250000000</v>
      </c>
      <c r="P20" s="91">
        <f>INDEX('Ingresos minoristas'!$D$13:$AC$23,MATCH('Prueba Servicios Moviles'!$B$20,'Ingresos minoristas'!$C$13:$C$23,0),MATCH('Prueba Servicios Moviles'!P$17,'Ingresos minoristas'!$D$12:$AC$12,0))</f>
        <v>200000000</v>
      </c>
      <c r="Q20" s="119"/>
      <c r="R20" s="91">
        <f>INDEX('Ingresos minoristas'!$D$13:$AC$23,MATCH('Prueba Servicios Moviles'!$B$20,'Ingresos minoristas'!$C$13:$C$23,0),MATCH('Prueba Servicios Moviles'!R$17,'Ingresos minoristas'!$D$12:$AC$12,0))</f>
        <v>2716666666.666667</v>
      </c>
      <c r="S20" s="91">
        <f>INDEX('Ingresos minoristas'!$D$13:$AC$23,MATCH('Prueba Servicios Moviles'!$B$20,'Ingresos minoristas'!$C$13:$C$23,0),MATCH('Prueba Servicios Moviles'!S$17,'Ingresos minoristas'!$D$12:$AC$12,0))</f>
        <v>1816666666.6666632</v>
      </c>
      <c r="T20" s="91">
        <f>INDEX('Ingresos minoristas'!$D$13:$AC$23,MATCH('Prueba Servicios Moviles'!$B$20,'Ingresos minoristas'!$C$13:$C$23,0),MATCH('Prueba Servicios Moviles'!T$17,'Ingresos minoristas'!$D$12:$AC$12,0))</f>
        <v>1816666666.6666632</v>
      </c>
      <c r="U20" s="91">
        <f>INDEX('Ingresos minoristas'!$D$13:$AC$23,MATCH('Prueba Servicios Moviles'!$B$20,'Ingresos minoristas'!$C$13:$C$23,0),MATCH('Prueba Servicios Moviles'!U$17,'Ingresos minoristas'!$D$12:$AC$12,0))</f>
        <v>2716666667.333334</v>
      </c>
      <c r="V20" s="91">
        <f>INDEX('Ingresos minoristas'!$D$13:$AC$23,MATCH('Prueba Servicios Moviles'!$B$20,'Ingresos minoristas'!$C$13:$C$23,0),MATCH('Prueba Servicios Moviles'!V$17,'Ingresos minoristas'!$D$12:$AC$12,0))</f>
        <v>2716666667.333334</v>
      </c>
      <c r="W20" s="91">
        <f>INDEX('Ingresos minoristas'!$D$13:$AC$23,MATCH('Prueba Servicios Moviles'!$B$20,'Ingresos minoristas'!$C$13:$C$23,0),MATCH('Prueba Servicios Moviles'!W$17,'Ingresos minoristas'!$D$12:$AC$12,0))</f>
        <v>2716666667.333334</v>
      </c>
      <c r="X20" s="91">
        <f>INDEX('Ingresos minoristas'!$D$13:$AC$23,MATCH('Prueba Servicios Moviles'!$B$20,'Ingresos minoristas'!$C$13:$C$23,0),MATCH('Prueba Servicios Moviles'!X$17,'Ingresos minoristas'!$D$12:$AC$12,0))</f>
        <v>2716666667.333334</v>
      </c>
      <c r="Y20" s="91">
        <f>INDEX('Ingresos minoristas'!$D$13:$AC$23,MATCH('Prueba Servicios Moviles'!$B$20,'Ingresos minoristas'!$C$13:$C$23,0),MATCH('Prueba Servicios Moviles'!Y$17,'Ingresos minoristas'!$D$12:$AC$12,0))</f>
        <v>2716666667.333334</v>
      </c>
      <c r="Z20" s="91">
        <f>INDEX('Ingresos minoristas'!$D$13:$AC$23,MATCH('Prueba Servicios Moviles'!$B$20,'Ingresos minoristas'!$C$13:$C$23,0),MATCH('Prueba Servicios Moviles'!Z$17,'Ingresos minoristas'!$D$12:$AC$12,0))</f>
        <v>2716666667.333334</v>
      </c>
      <c r="AA20" s="91">
        <f>INDEX('Ingresos minoristas'!$D$13:$AC$23,MATCH('Prueba Servicios Moviles'!$B$20,'Ingresos minoristas'!$C$13:$C$23,0),MATCH('Prueba Servicios Moviles'!AA$17,'Ingresos minoristas'!$D$12:$AC$12,0))</f>
        <v>2716666667.333334</v>
      </c>
      <c r="AC20" s="91">
        <f>INDEX('Ingresos minoristas'!$D$13:$AC$23,MATCH('Prueba Servicios Moviles'!$B$20,'Ingresos minoristas'!$C$13:$C$23,0),MATCH('Prueba Servicios Moviles'!AC$17,'Ingresos minoristas'!$D$12:$AC$12,0))</f>
        <v>2716666667.333334</v>
      </c>
      <c r="AD20" s="91">
        <f>INDEX('Ingresos minoristas'!$D$13:$AC$23,MATCH('Prueba Servicios Moviles'!$B$20,'Ingresos minoristas'!$C$13:$C$23,0),MATCH('Prueba Servicios Moviles'!AD$17,'Ingresos minoristas'!$D$12:$AC$12,0))</f>
        <v>2716666667.333334</v>
      </c>
      <c r="AE20" s="91">
        <f>INDEX('Ingresos minoristas'!$D$13:$AC$23,MATCH('Prueba Servicios Moviles'!$B$20,'Ingresos minoristas'!$C$13:$C$23,0),MATCH('Prueba Servicios Moviles'!AE$17,'Ingresos minoristas'!$D$12:$AC$12,0))</f>
        <v>2716666667.333334</v>
      </c>
      <c r="AF20" s="91">
        <f>INDEX('Ingresos minoristas'!$D$13:$AC$23,MATCH('Prueba Servicios Moviles'!$B$20,'Ingresos minoristas'!$C$13:$C$23,0),MATCH('Prueba Servicios Moviles'!AF$17,'Ingresos minoristas'!$D$12:$AC$12,0))</f>
        <v>2716666667.333334</v>
      </c>
      <c r="AG20" s="91">
        <f>INDEX('Ingresos minoristas'!$D$13:$AC$23,MATCH('Prueba Servicios Moviles'!$B$20,'Ingresos minoristas'!$C$13:$C$23,0),MATCH('Prueba Servicios Moviles'!AG$17,'Ingresos minoristas'!$D$12:$AC$12,0))</f>
        <v>2716666667.333334</v>
      </c>
    </row>
    <row r="21" spans="2:33" ht="13" x14ac:dyDescent="0.25">
      <c r="B21" s="33" t="s">
        <v>10</v>
      </c>
      <c r="C21" s="91">
        <f>SUM(C22:C23)</f>
        <v>17169010000</v>
      </c>
      <c r="D21" s="91">
        <f t="shared" ref="D21:T21" si="5">SUM(D22:D23)</f>
        <v>10360059957.831326</v>
      </c>
      <c r="E21" s="91">
        <f t="shared" si="5"/>
        <v>6807450042.1686745</v>
      </c>
      <c r="F21" s="119"/>
      <c r="G21" s="91">
        <f t="shared" si="5"/>
        <v>3465740854.4779086</v>
      </c>
      <c r="H21" s="91">
        <f t="shared" si="5"/>
        <v>2337300384.7172213</v>
      </c>
      <c r="I21" s="91">
        <f t="shared" si="5"/>
        <v>3445303366.4779086</v>
      </c>
      <c r="J21" s="119"/>
      <c r="K21" s="91">
        <f t="shared" ref="K21:M21" si="6">SUM(K22:K23)</f>
        <v>1912846268.0963838</v>
      </c>
      <c r="L21" s="91">
        <f t="shared" si="6"/>
        <v>1907984330.8584352</v>
      </c>
      <c r="M21" s="91">
        <f t="shared" si="6"/>
        <v>1903125488.2286787</v>
      </c>
      <c r="N21" s="119"/>
      <c r="O21" s="91">
        <f t="shared" ref="O21:P21" si="7">SUM(O22:O23)</f>
        <v>1901977136.907392</v>
      </c>
      <c r="P21" s="91">
        <f t="shared" si="7"/>
        <v>1901917516.9822779</v>
      </c>
      <c r="Q21" s="119"/>
      <c r="R21" s="91">
        <f t="shared" si="5"/>
        <v>2268457484.9759035</v>
      </c>
      <c r="S21" s="91">
        <f t="shared" si="5"/>
        <v>2268083153.5421686</v>
      </c>
      <c r="T21" s="91">
        <f t="shared" si="5"/>
        <v>2268232265.1671686</v>
      </c>
      <c r="U21" s="91">
        <f t="shared" ref="U21:X21" si="8">SUM(U22:U23)</f>
        <v>2268457520.9759235</v>
      </c>
      <c r="V21" s="91">
        <f t="shared" si="8"/>
        <v>2268110297.9759235</v>
      </c>
      <c r="W21" s="91">
        <f t="shared" si="8"/>
        <v>2268259409.6009235</v>
      </c>
      <c r="X21" s="91">
        <f t="shared" si="8"/>
        <v>2268457556.9759235</v>
      </c>
      <c r="Y21" s="91">
        <f t="shared" ref="Y21:Z21" si="9">SUM(Y22:Y23)</f>
        <v>2268110333.9759235</v>
      </c>
      <c r="Z21" s="91">
        <f t="shared" si="9"/>
        <v>2268259445.6009235</v>
      </c>
      <c r="AA21" s="91">
        <f t="shared" ref="AA21" si="10">SUM(AA22:AA23)</f>
        <v>2268457472.9759235</v>
      </c>
      <c r="AC21" s="91">
        <f t="shared" ref="AC21:AG21" si="11">SUM(AC22:AC23)</f>
        <v>2268457484.9759235</v>
      </c>
      <c r="AD21" s="91">
        <f t="shared" si="11"/>
        <v>2268110261.9759235</v>
      </c>
      <c r="AE21" s="91">
        <f t="shared" si="11"/>
        <v>2268259373.6009235</v>
      </c>
      <c r="AF21" s="91">
        <f t="shared" si="11"/>
        <v>2268457520.9759235</v>
      </c>
      <c r="AG21" s="91">
        <f t="shared" si="11"/>
        <v>2268110297.9759235</v>
      </c>
    </row>
    <row r="22" spans="2:33" x14ac:dyDescent="0.25">
      <c r="B22" s="82" t="s">
        <v>13</v>
      </c>
      <c r="C22" s="442">
        <f>INDEX(Costos!$D$11:$AC$16,MATCH('Prueba Servicios Moviles'!$B$22,Costos!$C$11:$C$16,0),MATCH('Prueba Servicios Moviles'!C$17,Costos!$D$10:$AC$10,0))</f>
        <v>2775110000</v>
      </c>
      <c r="D22" s="442">
        <f>INDEX(Costos!$D$11:$AC$16,MATCH('Prueba Servicios Moviles'!$B$22,Costos!$C$11:$C$16,0),MATCH('Prueba Servicios Moviles'!D$17,Costos!$D$10:$AC$10,0))</f>
        <v>848459957.83132529</v>
      </c>
      <c r="E22" s="442">
        <f>INDEX(Costos!$D$11:$AC$16,MATCH('Prueba Servicios Moviles'!$B$22,Costos!$C$11:$C$16,0),MATCH('Prueba Servicios Moviles'!E$17,Costos!$D$10:$AC$10,0))</f>
        <v>1925150042.1686747</v>
      </c>
      <c r="F22" s="486"/>
      <c r="G22" s="442">
        <f>INDEX(Costos!$D$11:$AC$16,MATCH('Prueba Servicios Moviles'!$B$22,Costos!$C$11:$C$16,0),MATCH('Prueba Servicios Moviles'!G$17,Costos!$D$10:$AC$10,0))</f>
        <v>295207536.14457834</v>
      </c>
      <c r="H22" s="442">
        <f>INDEX(Costos!$D$11:$AC$16,MATCH('Prueba Servicios Moviles'!$B$22,Costos!$C$11:$C$16,0),MATCH('Prueba Servicios Moviles'!H$17,Costos!$D$10:$AC$10,0))</f>
        <v>709867048.38388801</v>
      </c>
      <c r="I22" s="442">
        <f>INDEX(Costos!$D$11:$AC$16,MATCH('Prueba Servicios Moviles'!$B$22,Costos!$C$11:$C$16,0),MATCH('Prueba Servicios Moviles'!I$17,Costos!$D$10:$AC$10,0))</f>
        <v>274770036.14457834</v>
      </c>
      <c r="J22" s="486"/>
      <c r="K22" s="442">
        <f>INDEX(Costos!$D$11:$AC$16,MATCH('Prueba Servicios Moviles'!$B$22,Costos!$C$11:$C$16,0),MATCH('Prueba Servicios Moviles'!K$17,Costos!$D$10:$AC$10,0))</f>
        <v>285412907.76305032</v>
      </c>
      <c r="L22" s="442">
        <f>INDEX(Costos!$D$11:$AC$16,MATCH('Prueba Servicios Moviles'!$B$22,Costos!$C$11:$C$16,0),MATCH('Prueba Servicios Moviles'!L$17,Costos!$D$10:$AC$10,0))</f>
        <v>280550958.52510154</v>
      </c>
      <c r="M22" s="442">
        <f>INDEX(Costos!$D$11:$AC$16,MATCH('Prueba Servicios Moviles'!$B$22,Costos!$C$11:$C$16,0),MATCH('Prueba Servicios Moviles'!M$17,Costos!$D$10:$AC$10,0))</f>
        <v>275692103.89534533</v>
      </c>
      <c r="N22" s="486"/>
      <c r="O22" s="442">
        <f>INDEX(Costos!$D$11:$AC$16,MATCH('Prueba Servicios Moviles'!$B$22,Costos!$C$11:$C$16,0),MATCH('Prueba Servicios Moviles'!O$17,Costos!$D$10:$AC$10,0))</f>
        <v>274543740.57405847</v>
      </c>
      <c r="P22" s="442">
        <f>INDEX(Costos!$D$11:$AC$16,MATCH('Prueba Servicios Moviles'!$B$22,Costos!$C$11:$C$16,0),MATCH('Prueba Servicios Moviles'!P$17,Costos!$D$10:$AC$10,0))</f>
        <v>274484108.64894438</v>
      </c>
      <c r="Q22" s="486"/>
      <c r="R22" s="442">
        <f>INDEX(Costos!$D$11:$AC$16,MATCH('Prueba Servicios Moviles'!$B$22,Costos!$C$11:$C$16,0),MATCH('Prueba Servicios Moviles'!R$17,Costos!$D$10:$AC$10,0))</f>
        <v>641024160.64257026</v>
      </c>
      <c r="S22" s="442">
        <f>INDEX(Costos!$D$11:$AC$16,MATCH('Prueba Servicios Moviles'!$B$22,Costos!$C$11:$C$16,0),MATCH('Prueba Servicios Moviles'!S$17,Costos!$D$10:$AC$10,0))</f>
        <v>640649817.20883524</v>
      </c>
      <c r="T22" s="442">
        <f>INDEX(Costos!$D$11:$AC$16,MATCH('Prueba Servicios Moviles'!$B$22,Costos!$C$11:$C$16,0),MATCH('Prueba Servicios Moviles'!T$17,Costos!$D$10:$AC$10,0))</f>
        <v>640798916.83383524</v>
      </c>
      <c r="U22" s="442">
        <f>INDEX(Costos!$D$11:$AC$16,MATCH('Prueba Servicios Moviles'!$B$22,Costos!$C$11:$C$16,0),MATCH('Prueba Servicios Moviles'!U$17,Costos!$D$10:$AC$10,0))</f>
        <v>641024160.64259028</v>
      </c>
      <c r="V22" s="442">
        <f>INDEX(Costos!$D$11:$AC$16,MATCH('Prueba Servicios Moviles'!$B$22,Costos!$C$11:$C$16,0),MATCH('Prueba Servicios Moviles'!V$17,Costos!$D$10:$AC$10,0))</f>
        <v>640676925.64259028</v>
      </c>
      <c r="W22" s="442">
        <f>INDEX(Costos!$D$11:$AC$16,MATCH('Prueba Servicios Moviles'!$B$22,Costos!$C$11:$C$16,0),MATCH('Prueba Servicios Moviles'!W$17,Costos!$D$10:$AC$10,0))</f>
        <v>640826025.26759028</v>
      </c>
      <c r="X22" s="442">
        <f>INDEX(Costos!$D$11:$AC$16,MATCH('Prueba Servicios Moviles'!$B$22,Costos!$C$11:$C$16,0),MATCH('Prueba Servicios Moviles'!X$17,Costos!$D$10:$AC$10,0))</f>
        <v>641024160.64259028</v>
      </c>
      <c r="Y22" s="442">
        <f>INDEX(Costos!$D$11:$AC$16,MATCH('Prueba Servicios Moviles'!$B$22,Costos!$C$11:$C$16,0),MATCH('Prueba Servicios Moviles'!Y$17,Costos!$D$10:$AC$10,0))</f>
        <v>640676925.64259028</v>
      </c>
      <c r="Z22" s="442">
        <f>INDEX(Costos!$D$11:$AC$16,MATCH('Prueba Servicios Moviles'!$B$22,Costos!$C$11:$C$16,0),MATCH('Prueba Servicios Moviles'!Z$17,Costos!$D$10:$AC$10,0))</f>
        <v>640826025.26759028</v>
      </c>
      <c r="AA22" s="442">
        <f>INDEX(Costos!$D$11:$AC$16,MATCH('Prueba Servicios Moviles'!$B$22,Costos!$C$11:$C$16,0),MATCH('Prueba Servicios Moviles'!AA$17,Costos!$D$10:$AC$10,0))</f>
        <v>641024160.64259028</v>
      </c>
      <c r="AC22" s="442">
        <f>INDEX(Costos!$D$11:$AC$16,MATCH('Prueba Servicios Moviles'!$B$22,Costos!$C$11:$C$16,0),MATCH('Prueba Servicios Moviles'!AC$17,Costos!$D$10:$AC$10,0))</f>
        <v>641024160.64259028</v>
      </c>
      <c r="AD22" s="442">
        <f>INDEX(Costos!$D$11:$AC$16,MATCH('Prueba Servicios Moviles'!$B$22,Costos!$C$11:$C$16,0),MATCH('Prueba Servicios Moviles'!AD$17,Costos!$D$10:$AC$10,0))</f>
        <v>640676925.64259028</v>
      </c>
      <c r="AE22" s="442">
        <f>INDEX(Costos!$D$11:$AC$16,MATCH('Prueba Servicios Moviles'!$B$22,Costos!$C$11:$C$16,0),MATCH('Prueba Servicios Moviles'!AE$17,Costos!$D$10:$AC$10,0))</f>
        <v>640826025.26759028</v>
      </c>
      <c r="AF22" s="442">
        <f>INDEX(Costos!$D$11:$AC$16,MATCH('Prueba Servicios Moviles'!$B$22,Costos!$C$11:$C$16,0),MATCH('Prueba Servicios Moviles'!AF$17,Costos!$D$10:$AC$10,0))</f>
        <v>641024160.64259028</v>
      </c>
      <c r="AG22" s="442">
        <f>INDEX(Costos!$D$11:$AC$16,MATCH('Prueba Servicios Moviles'!$B$22,Costos!$C$11:$C$16,0),MATCH('Prueba Servicios Moviles'!AG$17,Costos!$D$10:$AC$10,0))</f>
        <v>640676925.64259028</v>
      </c>
    </row>
    <row r="23" spans="2:33" x14ac:dyDescent="0.25">
      <c r="B23" s="82" t="str">
        <f>IF(C6="EEO",'Costos aguas abajo'!$D$9,'Costos aguas abajo'!$K$9)</f>
        <v>Costos totales</v>
      </c>
      <c r="C23" s="442">
        <f>INDEX(Costos!$D$25:$AC$25,1,MATCH('Prueba Servicios Moviles'!C$17,Costos!$D$24:$AC$24,))</f>
        <v>14393900000</v>
      </c>
      <c r="D23" s="442">
        <f>INDEX(Costos!$D$25:$AC$25,1,MATCH('Prueba Servicios Moviles'!D$17,Costos!$D$24:$AC$24,))</f>
        <v>9511600000</v>
      </c>
      <c r="E23" s="442">
        <f>INDEX(Costos!$D$25:$AC$25,1,MATCH('Prueba Servicios Moviles'!E$17,Costos!$D$24:$AC$24,))</f>
        <v>4882300000</v>
      </c>
      <c r="F23" s="486"/>
      <c r="G23" s="442">
        <f>INDEX(Costos!$D$25:$AC$25,1,MATCH('Prueba Servicios Moviles'!G$17,Costos!$D$24:$AC$24,))</f>
        <v>3170533318.3333302</v>
      </c>
      <c r="H23" s="442">
        <f>INDEX(Costos!$D$25:$AC$25,1,MATCH('Prueba Servicios Moviles'!H$17,Costos!$D$24:$AC$24,))</f>
        <v>1627433336.3333335</v>
      </c>
      <c r="I23" s="442">
        <f>INDEX(Costos!$D$25:$AC$25,1,MATCH('Prueba Servicios Moviles'!I$17,Costos!$D$24:$AC$24,))</f>
        <v>3170533330.3333302</v>
      </c>
      <c r="J23" s="486"/>
      <c r="K23" s="442">
        <f>INDEX(Costos!$D$25:$AC$25,1,MATCH('Prueba Servicios Moviles'!K$17,Costos!$D$24:$AC$24,))</f>
        <v>1627433360.3333335</v>
      </c>
      <c r="L23" s="442">
        <f>INDEX(Costos!$D$25:$AC$25,1,MATCH('Prueba Servicios Moviles'!L$17,Costos!$D$24:$AC$24,))</f>
        <v>1627433372.3333335</v>
      </c>
      <c r="M23" s="442">
        <f>INDEX(Costos!$D$25:$AC$25,1,MATCH('Prueba Servicios Moviles'!M$17,Costos!$D$24:$AC$24,))</f>
        <v>1627433384.3333335</v>
      </c>
      <c r="N23" s="486"/>
      <c r="O23" s="442">
        <f>INDEX(Costos!$D$25:$AC$25,1,MATCH('Prueba Servicios Moviles'!O$17,Costos!$D$24:$AC$24,))</f>
        <v>1627433396.3333335</v>
      </c>
      <c r="P23" s="442">
        <f>INDEX(Costos!$D$25:$AC$25,1,MATCH('Prueba Servicios Moviles'!P$17,Costos!$D$24:$AC$24,))</f>
        <v>1627433408.3333335</v>
      </c>
      <c r="Q23" s="486"/>
      <c r="R23" s="442">
        <f>INDEX(Costos!$D$25:$AC$25,1,MATCH('Prueba Servicios Moviles'!R$17,Costos!$D$24:$AC$24,))</f>
        <v>1627433324.3333335</v>
      </c>
      <c r="S23" s="442">
        <f>INDEX(Costos!$D$25:$AC$25,1,MATCH('Prueba Servicios Moviles'!S$17,Costos!$D$24:$AC$24,))</f>
        <v>1627433336.3333335</v>
      </c>
      <c r="T23" s="442">
        <f>INDEX(Costos!$D$25:$AC$25,1,MATCH('Prueba Servicios Moviles'!T$17,Costos!$D$24:$AC$24,))</f>
        <v>1627433348.3333335</v>
      </c>
      <c r="U23" s="442">
        <f>INDEX(Costos!$D$25:$AC$25,1,MATCH('Prueba Servicios Moviles'!U$17,Costos!$D$24:$AC$24,))</f>
        <v>1627433360.3333335</v>
      </c>
      <c r="V23" s="442">
        <f>INDEX(Costos!$D$25:$AC$25,1,MATCH('Prueba Servicios Moviles'!V$17,Costos!$D$24:$AC$24,))</f>
        <v>1627433372.3333335</v>
      </c>
      <c r="W23" s="442">
        <f>INDEX(Costos!$D$25:$AC$25,1,MATCH('Prueba Servicios Moviles'!W$17,Costos!$D$24:$AC$24,))</f>
        <v>1627433384.3333335</v>
      </c>
      <c r="X23" s="442">
        <f>INDEX(Costos!$D$25:$AC$25,1,MATCH('Prueba Servicios Moviles'!X$17,Costos!$D$24:$AC$24,))</f>
        <v>1627433396.3333335</v>
      </c>
      <c r="Y23" s="442">
        <f>INDEX(Costos!$D$25:$AC$25,1,MATCH('Prueba Servicios Moviles'!Y$17,Costos!$D$24:$AC$24,))</f>
        <v>1627433408.3333335</v>
      </c>
      <c r="Z23" s="442">
        <f>INDEX(Costos!$D$25:$AC$25,1,MATCH('Prueba Servicios Moviles'!Z$17,Costos!$D$24:$AC$24,))</f>
        <v>1627433420.3333335</v>
      </c>
      <c r="AA23" s="442">
        <f>INDEX(Costos!$D$25:$AC$25,1,MATCH('Prueba Servicios Moviles'!AA$17,Costos!$D$24:$AC$24,))</f>
        <v>1627433312.3333335</v>
      </c>
      <c r="AC23" s="442">
        <f>INDEX(Costos!$D$25:$AC$25,1,MATCH('Prueba Servicios Moviles'!AC$17,Costos!$D$24:$AC$24,))</f>
        <v>1627433324.3333335</v>
      </c>
      <c r="AD23" s="442">
        <f>INDEX(Costos!$D$25:$AC$25,1,MATCH('Prueba Servicios Moviles'!AD$17,Costos!$D$24:$AC$24,))</f>
        <v>1627433336.3333335</v>
      </c>
      <c r="AE23" s="442">
        <f>INDEX(Costos!$D$25:$AC$25,1,MATCH('Prueba Servicios Moviles'!AE$17,Costos!$D$24:$AC$24,))</f>
        <v>1627433348.3333335</v>
      </c>
      <c r="AF23" s="442">
        <f>INDEX(Costos!$D$25:$AC$25,1,MATCH('Prueba Servicios Moviles'!AF$17,Costos!$D$24:$AC$24,))</f>
        <v>1627433360.3333335</v>
      </c>
      <c r="AG23" s="442">
        <f>INDEX(Costos!$D$25:$AC$25,1,MATCH('Prueba Servicios Moviles'!AG$17,Costos!$D$24:$AC$24,))</f>
        <v>1627433372.3333335</v>
      </c>
    </row>
    <row r="24" spans="2:33" x14ac:dyDescent="0.25">
      <c r="J24" s="2"/>
      <c r="N24" s="2"/>
      <c r="Q24" s="2"/>
    </row>
    <row r="25" spans="2:33" ht="13" x14ac:dyDescent="0.25">
      <c r="B25" s="40"/>
      <c r="C25" s="398"/>
    </row>
    <row r="26" spans="2:33" s="18" customFormat="1" ht="15.65" customHeight="1" x14ac:dyDescent="0.25">
      <c r="B26" s="18" t="s">
        <v>87</v>
      </c>
    </row>
    <row r="27" spans="2:33" x14ac:dyDescent="0.25">
      <c r="B27" s="15"/>
    </row>
    <row r="46" spans="2:15" ht="13" x14ac:dyDescent="0.25">
      <c r="B46" s="210"/>
      <c r="C46" s="211"/>
      <c r="D46" s="211"/>
      <c r="E46" s="211"/>
      <c r="F46" s="211"/>
      <c r="G46" s="212"/>
      <c r="K46" s="212"/>
      <c r="O46" s="212"/>
    </row>
    <row r="47" spans="2:15" ht="13" x14ac:dyDescent="0.3">
      <c r="B47" s="213"/>
      <c r="C47" s="214"/>
      <c r="D47" s="214"/>
      <c r="E47" s="214"/>
      <c r="F47" s="214"/>
      <c r="G47" s="212"/>
      <c r="K47" s="212"/>
      <c r="O47" s="212"/>
    </row>
  </sheetData>
  <mergeCells count="7">
    <mergeCell ref="AC15:AG15"/>
    <mergeCell ref="R15:AA15"/>
    <mergeCell ref="G15:I15"/>
    <mergeCell ref="G13:T13"/>
    <mergeCell ref="G10:T10"/>
    <mergeCell ref="K15:M15"/>
    <mergeCell ref="O15:P15"/>
  </mergeCells>
  <phoneticPr fontId="69" type="noConversion"/>
  <conditionalFormatting sqref="C19:AA19 C47:F47">
    <cfRule type="cellIs" dxfId="226" priority="24" operator="lessThan">
      <formula>0</formula>
    </cfRule>
  </conditionalFormatting>
  <conditionalFormatting sqref="AC19:AG19">
    <cfRule type="cellIs" dxfId="219" priority="1" operator="lessThan">
      <formula>0</formula>
    </cfRule>
  </conditionalFormatting>
  <pageMargins left="0.70866141732283472" right="0.70866141732283472" top="0.74803149606299213" bottom="0.74803149606299213" header="0.31496062992125984" footer="0.31496062992125984"/>
  <pageSetup paperSize="9" scale="53" orientation="landscape" r:id="rId1"/>
  <drawing r:id="rId2"/>
  <extLst>
    <ext xmlns:x14="http://schemas.microsoft.com/office/spreadsheetml/2009/9/main" uri="{78C0D931-6437-407d-A8EE-F0AAD7539E65}">
      <x14:conditionalFormattings>
        <x14:conditionalFormatting xmlns:xm="http://schemas.microsoft.com/office/excel/2006/main">
          <x14:cfRule type="expression" priority="23" id="{592F2A29-2AC6-403D-9276-A8D1BD514FF1}">
            <xm:f>'Ofertas insignia'!$C$130='Ofertas insignia'!$D$130</xm:f>
            <x14:dxf>
              <font>
                <color theme="0"/>
              </font>
              <fill>
                <patternFill>
                  <bgColor theme="6"/>
                </patternFill>
              </fill>
            </x14:dxf>
          </x14:cfRule>
          <xm:sqref>G16:G17</xm:sqref>
        </x14:conditionalFormatting>
        <x14:conditionalFormatting xmlns:xm="http://schemas.microsoft.com/office/excel/2006/main">
          <x14:cfRule type="expression" priority="22" id="{488D4798-3D65-47B9-850E-03F4DE3F881B}">
            <xm:f>'Ofertas insignia'!$C$130&lt;&gt;'Ofertas insignia'!$D$130</xm:f>
            <x14:dxf>
              <font>
                <color theme="0"/>
              </font>
              <fill>
                <patternFill>
                  <bgColor theme="6"/>
                </patternFill>
              </fill>
            </x14:dxf>
          </x14:cfRule>
          <xm:sqref>G16:H17</xm:sqref>
        </x14:conditionalFormatting>
        <x14:conditionalFormatting xmlns:xm="http://schemas.microsoft.com/office/excel/2006/main">
          <x14:cfRule type="expression" priority="4" id="{821CE73A-8C70-4124-84FE-02979451B36C}">
            <xm:f>'Ofertas insignia'!$C$130&lt;&gt;'Ofertas insignia'!$D$130</xm:f>
            <x14:dxf>
              <font>
                <color theme="0"/>
              </font>
              <fill>
                <patternFill>
                  <bgColor theme="6"/>
                </patternFill>
              </fill>
            </x14:dxf>
          </x14:cfRule>
          <x14:cfRule type="expression" priority="5" id="{7B50A546-2A6D-4E9C-81EB-7CD15B907124}">
            <xm:f>'Ofertas insignia'!$C$130='Ofertas insignia'!$D$130</xm:f>
            <x14:dxf>
              <font>
                <color theme="0"/>
              </font>
              <fill>
                <patternFill>
                  <bgColor theme="6"/>
                </patternFill>
              </fill>
            </x14:dxf>
          </x14:cfRule>
          <xm:sqref>K16:M17</xm:sqref>
        </x14:conditionalFormatting>
        <x14:conditionalFormatting xmlns:xm="http://schemas.microsoft.com/office/excel/2006/main">
          <x14:cfRule type="expression" priority="2" id="{C0D9ACAF-617F-446D-BEBA-D0AFFAEE5497}">
            <xm:f>'Ofertas insignia'!$C$130&lt;&gt;'Ofertas insignia'!$D$130</xm:f>
            <x14:dxf>
              <font>
                <color theme="0"/>
              </font>
              <fill>
                <patternFill>
                  <bgColor theme="6"/>
                </patternFill>
              </fill>
            </x14:dxf>
          </x14:cfRule>
          <x14:cfRule type="expression" priority="3" id="{359EDFD1-BF8D-4325-8147-EF39F1200BB1}">
            <xm:f>'Ofertas insignia'!$C$130='Ofertas insignia'!$D$130</xm:f>
            <x14:dxf>
              <font>
                <color theme="0"/>
              </font>
              <fill>
                <patternFill>
                  <bgColor theme="6"/>
                </patternFill>
              </fill>
            </x14:dxf>
          </x14:cfRule>
          <xm:sqref>O16:P17</xm:sqref>
        </x14:conditionalFormatting>
      </x14:conditionalFormattings>
    </ext>
    <ext xmlns:x14="http://schemas.microsoft.com/office/spreadsheetml/2009/9/main" uri="{CCE6A557-97BC-4b89-ADB6-D9C93CAAB3DF}">
      <x14:dataValidations xmlns:xm="http://schemas.microsoft.com/office/excel/2006/main" count="1">
        <x14:dataValidation type="list" allowBlank="1" showInputMessage="1" showErrorMessage="1" xr:uid="{00000000-0002-0000-0200-000000000000}">
          <x14:formula1>
            <xm:f>Supuestos!$B$70:$B$71</xm:f>
          </x14:formula1>
          <xm:sqref>C6</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6">
    <tabColor theme="6"/>
  </sheetPr>
  <dimension ref="C13"/>
  <sheetViews>
    <sheetView showGridLines="0" workbookViewId="0"/>
  </sheetViews>
  <sheetFormatPr baseColWidth="10" defaultColWidth="8.81640625" defaultRowHeight="12.5" x14ac:dyDescent="0.25"/>
  <cols>
    <col min="1" max="16384" width="8.81640625" style="8"/>
  </cols>
  <sheetData>
    <row r="13" spans="3:3" ht="28" x14ac:dyDescent="0.6">
      <c r="C13" s="7" t="s">
        <v>88</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7">
    <tabColor theme="5" tint="0.39997558519241921"/>
  </sheetPr>
  <dimension ref="B1:AC27"/>
  <sheetViews>
    <sheetView showGridLines="0" topLeftCell="S9" zoomScale="70" zoomScaleNormal="70" workbookViewId="0">
      <selection activeCell="A23" sqref="A23"/>
    </sheetView>
  </sheetViews>
  <sheetFormatPr baseColWidth="10" defaultColWidth="8.81640625" defaultRowHeight="12.5" x14ac:dyDescent="0.25"/>
  <cols>
    <col min="1" max="1" width="1.81640625" style="5" customWidth="1"/>
    <col min="2" max="2" width="8.81640625" style="5"/>
    <col min="3" max="3" width="47.1796875" style="5" customWidth="1"/>
    <col min="4" max="4" width="22.81640625" style="5" customWidth="1"/>
    <col min="5" max="5" width="20.81640625" style="5" customWidth="1"/>
    <col min="6" max="6" width="21.1796875" style="5" customWidth="1"/>
    <col min="7" max="17" width="16.453125" style="5" customWidth="1"/>
    <col min="18" max="29" width="18.453125" style="5" customWidth="1"/>
    <col min="30" max="16384" width="8.81640625" style="5"/>
  </cols>
  <sheetData>
    <row r="1" spans="2:29" s="427" customFormat="1" ht="20" x14ac:dyDescent="0.4">
      <c r="B1" s="427" t="s">
        <v>89</v>
      </c>
    </row>
    <row r="3" spans="2:29" ht="20.149999999999999" customHeight="1" x14ac:dyDescent="0.25">
      <c r="C3" s="14" t="s">
        <v>90</v>
      </c>
    </row>
    <row r="5" spans="2:29" ht="13" x14ac:dyDescent="0.3">
      <c r="C5" s="16" t="s">
        <v>63</v>
      </c>
      <c r="D5" s="88" t="s">
        <v>64</v>
      </c>
      <c r="E5" s="71"/>
      <c r="F5" s="88" t="s">
        <v>65</v>
      </c>
    </row>
    <row r="6" spans="2:29" x14ac:dyDescent="0.25">
      <c r="C6"/>
      <c r="D6" s="85">
        <f>Supuestos!$C$5</f>
        <v>45658</v>
      </c>
      <c r="E6" s="90"/>
      <c r="F6" s="85">
        <f>Supuestos!$C$6</f>
        <v>45747</v>
      </c>
    </row>
    <row r="7" spans="2:29" x14ac:dyDescent="0.25">
      <c r="C7"/>
    </row>
    <row r="8" spans="2:29" ht="30" customHeight="1" x14ac:dyDescent="0.25">
      <c r="C8" s="498" t="s">
        <v>91</v>
      </c>
      <c r="D8" s="499"/>
      <c r="E8" s="499"/>
      <c r="F8" s="500"/>
    </row>
    <row r="10" spans="2:29" s="18" customFormat="1" ht="15.65" customHeight="1" x14ac:dyDescent="0.25">
      <c r="B10" s="18" t="s">
        <v>8</v>
      </c>
    </row>
    <row r="11" spans="2:29" x14ac:dyDescent="0.25">
      <c r="G11" s="495" t="s">
        <v>92</v>
      </c>
      <c r="H11" s="496"/>
      <c r="I11" s="497"/>
      <c r="J11" s="495" t="s">
        <v>93</v>
      </c>
      <c r="K11" s="496"/>
      <c r="L11" s="497"/>
      <c r="M11" s="495" t="s">
        <v>94</v>
      </c>
      <c r="N11" s="497"/>
      <c r="O11" s="495" t="s">
        <v>95</v>
      </c>
      <c r="P11" s="496"/>
      <c r="Q11" s="496"/>
      <c r="R11" s="496"/>
      <c r="S11" s="496"/>
      <c r="T11" s="496"/>
      <c r="U11" s="496"/>
      <c r="V11" s="496"/>
      <c r="W11" s="496"/>
      <c r="X11" s="497"/>
      <c r="Y11" s="495" t="s">
        <v>96</v>
      </c>
      <c r="Z11" s="496"/>
      <c r="AA11" s="496"/>
      <c r="AB11" s="496"/>
      <c r="AC11" s="497"/>
    </row>
    <row r="12" spans="2:29" ht="43.4" customHeight="1" x14ac:dyDescent="0.25">
      <c r="C12" s="40" t="s">
        <v>84</v>
      </c>
      <c r="D12" s="23" t="str">
        <f>Supuestos!B$75</f>
        <v>Todos los segmentos</v>
      </c>
      <c r="E12" s="23" t="str">
        <f>Supuestos!B$76</f>
        <v>Segmento Prepago</v>
      </c>
      <c r="F12" s="23" t="str">
        <f>Supuestos!B$77</f>
        <v>Segmento Pospago</v>
      </c>
      <c r="G12" s="23" t="str">
        <f>Supuestos!B$78</f>
        <v>Telcel Prepago 1</v>
      </c>
      <c r="H12" s="23" t="str">
        <f>Supuestos!B$79</f>
        <v>Telcel Prepago 2</v>
      </c>
      <c r="I12" s="23" t="str">
        <f>Supuestos!B$80</f>
        <v>Telcel Prepago 3</v>
      </c>
      <c r="J12" s="23" t="str">
        <f>Supuestos!B$91</f>
        <v>Monto 1</v>
      </c>
      <c r="K12" s="23" t="str">
        <f>Supuestos!B$92</f>
        <v>Monto 2</v>
      </c>
      <c r="L12" s="23" t="str">
        <f>Supuestos!B$93</f>
        <v>Monto 3</v>
      </c>
      <c r="M12" s="23" t="str">
        <f>Supuestos!B$94</f>
        <v>Portabilidad 1</v>
      </c>
      <c r="N12" s="23" t="str">
        <f>Supuestos!B$95</f>
        <v>Portabilidad 2</v>
      </c>
      <c r="O12" s="23" t="str">
        <f>Supuestos!B$81</f>
        <v>Telcel Pospago 1</v>
      </c>
      <c r="P12" s="23" t="str">
        <f>Supuestos!B$82</f>
        <v>Telcel Pospago 5</v>
      </c>
      <c r="Q12" s="23" t="str">
        <f>Supuestos!B$83</f>
        <v>Telcel Pospago 3</v>
      </c>
      <c r="R12" s="23" t="str">
        <f>Supuestos!B$84</f>
        <v>Telcel Pospago 4</v>
      </c>
      <c r="S12" s="23" t="str">
        <f>Supuestos!B$85</f>
        <v>Telcel Pospago 2</v>
      </c>
      <c r="T12" s="23" t="str">
        <f>Supuestos!B$86</f>
        <v>Telcel Pospago 6</v>
      </c>
      <c r="U12" s="23" t="str">
        <f>Supuestos!B$87</f>
        <v>Telcel Pospago 7</v>
      </c>
      <c r="V12" s="23" t="str">
        <f>Supuestos!B$88</f>
        <v>Telcel Pospago 9</v>
      </c>
      <c r="W12" s="23" t="str">
        <f>Supuestos!B$89</f>
        <v>Telcel Pospago 8</v>
      </c>
      <c r="X12" s="23" t="str">
        <f>Supuestos!B$90</f>
        <v>Telcel Pospago 19</v>
      </c>
      <c r="Y12" s="23" t="str">
        <f>Supuestos!B$96</f>
        <v>Telcel Pospago 22</v>
      </c>
      <c r="Z12" s="23" t="str">
        <f>Supuestos!B$97</f>
        <v>Telcel Pospago 23</v>
      </c>
      <c r="AA12" s="23" t="str">
        <f>Supuestos!B$98</f>
        <v>Telcel Pospago 24</v>
      </c>
      <c r="AB12" s="23" t="str">
        <f>Supuestos!B$99</f>
        <v>Telcel Pospago 25</v>
      </c>
      <c r="AC12" s="23" t="str">
        <f>Supuestos!B$100</f>
        <v>Telcel Pospago 26</v>
      </c>
    </row>
    <row r="13" spans="2:29" x14ac:dyDescent="0.25">
      <c r="C13" s="5" t="str">
        <f>'Informacion del AEP'!$C13</f>
        <v>Pago recurrente</v>
      </c>
      <c r="D13" s="442">
        <f>INDEX('Informacion del AEP'!$D$13:$AE$22,MATCH('Ingresos minoristas'!$C13,'Informacion del AEP'!$C$13:$C$22,0),MATCH('Ingresos minoristas'!D$12,'Informacion del AEP'!$D$11:$AE$11,0))</f>
        <v>20000000</v>
      </c>
      <c r="E13" s="442">
        <f>INDEX('Informacion del AEP'!$D$13:$AE$22,MATCH('Ingresos minoristas'!$C13,'Informacion del AEP'!$C$13:$C$22,0),MATCH('Ingresos minoristas'!E$12,'Informacion del AEP'!$D$11:$AE$11,0))</f>
        <v>0</v>
      </c>
      <c r="F13" s="442">
        <f>INDEX('Informacion del AEP'!$D$13:$AE$22,MATCH('Ingresos minoristas'!$C13,'Informacion del AEP'!$C$13:$C$22,0),MATCH('Ingresos minoristas'!F$12,'Informacion del AEP'!$D$11:$AE$11,0))</f>
        <v>20000000</v>
      </c>
      <c r="G13" s="442">
        <f>INDEX('Informacion del AEP'!$D$13:$AE$22,MATCH('Ingresos minoristas'!$C13,'Informacion del AEP'!$C$13:$C$22,0),MATCH('Ingresos minoristas'!G$12,'Informacion del AEP'!$D$11:$AE$11,0))</f>
        <v>0</v>
      </c>
      <c r="H13" s="442">
        <f>INDEX('Informacion del AEP'!$D$13:$AE$22,MATCH('Ingresos minoristas'!$C13,'Informacion del AEP'!$C$13:$C$22,0),MATCH('Ingresos minoristas'!H$12,'Informacion del AEP'!$D$11:$AE$11,0))</f>
        <v>0</v>
      </c>
      <c r="I13" s="442">
        <f>INDEX('Informacion del AEP'!$D$13:$AE$22,MATCH('Ingresos minoristas'!$C13,'Informacion del AEP'!$C$13:$C$22,0),MATCH('Ingresos minoristas'!I$12,'Informacion del AEP'!$D$11:$AE$11,0))</f>
        <v>0</v>
      </c>
      <c r="J13" s="442">
        <f>INDEX('Informacion del AEP'!$D$13:$AE$22,MATCH('Ingresos minoristas'!$C13,'Informacion del AEP'!$C$13:$C$22,0),MATCH('Ingresos minoristas'!J$12,'Informacion del AEP'!$D$11:$AE$11,0))</f>
        <v>0</v>
      </c>
      <c r="K13" s="442">
        <f>INDEX('Informacion del AEP'!$D$13:$AE$22,MATCH('Ingresos minoristas'!$C13,'Informacion del AEP'!$C$13:$C$22,0),MATCH('Ingresos minoristas'!K$12,'Informacion del AEP'!$D$11:$AE$11,0))</f>
        <v>0</v>
      </c>
      <c r="L13" s="442">
        <f>INDEX('Informacion del AEP'!$D$13:$AE$22,MATCH('Ingresos minoristas'!$C13,'Informacion del AEP'!$C$13:$C$22,0),MATCH('Ingresos minoristas'!L$12,'Informacion del AEP'!$D$11:$AE$11,0))</f>
        <v>0</v>
      </c>
      <c r="M13" s="442">
        <f>INDEX('Informacion del AEP'!$D$13:$AE$22,MATCH('Ingresos minoristas'!$C13,'Informacion del AEP'!$C$13:$C$22,0),MATCH('Ingresos minoristas'!M$12,'Informacion del AEP'!$D$11:$AE$11,0))</f>
        <v>0</v>
      </c>
      <c r="N13" s="442">
        <f>INDEX('Informacion del AEP'!$D$13:$AE$22,MATCH('Ingresos minoristas'!$C13,'Informacion del AEP'!$C$13:$C$22,0),MATCH('Ingresos minoristas'!N$12,'Informacion del AEP'!$D$11:$AE$11,0))</f>
        <v>0</v>
      </c>
      <c r="O13" s="442">
        <f>INDEX('Informacion del AEP'!$D$13:$AE$22,MATCH('Ingresos minoristas'!$C13,'Informacion del AEP'!$C$13:$C$22,0),MATCH('Ingresos minoristas'!O$12,'Informacion del AEP'!$D$11:$AE$11,0))</f>
        <v>6666666.666666667</v>
      </c>
      <c r="P13" s="442">
        <f>INDEX('Informacion del AEP'!$D$13:$AE$22,MATCH('Ingresos minoristas'!$C13,'Informacion del AEP'!$C$13:$C$22,0),MATCH('Ingresos minoristas'!P$12,'Informacion del AEP'!$D$11:$AE$11,0))</f>
        <v>6666666.666666667</v>
      </c>
      <c r="Q13" s="442">
        <f>INDEX('Informacion del AEP'!$D$13:$AE$22,MATCH('Ingresos minoristas'!$C13,'Informacion del AEP'!$C$13:$C$22,0),MATCH('Ingresos minoristas'!Q$12,'Informacion del AEP'!$D$11:$AE$11,0))</f>
        <v>6666666.666666667</v>
      </c>
      <c r="R13" s="442">
        <f>INDEX('Informacion del AEP'!$D$13:$AE$22,MATCH('Ingresos minoristas'!$C13,'Informacion del AEP'!$C$13:$C$22,0),MATCH('Ingresos minoristas'!R$12,'Informacion del AEP'!$D$11:$AE$11,0))</f>
        <v>6666666.666666667</v>
      </c>
      <c r="S13" s="442">
        <f>INDEX('Informacion del AEP'!$D$13:$AE$22,MATCH('Ingresos minoristas'!$C13,'Informacion del AEP'!$C$13:$C$22,0),MATCH('Ingresos minoristas'!S$12,'Informacion del AEP'!$D$11:$AE$11,0))</f>
        <v>6666666.666666667</v>
      </c>
      <c r="T13" s="442">
        <f>INDEX('Informacion del AEP'!$D$13:$AE$22,MATCH('Ingresos minoristas'!$C13,'Informacion del AEP'!$C$13:$C$22,0),MATCH('Ingresos minoristas'!T$12,'Informacion del AEP'!$D$11:$AE$11,0))</f>
        <v>6666666.666666667</v>
      </c>
      <c r="U13" s="442">
        <f>INDEX('Informacion del AEP'!$D$13:$AE$22,MATCH('Ingresos minoristas'!$C13,'Informacion del AEP'!$C$13:$C$22,0),MATCH('Ingresos minoristas'!U$12,'Informacion del AEP'!$D$11:$AE$11,0))</f>
        <v>6666666.666666667</v>
      </c>
      <c r="V13" s="442">
        <f>INDEX('Informacion del AEP'!$D$13:$AE$22,MATCH('Ingresos minoristas'!$C13,'Informacion del AEP'!$C$13:$C$22,0),MATCH('Ingresos minoristas'!V$12,'Informacion del AEP'!$D$11:$AE$11,0))</f>
        <v>6666666.666666667</v>
      </c>
      <c r="W13" s="442">
        <f>INDEX('Informacion del AEP'!$D$13:$AE$22,MATCH('Ingresos minoristas'!$C13,'Informacion del AEP'!$C$13:$C$22,0),MATCH('Ingresos minoristas'!W$12,'Informacion del AEP'!$D$11:$AE$11,0))</f>
        <v>6666666.666666667</v>
      </c>
      <c r="X13" s="442">
        <f>INDEX('Informacion del AEP'!$D$13:$AE$22,MATCH('Ingresos minoristas'!$C13,'Informacion del AEP'!$C$13:$C$22,0),MATCH('Ingresos minoristas'!X$12,'Informacion del AEP'!$D$11:$AE$11,0))</f>
        <v>6666666.666666667</v>
      </c>
      <c r="Y13" s="442">
        <f>INDEX('Informacion del AEP'!$D$13:$AE$22,MATCH('Ingresos minoristas'!$C13,'Informacion del AEP'!$C$13:$C$22,0),MATCH('Ingresos minoristas'!Y$12,'Informacion del AEP'!$D$11:$AE$11,0))</f>
        <v>6666666.666666667</v>
      </c>
      <c r="Z13" s="442">
        <f>INDEX('Informacion del AEP'!$D$13:$AE$22,MATCH('Ingresos minoristas'!$C13,'Informacion del AEP'!$C$13:$C$22,0),MATCH('Ingresos minoristas'!Z$12,'Informacion del AEP'!$D$11:$AE$11,0))</f>
        <v>6666666.666666667</v>
      </c>
      <c r="AA13" s="442">
        <f>INDEX('Informacion del AEP'!$D$13:$AE$22,MATCH('Ingresos minoristas'!$C13,'Informacion del AEP'!$C$13:$C$22,0),MATCH('Ingresos minoristas'!AA$12,'Informacion del AEP'!$D$11:$AE$11,0))</f>
        <v>6666666.666666667</v>
      </c>
      <c r="AB13" s="442">
        <f>INDEX('Informacion del AEP'!$D$13:$AE$22,MATCH('Ingresos minoristas'!$C13,'Informacion del AEP'!$C$13:$C$22,0),MATCH('Ingresos minoristas'!AB$12,'Informacion del AEP'!$D$11:$AE$11,0))</f>
        <v>6666666.666666667</v>
      </c>
      <c r="AC13" s="442">
        <f>INDEX('Informacion del AEP'!$D$13:$AE$22,MATCH('Ingresos minoristas'!$C13,'Informacion del AEP'!$C$13:$C$22,0),MATCH('Ingresos minoristas'!AC$12,'Informacion del AEP'!$D$11:$AE$11,0))</f>
        <v>6666666.666666667</v>
      </c>
    </row>
    <row r="14" spans="2:29" x14ac:dyDescent="0.25">
      <c r="C14" s="5" t="s">
        <v>97</v>
      </c>
      <c r="D14" s="442">
        <f>INDEX('Informacion del AEP'!$D$13:$AE$22,MATCH('Ingresos minoristas'!$C14,'Informacion del AEP'!$C$13:$C$22,0),MATCH('Ingresos minoristas'!D$12,'Informacion del AEP'!$D$11:$AE$11,0))</f>
        <v>4500000000</v>
      </c>
      <c r="E14" s="442">
        <f>INDEX('Informacion del AEP'!$D$13:$AE$22,MATCH('Ingresos minoristas'!$C14,'Informacion del AEP'!$C$13:$C$22,0),MATCH('Ingresos minoristas'!E$12,'Informacion del AEP'!$D$11:$AE$11,0))</f>
        <v>2500000000</v>
      </c>
      <c r="F14" s="442">
        <f>INDEX('Informacion del AEP'!$D$13:$AE$22,MATCH('Ingresos minoristas'!$C14,'Informacion del AEP'!$C$13:$C$22,0),MATCH('Ingresos minoristas'!F$12,'Informacion del AEP'!$D$11:$AE$11,0))</f>
        <v>2000000000</v>
      </c>
      <c r="G14" s="442">
        <f>INDEX('Informacion del AEP'!$D$13:$AE$22,MATCH('Ingresos minoristas'!$C14,'Informacion del AEP'!$C$13:$C$22,0),MATCH('Ingresos minoristas'!G$12,'Informacion del AEP'!$D$11:$AE$11,0))</f>
        <v>1000000000</v>
      </c>
      <c r="H14" s="442">
        <f>INDEX('Informacion del AEP'!$D$13:$AE$22,MATCH('Ingresos minoristas'!$C14,'Informacion del AEP'!$C$13:$C$22,0),MATCH('Ingresos minoristas'!H$12,'Informacion del AEP'!$D$11:$AE$11,0))</f>
        <v>1000000000</v>
      </c>
      <c r="I14" s="442">
        <f>INDEX('Informacion del AEP'!$D$13:$AE$22,MATCH('Ingresos minoristas'!$C14,'Informacion del AEP'!$C$13:$C$22,0),MATCH('Ingresos minoristas'!I$12,'Informacion del AEP'!$D$11:$AE$11,0))</f>
        <v>1000000000</v>
      </c>
      <c r="J14" s="442">
        <f>INDEX('Informacion del AEP'!$D$13:$AE$22,MATCH('Ingresos minoristas'!$C14,'Informacion del AEP'!$C$13:$C$22,0),MATCH('Ingresos minoristas'!J$12,'Informacion del AEP'!$D$11:$AE$11,0))</f>
        <v>1000000000</v>
      </c>
      <c r="K14" s="442">
        <f>INDEX('Informacion del AEP'!$D$13:$AE$22,MATCH('Ingresos minoristas'!$C14,'Informacion del AEP'!$C$13:$C$22,0),MATCH('Ingresos minoristas'!K$12,'Informacion del AEP'!$D$11:$AE$11,0))</f>
        <v>1000000000</v>
      </c>
      <c r="L14" s="442">
        <f>INDEX('Informacion del AEP'!$D$13:$AE$22,MATCH('Ingresos minoristas'!$C14,'Informacion del AEP'!$C$13:$C$22,0),MATCH('Ingresos minoristas'!L$12,'Informacion del AEP'!$D$11:$AE$11,0))</f>
        <v>500000000</v>
      </c>
      <c r="M14" s="442">
        <f>INDEX('Informacion del AEP'!$D$13:$AE$22,MATCH('Ingresos minoristas'!$C14,'Informacion del AEP'!$C$13:$C$22,0),MATCH('Ingresos minoristas'!M$12,'Informacion del AEP'!$D$11:$AE$11,0))</f>
        <v>120000000</v>
      </c>
      <c r="N14" s="442">
        <f>INDEX('Informacion del AEP'!$D$13:$AE$22,MATCH('Ingresos minoristas'!$C14,'Informacion del AEP'!$C$13:$C$22,0),MATCH('Ingresos minoristas'!N$12,'Informacion del AEP'!$D$11:$AE$11,0))</f>
        <v>90000000</v>
      </c>
      <c r="O14" s="442">
        <f>INDEX('Informacion del AEP'!$D$13:$AE$22,MATCH('Ingresos minoristas'!$C14,'Informacion del AEP'!$C$13:$C$22,0),MATCH('Ingresos minoristas'!O$12,'Informacion del AEP'!$D$11:$AE$11,0))</f>
        <v>300000000</v>
      </c>
      <c r="P14" s="442">
        <f>INDEX('Informacion del AEP'!$D$13:$AE$22,MATCH('Ingresos minoristas'!$C14,'Informacion del AEP'!$C$13:$C$22,0),MATCH('Ingresos minoristas'!P$12,'Informacion del AEP'!$D$11:$AE$11,0))</f>
        <v>100000000</v>
      </c>
      <c r="Q14" s="442">
        <f>INDEX('Informacion del AEP'!$D$13:$AE$22,MATCH('Ingresos minoristas'!$C14,'Informacion del AEP'!$C$13:$C$22,0),MATCH('Ingresos minoristas'!Q$12,'Informacion del AEP'!$D$11:$AE$11,0))</f>
        <v>100000000</v>
      </c>
      <c r="R14" s="442">
        <f>INDEX('Informacion del AEP'!$D$13:$AE$22,MATCH('Ingresos minoristas'!$C14,'Informacion del AEP'!$C$13:$C$22,0),MATCH('Ingresos minoristas'!R$12,'Informacion del AEP'!$D$11:$AE$11,0))</f>
        <v>0</v>
      </c>
      <c r="S14" s="442">
        <f>INDEX('Informacion del AEP'!$D$13:$AE$22,MATCH('Ingresos minoristas'!$C14,'Informacion del AEP'!$C$13:$C$22,0),MATCH('Ingresos minoristas'!S$12,'Informacion del AEP'!$D$11:$AE$11,0))</f>
        <v>0</v>
      </c>
      <c r="T14" s="442">
        <f>INDEX('Informacion del AEP'!$D$13:$AE$22,MATCH('Ingresos minoristas'!$C14,'Informacion del AEP'!$C$13:$C$22,0),MATCH('Ingresos minoristas'!T$12,'Informacion del AEP'!$D$11:$AE$11,0))</f>
        <v>0</v>
      </c>
      <c r="U14" s="442">
        <f>INDEX('Informacion del AEP'!$D$13:$AE$22,MATCH('Ingresos minoristas'!$C14,'Informacion del AEP'!$C$13:$C$22,0),MATCH('Ingresos minoristas'!U$12,'Informacion del AEP'!$D$11:$AE$11,0))</f>
        <v>0</v>
      </c>
      <c r="V14" s="442">
        <f>INDEX('Informacion del AEP'!$D$13:$AE$22,MATCH('Ingresos minoristas'!$C14,'Informacion del AEP'!$C$13:$C$22,0),MATCH('Ingresos minoristas'!V$12,'Informacion del AEP'!$D$11:$AE$11,0))</f>
        <v>0</v>
      </c>
      <c r="W14" s="442">
        <f>INDEX('Informacion del AEP'!$D$13:$AE$22,MATCH('Ingresos minoristas'!$C14,'Informacion del AEP'!$C$13:$C$22,0),MATCH('Ingresos minoristas'!W$12,'Informacion del AEP'!$D$11:$AE$11,0))</f>
        <v>0</v>
      </c>
      <c r="X14" s="442">
        <f>INDEX('Informacion del AEP'!$D$13:$AE$22,MATCH('Ingresos minoristas'!$C14,'Informacion del AEP'!$C$13:$C$22,0),MATCH('Ingresos minoristas'!X$12,'Informacion del AEP'!$D$11:$AE$11,0))</f>
        <v>0</v>
      </c>
      <c r="Y14" s="442">
        <f>INDEX('Informacion del AEP'!$D$13:$AE$22,MATCH('Ingresos minoristas'!$C14,'Informacion del AEP'!$C$13:$C$22,0),MATCH('Ingresos minoristas'!Y$12,'Informacion del AEP'!$D$11:$AE$11,0))</f>
        <v>0</v>
      </c>
      <c r="Z14" s="442">
        <f>INDEX('Informacion del AEP'!$D$13:$AE$22,MATCH('Ingresos minoristas'!$C14,'Informacion del AEP'!$C$13:$C$22,0),MATCH('Ingresos minoristas'!Z$12,'Informacion del AEP'!$D$11:$AE$11,0))</f>
        <v>0</v>
      </c>
      <c r="AA14" s="442">
        <f>INDEX('Informacion del AEP'!$D$13:$AE$22,MATCH('Ingresos minoristas'!$C14,'Informacion del AEP'!$C$13:$C$22,0),MATCH('Ingresos minoristas'!AA$12,'Informacion del AEP'!$D$11:$AE$11,0))</f>
        <v>0</v>
      </c>
      <c r="AB14" s="442">
        <f>INDEX('Informacion del AEP'!$D$13:$AE$22,MATCH('Ingresos minoristas'!$C14,'Informacion del AEP'!$C$13:$C$22,0),MATCH('Ingresos minoristas'!AB$12,'Informacion del AEP'!$D$11:$AE$11,0))</f>
        <v>0</v>
      </c>
      <c r="AC14" s="442">
        <f>INDEX('Informacion del AEP'!$D$13:$AE$22,MATCH('Ingresos minoristas'!$C14,'Informacion del AEP'!$C$13:$C$22,0),MATCH('Ingresos minoristas'!AC$12,'Informacion del AEP'!$D$11:$AE$11,0))</f>
        <v>0</v>
      </c>
    </row>
    <row r="15" spans="2:29" x14ac:dyDescent="0.25">
      <c r="C15" s="5" t="s">
        <v>98</v>
      </c>
      <c r="D15" s="442">
        <f>INDEX('Informacion del AEP'!$D$13:$AE$22,MATCH('Ingresos minoristas'!$C15,'Informacion del AEP'!$C$13:$C$22,0),MATCH('Ingresos minoristas'!D$12,'Informacion del AEP'!$D$11:$AE$11,0))</f>
        <v>2250000000</v>
      </c>
      <c r="E15" s="442">
        <f>INDEX('Informacion del AEP'!$D$13:$AE$22,MATCH('Ingresos minoristas'!$C15,'Informacion del AEP'!$C$13:$C$22,0),MATCH('Ingresos minoristas'!E$12,'Informacion del AEP'!$D$11:$AE$11,0))</f>
        <v>1250000000</v>
      </c>
      <c r="F15" s="442">
        <f>INDEX('Informacion del AEP'!$D$13:$AE$22,MATCH('Ingresos minoristas'!$C15,'Informacion del AEP'!$C$13:$C$22,0),MATCH('Ingresos minoristas'!F$12,'Informacion del AEP'!$D$11:$AE$11,0))</f>
        <v>1000000000</v>
      </c>
      <c r="G15" s="442">
        <f>INDEX('Informacion del AEP'!$D$13:$AE$22,MATCH('Ingresos minoristas'!$C15,'Informacion del AEP'!$C$13:$C$22,0),MATCH('Ingresos minoristas'!G$12,'Informacion del AEP'!$D$11:$AE$11,0))</f>
        <v>500000000</v>
      </c>
      <c r="H15" s="442">
        <f>INDEX('Informacion del AEP'!$D$13:$AE$22,MATCH('Ingresos minoristas'!$C15,'Informacion del AEP'!$C$13:$C$22,0),MATCH('Ingresos minoristas'!H$12,'Informacion del AEP'!$D$11:$AE$11,0))</f>
        <v>500000000</v>
      </c>
      <c r="I15" s="442">
        <f>INDEX('Informacion del AEP'!$D$13:$AE$22,MATCH('Ingresos minoristas'!$C15,'Informacion del AEP'!$C$13:$C$22,0),MATCH('Ingresos minoristas'!I$12,'Informacion del AEP'!$D$11:$AE$11,0))</f>
        <v>500000000</v>
      </c>
      <c r="J15" s="442">
        <f>INDEX('Informacion del AEP'!$D$13:$AE$22,MATCH('Ingresos minoristas'!$C15,'Informacion del AEP'!$C$13:$C$22,0),MATCH('Ingresos minoristas'!J$12,'Informacion del AEP'!$D$11:$AE$11,0))</f>
        <v>500000000</v>
      </c>
      <c r="K15" s="442">
        <f>INDEX('Informacion del AEP'!$D$13:$AE$22,MATCH('Ingresos minoristas'!$C15,'Informacion del AEP'!$C$13:$C$22,0),MATCH('Ingresos minoristas'!K$12,'Informacion del AEP'!$D$11:$AE$11,0))</f>
        <v>200000000</v>
      </c>
      <c r="L15" s="442">
        <f>INDEX('Informacion del AEP'!$D$13:$AE$22,MATCH('Ingresos minoristas'!$C15,'Informacion del AEP'!$C$13:$C$22,0),MATCH('Ingresos minoristas'!L$12,'Informacion del AEP'!$D$11:$AE$11,0))</f>
        <v>500000000</v>
      </c>
      <c r="M15" s="442">
        <f>INDEX('Informacion del AEP'!$D$13:$AE$22,MATCH('Ingresos minoristas'!$C15,'Informacion del AEP'!$C$13:$C$22,0),MATCH('Ingresos minoristas'!M$12,'Informacion del AEP'!$D$11:$AE$11,0))</f>
        <v>120000000</v>
      </c>
      <c r="N15" s="442">
        <f>INDEX('Informacion del AEP'!$D$13:$AE$22,MATCH('Ingresos minoristas'!$C15,'Informacion del AEP'!$C$13:$C$22,0),MATCH('Ingresos minoristas'!N$12,'Informacion del AEP'!$D$11:$AE$11,0))</f>
        <v>100000000</v>
      </c>
      <c r="O15" s="442">
        <f>INDEX('Informacion del AEP'!$D$13:$AE$22,MATCH('Ingresos minoristas'!$C15,'Informacion del AEP'!$C$13:$C$22,0),MATCH('Ingresos minoristas'!O$12,'Informacion del AEP'!$D$11:$AE$11,0))</f>
        <v>0</v>
      </c>
      <c r="P15" s="442">
        <f>INDEX('Informacion del AEP'!$D$13:$AE$22,MATCH('Ingresos minoristas'!$C15,'Informacion del AEP'!$C$13:$C$22,0),MATCH('Ingresos minoristas'!P$12,'Informacion del AEP'!$D$11:$AE$11,0))</f>
        <v>0</v>
      </c>
      <c r="Q15" s="442">
        <f>INDEX('Informacion del AEP'!$D$13:$AE$22,MATCH('Ingresos minoristas'!$C15,'Informacion del AEP'!$C$13:$C$22,0),MATCH('Ingresos minoristas'!Q$12,'Informacion del AEP'!$D$11:$AE$11,0))</f>
        <v>0</v>
      </c>
      <c r="R15" s="442">
        <f>INDEX('Informacion del AEP'!$D$13:$AE$22,MATCH('Ingresos minoristas'!$C15,'Informacion del AEP'!$C$13:$C$22,0),MATCH('Ingresos minoristas'!R$12,'Informacion del AEP'!$D$11:$AE$11,0))</f>
        <v>100000000</v>
      </c>
      <c r="S15" s="442">
        <f>INDEX('Informacion del AEP'!$D$13:$AE$22,MATCH('Ingresos minoristas'!$C15,'Informacion del AEP'!$C$13:$C$22,0),MATCH('Ingresos minoristas'!S$12,'Informacion del AEP'!$D$11:$AE$11,0))</f>
        <v>100000000</v>
      </c>
      <c r="T15" s="442">
        <f>INDEX('Informacion del AEP'!$D$13:$AE$22,MATCH('Ingresos minoristas'!$C15,'Informacion del AEP'!$C$13:$C$22,0),MATCH('Ingresos minoristas'!T$12,'Informacion del AEP'!$D$11:$AE$11,0))</f>
        <v>100000000</v>
      </c>
      <c r="U15" s="442">
        <f>INDEX('Informacion del AEP'!$D$13:$AE$22,MATCH('Ingresos minoristas'!$C15,'Informacion del AEP'!$C$13:$C$22,0),MATCH('Ingresos minoristas'!U$12,'Informacion del AEP'!$D$11:$AE$11,0))</f>
        <v>100000000</v>
      </c>
      <c r="V15" s="442">
        <f>INDEX('Informacion del AEP'!$D$13:$AE$22,MATCH('Ingresos minoristas'!$C15,'Informacion del AEP'!$C$13:$C$22,0),MATCH('Ingresos minoristas'!V$12,'Informacion del AEP'!$D$11:$AE$11,0))</f>
        <v>100000000</v>
      </c>
      <c r="W15" s="442">
        <f>INDEX('Informacion del AEP'!$D$13:$AE$22,MATCH('Ingresos minoristas'!$C15,'Informacion del AEP'!$C$13:$C$22,0),MATCH('Ingresos minoristas'!W$12,'Informacion del AEP'!$D$11:$AE$11,0))</f>
        <v>100000000</v>
      </c>
      <c r="X15" s="442">
        <f>INDEX('Informacion del AEP'!$D$13:$AE$22,MATCH('Ingresos minoristas'!$C15,'Informacion del AEP'!$C$13:$C$22,0),MATCH('Ingresos minoristas'!X$12,'Informacion del AEP'!$D$11:$AE$11,0))</f>
        <v>100000000</v>
      </c>
      <c r="Y15" s="442">
        <f>INDEX('Informacion del AEP'!$D$13:$AE$22,MATCH('Ingresos minoristas'!$C15,'Informacion del AEP'!$C$13:$C$22,0),MATCH('Ingresos minoristas'!Y$12,'Informacion del AEP'!$D$11:$AE$11,0))</f>
        <v>100000000</v>
      </c>
      <c r="Z15" s="442">
        <f>INDEX('Informacion del AEP'!$D$13:$AE$22,MATCH('Ingresos minoristas'!$C15,'Informacion del AEP'!$C$13:$C$22,0),MATCH('Ingresos minoristas'!Z$12,'Informacion del AEP'!$D$11:$AE$11,0))</f>
        <v>100000000</v>
      </c>
      <c r="AA15" s="442">
        <f>INDEX('Informacion del AEP'!$D$13:$AE$22,MATCH('Ingresos minoristas'!$C15,'Informacion del AEP'!$C$13:$C$22,0),MATCH('Ingresos minoristas'!AA$12,'Informacion del AEP'!$D$11:$AE$11,0))</f>
        <v>100000000</v>
      </c>
      <c r="AB15" s="442">
        <f>INDEX('Informacion del AEP'!$D$13:$AE$22,MATCH('Ingresos minoristas'!$C15,'Informacion del AEP'!$C$13:$C$22,0),MATCH('Ingresos minoristas'!AB$12,'Informacion del AEP'!$D$11:$AE$11,0))</f>
        <v>100000000</v>
      </c>
      <c r="AC15" s="442">
        <f>INDEX('Informacion del AEP'!$D$13:$AE$22,MATCH('Ingresos minoristas'!$C15,'Informacion del AEP'!$C$13:$C$22,0),MATCH('Ingresos minoristas'!AC$12,'Informacion del AEP'!$D$11:$AE$11,0))</f>
        <v>100000000</v>
      </c>
    </row>
    <row r="16" spans="2:29" x14ac:dyDescent="0.25">
      <c r="C16" s="5" t="str">
        <f>'Informacion del AEP'!$C16</f>
        <v>Servicio de Telefonía Móvil - voz</v>
      </c>
      <c r="D16" s="442">
        <f>INDEX('Informacion del AEP'!$D$13:$AE$22,MATCH('Ingresos minoristas'!$C16,'Informacion del AEP'!$C$13:$C$22,0),MATCH('Ingresos minoristas'!D$12,'Informacion del AEP'!$D$11:$AE$11,0))</f>
        <v>1080000000</v>
      </c>
      <c r="E16" s="442">
        <f>INDEX('Informacion del AEP'!$D$13:$AE$22,MATCH('Ingresos minoristas'!$C16,'Informacion del AEP'!$C$13:$C$22,0),MATCH('Ingresos minoristas'!E$12,'Informacion del AEP'!$D$11:$AE$11,0))</f>
        <v>1000000000</v>
      </c>
      <c r="F16" s="442">
        <f>INDEX('Informacion del AEP'!$D$13:$AE$22,MATCH('Ingresos minoristas'!$C16,'Informacion del AEP'!$C$13:$C$22,0),MATCH('Ingresos minoristas'!F$12,'Informacion del AEP'!$D$11:$AE$11,0))</f>
        <v>80000000</v>
      </c>
      <c r="G16" s="442">
        <f>INDEX('Informacion del AEP'!$D$13:$AE$22,MATCH('Ingresos minoristas'!$C16,'Informacion del AEP'!$C$13:$C$22,0),MATCH('Ingresos minoristas'!G$12,'Informacion del AEP'!$D$11:$AE$11,0))</f>
        <v>333333333.33333331</v>
      </c>
      <c r="H16" s="442">
        <f>INDEX('Informacion del AEP'!$D$13:$AE$22,MATCH('Ingresos minoristas'!$C16,'Informacion del AEP'!$C$13:$C$22,0),MATCH('Ingresos minoristas'!H$12,'Informacion del AEP'!$D$11:$AE$11,0))</f>
        <v>333333333.33333331</v>
      </c>
      <c r="I16" s="442">
        <f>INDEX('Informacion del AEP'!$D$13:$AE$22,MATCH('Ingresos minoristas'!$C16,'Informacion del AEP'!$C$13:$C$22,0),MATCH('Ingresos minoristas'!I$12,'Informacion del AEP'!$D$11:$AE$11,0))</f>
        <v>333333333.33333331</v>
      </c>
      <c r="J16" s="442">
        <f>INDEX('Informacion del AEP'!$D$13:$AE$22,MATCH('Ingresos minoristas'!$C16,'Informacion del AEP'!$C$13:$C$22,0),MATCH('Ingresos minoristas'!J$12,'Informacion del AEP'!$D$11:$AE$11,0))</f>
        <v>0</v>
      </c>
      <c r="K16" s="442">
        <f>INDEX('Informacion del AEP'!$D$13:$AE$22,MATCH('Ingresos minoristas'!$C16,'Informacion del AEP'!$C$13:$C$22,0),MATCH('Ingresos minoristas'!K$12,'Informacion del AEP'!$D$11:$AE$11,0))</f>
        <v>0</v>
      </c>
      <c r="L16" s="442">
        <f>INDEX('Informacion del AEP'!$D$13:$AE$22,MATCH('Ingresos minoristas'!$C16,'Informacion del AEP'!$C$13:$C$22,0),MATCH('Ingresos minoristas'!L$12,'Informacion del AEP'!$D$11:$AE$11,0))</f>
        <v>0</v>
      </c>
      <c r="M16" s="442">
        <f>INDEX('Informacion del AEP'!$D$13:$AE$22,MATCH('Ingresos minoristas'!$C16,'Informacion del AEP'!$C$13:$C$22,0),MATCH('Ingresos minoristas'!M$12,'Informacion del AEP'!$D$11:$AE$11,0))</f>
        <v>0</v>
      </c>
      <c r="N16" s="442">
        <f>INDEX('Informacion del AEP'!$D$13:$AE$22,MATCH('Ingresos minoristas'!$C16,'Informacion del AEP'!$C$13:$C$22,0),MATCH('Ingresos minoristas'!N$12,'Informacion del AEP'!$D$11:$AE$11,0))</f>
        <v>0</v>
      </c>
      <c r="O16" s="442">
        <f>INDEX('Informacion del AEP'!$D$13:$AE$22,MATCH('Ingresos minoristas'!$C16,'Informacion del AEP'!$C$13:$C$22,0),MATCH('Ingresos minoristas'!O$12,'Informacion del AEP'!$D$11:$AE$11,0))</f>
        <v>26666666.666666668</v>
      </c>
      <c r="P16" s="442">
        <f>INDEX('Informacion del AEP'!$D$13:$AE$22,MATCH('Ingresos minoristas'!$C16,'Informacion del AEP'!$C$13:$C$22,0),MATCH('Ingresos minoristas'!P$12,'Informacion del AEP'!$D$11:$AE$11,0))</f>
        <v>26666666.666666668</v>
      </c>
      <c r="Q16" s="442">
        <f>INDEX('Informacion del AEP'!$D$13:$AE$22,MATCH('Ingresos minoristas'!$C16,'Informacion del AEP'!$C$13:$C$22,0),MATCH('Ingresos minoristas'!Q$12,'Informacion del AEP'!$D$11:$AE$11,0))</f>
        <v>26666666.666666668</v>
      </c>
      <c r="R16" s="442">
        <f>INDEX('Informacion del AEP'!$D$13:$AE$22,MATCH('Ingresos minoristas'!$C16,'Informacion del AEP'!$C$13:$C$22,0),MATCH('Ingresos minoristas'!R$12,'Informacion del AEP'!$D$11:$AE$11,0))</f>
        <v>26666666.666666668</v>
      </c>
      <c r="S16" s="442">
        <f>INDEX('Informacion del AEP'!$D$13:$AE$22,MATCH('Ingresos minoristas'!$C16,'Informacion del AEP'!$C$13:$C$22,0),MATCH('Ingresos minoristas'!S$12,'Informacion del AEP'!$D$11:$AE$11,0))</f>
        <v>26666666.666666668</v>
      </c>
      <c r="T16" s="442">
        <f>INDEX('Informacion del AEP'!$D$13:$AE$22,MATCH('Ingresos minoristas'!$C16,'Informacion del AEP'!$C$13:$C$22,0),MATCH('Ingresos minoristas'!T$12,'Informacion del AEP'!$D$11:$AE$11,0))</f>
        <v>26666666.666666668</v>
      </c>
      <c r="U16" s="442">
        <f>INDEX('Informacion del AEP'!$D$13:$AE$22,MATCH('Ingresos minoristas'!$C16,'Informacion del AEP'!$C$13:$C$22,0),MATCH('Ingresos minoristas'!U$12,'Informacion del AEP'!$D$11:$AE$11,0))</f>
        <v>26666666.666666668</v>
      </c>
      <c r="V16" s="442">
        <f>INDEX('Informacion del AEP'!$D$13:$AE$22,MATCH('Ingresos minoristas'!$C16,'Informacion del AEP'!$C$13:$C$22,0),MATCH('Ingresos minoristas'!V$12,'Informacion del AEP'!$D$11:$AE$11,0))</f>
        <v>26666666.666666668</v>
      </c>
      <c r="W16" s="442">
        <f>INDEX('Informacion del AEP'!$D$13:$AE$22,MATCH('Ingresos minoristas'!$C16,'Informacion del AEP'!$C$13:$C$22,0),MATCH('Ingresos minoristas'!W$12,'Informacion del AEP'!$D$11:$AE$11,0))</f>
        <v>26666666.666666668</v>
      </c>
      <c r="X16" s="442">
        <f>INDEX('Informacion del AEP'!$D$13:$AE$22,MATCH('Ingresos minoristas'!$C16,'Informacion del AEP'!$C$13:$C$22,0),MATCH('Ingresos minoristas'!X$12,'Informacion del AEP'!$D$11:$AE$11,0))</f>
        <v>26666666.666666668</v>
      </c>
      <c r="Y16" s="442">
        <f>INDEX('Informacion del AEP'!$D$13:$AE$22,MATCH('Ingresos minoristas'!$C16,'Informacion del AEP'!$C$13:$C$22,0),MATCH('Ingresos minoristas'!Y$12,'Informacion del AEP'!$D$11:$AE$11,0))</f>
        <v>26666666.666666668</v>
      </c>
      <c r="Z16" s="442">
        <f>INDEX('Informacion del AEP'!$D$13:$AE$22,MATCH('Ingresos minoristas'!$C16,'Informacion del AEP'!$C$13:$C$22,0),MATCH('Ingresos minoristas'!Z$12,'Informacion del AEP'!$D$11:$AE$11,0))</f>
        <v>26666666.666666668</v>
      </c>
      <c r="AA16" s="442">
        <f>INDEX('Informacion del AEP'!$D$13:$AE$22,MATCH('Ingresos minoristas'!$C16,'Informacion del AEP'!$C$13:$C$22,0),MATCH('Ingresos minoristas'!AA$12,'Informacion del AEP'!$D$11:$AE$11,0))</f>
        <v>26666666.666666668</v>
      </c>
      <c r="AB16" s="442">
        <f>INDEX('Informacion del AEP'!$D$13:$AE$22,MATCH('Ingresos minoristas'!$C16,'Informacion del AEP'!$C$13:$C$22,0),MATCH('Ingresos minoristas'!AB$12,'Informacion del AEP'!$D$11:$AE$11,0))</f>
        <v>26666666.666666668</v>
      </c>
      <c r="AC16" s="442">
        <f>INDEX('Informacion del AEP'!$D$13:$AE$22,MATCH('Ingresos minoristas'!$C16,'Informacion del AEP'!$C$13:$C$22,0),MATCH('Ingresos minoristas'!AC$12,'Informacion del AEP'!$D$11:$AE$11,0))</f>
        <v>26666666.666666668</v>
      </c>
    </row>
    <row r="17" spans="3:29" x14ac:dyDescent="0.25">
      <c r="C17" s="5" t="str">
        <f>'Informacion del AEP'!$C17</f>
        <v>Servicio de Acceso a Internet Móvil</v>
      </c>
      <c r="D17" s="442">
        <f>INDEX('Informacion del AEP'!$D$13:$AE$22,MATCH('Ingresos minoristas'!$C17,'Informacion del AEP'!$C$13:$C$22,0),MATCH('Ingresos minoristas'!D$12,'Informacion del AEP'!$D$11:$AE$11,0))</f>
        <v>1000000000</v>
      </c>
      <c r="E17" s="442">
        <f>INDEX('Informacion del AEP'!$D$13:$AE$22,MATCH('Ingresos minoristas'!$C17,'Informacion del AEP'!$C$13:$C$22,0),MATCH('Ingresos minoristas'!E$12,'Informacion del AEP'!$D$11:$AE$11,0))</f>
        <v>500000000</v>
      </c>
      <c r="F17" s="442">
        <f>INDEX('Informacion del AEP'!$D$13:$AE$22,MATCH('Ingresos minoristas'!$C17,'Informacion del AEP'!$C$13:$C$22,0),MATCH('Ingresos minoristas'!F$12,'Informacion del AEP'!$D$11:$AE$11,0))</f>
        <v>500000000</v>
      </c>
      <c r="G17" s="442">
        <f>INDEX('Informacion del AEP'!$D$13:$AE$22,MATCH('Ingresos minoristas'!$C17,'Informacion del AEP'!$C$13:$C$22,0),MATCH('Ingresos minoristas'!G$12,'Informacion del AEP'!$D$11:$AE$11,0))</f>
        <v>333333333.33332998</v>
      </c>
      <c r="H17" s="442">
        <f>INDEX('Informacion del AEP'!$D$13:$AE$22,MATCH('Ingresos minoristas'!$C17,'Informacion del AEP'!$C$13:$C$22,0),MATCH('Ingresos minoristas'!H$12,'Informacion del AEP'!$D$11:$AE$11,0))</f>
        <v>333333333.33332998</v>
      </c>
      <c r="I17" s="442">
        <f>INDEX('Informacion del AEP'!$D$13:$AE$22,MATCH('Ingresos minoristas'!$C17,'Informacion del AEP'!$C$13:$C$22,0),MATCH('Ingresos minoristas'!I$12,'Informacion del AEP'!$D$11:$AE$11,0))</f>
        <v>333333333.33332998</v>
      </c>
      <c r="J17" s="442">
        <f>INDEX('Informacion del AEP'!$D$13:$AE$22,MATCH('Ingresos minoristas'!$C17,'Informacion del AEP'!$C$13:$C$22,0),MATCH('Ingresos minoristas'!J$12,'Informacion del AEP'!$D$11:$AE$11,0))</f>
        <v>0</v>
      </c>
      <c r="K17" s="442">
        <f>INDEX('Informacion del AEP'!$D$13:$AE$22,MATCH('Ingresos minoristas'!$C17,'Informacion del AEP'!$C$13:$C$22,0),MATCH('Ingresos minoristas'!K$12,'Informacion del AEP'!$D$11:$AE$11,0))</f>
        <v>0</v>
      </c>
      <c r="L17" s="442">
        <f>INDEX('Informacion del AEP'!$D$13:$AE$22,MATCH('Ingresos minoristas'!$C17,'Informacion del AEP'!$C$13:$C$22,0),MATCH('Ingresos minoristas'!L$12,'Informacion del AEP'!$D$11:$AE$11,0))</f>
        <v>0</v>
      </c>
      <c r="M17" s="442">
        <f>INDEX('Informacion del AEP'!$D$13:$AE$22,MATCH('Ingresos minoristas'!$C17,'Informacion del AEP'!$C$13:$C$22,0),MATCH('Ingresos minoristas'!M$12,'Informacion del AEP'!$D$11:$AE$11,0))</f>
        <v>0</v>
      </c>
      <c r="N17" s="442">
        <f>INDEX('Informacion del AEP'!$D$13:$AE$22,MATCH('Ingresos minoristas'!$C17,'Informacion del AEP'!$C$13:$C$22,0),MATCH('Ingresos minoristas'!N$12,'Informacion del AEP'!$D$11:$AE$11,0))</f>
        <v>0</v>
      </c>
      <c r="O17" s="442">
        <f>INDEX('Informacion del AEP'!$D$13:$AE$22,MATCH('Ingresos minoristas'!$C17,'Informacion del AEP'!$C$13:$C$22,0),MATCH('Ingresos minoristas'!O$12,'Informacion del AEP'!$D$11:$AE$11,0))</f>
        <v>1000000000</v>
      </c>
      <c r="P17" s="442">
        <f>INDEX('Informacion del AEP'!$D$13:$AE$22,MATCH('Ingresos minoristas'!$C17,'Informacion del AEP'!$C$13:$C$22,0),MATCH('Ingresos minoristas'!P$12,'Informacion del AEP'!$D$11:$AE$11,0))</f>
        <v>1000000000</v>
      </c>
      <c r="Q17" s="442">
        <f>INDEX('Informacion del AEP'!$D$13:$AE$22,MATCH('Ingresos minoristas'!$C17,'Informacion del AEP'!$C$13:$C$22,0),MATCH('Ingresos minoristas'!Q$12,'Informacion del AEP'!$D$11:$AE$11,0))</f>
        <v>1000000000</v>
      </c>
      <c r="R17" s="442">
        <f>INDEX('Informacion del AEP'!$D$13:$AE$22,MATCH('Ingresos minoristas'!$C17,'Informacion del AEP'!$C$13:$C$22,0),MATCH('Ingresos minoristas'!R$12,'Informacion del AEP'!$D$11:$AE$11,0))</f>
        <v>900000000</v>
      </c>
      <c r="S17" s="442">
        <f>INDEX('Informacion del AEP'!$D$13:$AE$22,MATCH('Ingresos minoristas'!$C17,'Informacion del AEP'!$C$13:$C$22,0),MATCH('Ingresos minoristas'!S$12,'Informacion del AEP'!$D$11:$AE$11,0))</f>
        <v>900000000</v>
      </c>
      <c r="T17" s="442">
        <f>INDEX('Informacion del AEP'!$D$13:$AE$22,MATCH('Ingresos minoristas'!$C17,'Informacion del AEP'!$C$13:$C$22,0),MATCH('Ingresos minoristas'!T$12,'Informacion del AEP'!$D$11:$AE$11,0))</f>
        <v>900000000</v>
      </c>
      <c r="U17" s="442">
        <f>INDEX('Informacion del AEP'!$D$13:$AE$22,MATCH('Ingresos minoristas'!$C17,'Informacion del AEP'!$C$13:$C$22,0),MATCH('Ingresos minoristas'!U$12,'Informacion del AEP'!$D$11:$AE$11,0))</f>
        <v>900000000</v>
      </c>
      <c r="V17" s="442">
        <f>INDEX('Informacion del AEP'!$D$13:$AE$22,MATCH('Ingresos minoristas'!$C17,'Informacion del AEP'!$C$13:$C$22,0),MATCH('Ingresos minoristas'!V$12,'Informacion del AEP'!$D$11:$AE$11,0))</f>
        <v>900000000</v>
      </c>
      <c r="W17" s="442">
        <f>INDEX('Informacion del AEP'!$D$13:$AE$22,MATCH('Ingresos minoristas'!$C17,'Informacion del AEP'!$C$13:$C$22,0),MATCH('Ingresos minoristas'!W$12,'Informacion del AEP'!$D$11:$AE$11,0))</f>
        <v>900000000</v>
      </c>
      <c r="X17" s="442">
        <f>INDEX('Informacion del AEP'!$D$13:$AE$22,MATCH('Ingresos minoristas'!$C17,'Informacion del AEP'!$C$13:$C$22,0),MATCH('Ingresos minoristas'!X$12,'Informacion del AEP'!$D$11:$AE$11,0))</f>
        <v>900000000</v>
      </c>
      <c r="Y17" s="442">
        <f>INDEX('Informacion del AEP'!$D$13:$AE$22,MATCH('Ingresos minoristas'!$C17,'Informacion del AEP'!$C$13:$C$22,0),MATCH('Ingresos minoristas'!Y$12,'Informacion del AEP'!$D$11:$AE$11,0))</f>
        <v>900000000</v>
      </c>
      <c r="Z17" s="442">
        <f>INDEX('Informacion del AEP'!$D$13:$AE$22,MATCH('Ingresos minoristas'!$C17,'Informacion del AEP'!$C$13:$C$22,0),MATCH('Ingresos minoristas'!Z$12,'Informacion del AEP'!$D$11:$AE$11,0))</f>
        <v>900000000</v>
      </c>
      <c r="AA17" s="442">
        <f>INDEX('Informacion del AEP'!$D$13:$AE$22,MATCH('Ingresos minoristas'!$C17,'Informacion del AEP'!$C$13:$C$22,0),MATCH('Ingresos minoristas'!AA$12,'Informacion del AEP'!$D$11:$AE$11,0))</f>
        <v>900000000</v>
      </c>
      <c r="AB17" s="442">
        <f>INDEX('Informacion del AEP'!$D$13:$AE$22,MATCH('Ingresos minoristas'!$C17,'Informacion del AEP'!$C$13:$C$22,0),MATCH('Ingresos minoristas'!AB$12,'Informacion del AEP'!$D$11:$AE$11,0))</f>
        <v>900000000</v>
      </c>
      <c r="AC17" s="442">
        <f>INDEX('Informacion del AEP'!$D$13:$AE$22,MATCH('Ingresos minoristas'!$C17,'Informacion del AEP'!$C$13:$C$22,0),MATCH('Ingresos minoristas'!AC$12,'Informacion del AEP'!$D$11:$AE$11,0))</f>
        <v>900000000</v>
      </c>
    </row>
    <row r="18" spans="3:29" x14ac:dyDescent="0.25">
      <c r="C18" s="5" t="str">
        <f>'Informacion del AEP'!$C18</f>
        <v>Servicio de Telefonía Móvil - mensajes</v>
      </c>
      <c r="D18" s="442">
        <f>INDEX('Informacion del AEP'!$D$13:$AE$22,MATCH('Ingresos minoristas'!$C18,'Informacion del AEP'!$C$13:$C$22,0),MATCH('Ingresos minoristas'!D$12,'Informacion del AEP'!$D$11:$AE$11,0))</f>
        <v>700000000</v>
      </c>
      <c r="E18" s="442">
        <f>INDEX('Informacion del AEP'!$D$13:$AE$22,MATCH('Ingresos minoristas'!$C18,'Informacion del AEP'!$C$13:$C$22,0),MATCH('Ingresos minoristas'!E$12,'Informacion del AEP'!$D$11:$AE$11,0))</f>
        <v>600000000</v>
      </c>
      <c r="F18" s="442">
        <f>INDEX('Informacion del AEP'!$D$13:$AE$22,MATCH('Ingresos minoristas'!$C18,'Informacion del AEP'!$C$13:$C$22,0),MATCH('Ingresos minoristas'!F$12,'Informacion del AEP'!$D$11:$AE$11,0))</f>
        <v>50000000</v>
      </c>
      <c r="G18" s="442">
        <f>INDEX('Informacion del AEP'!$D$13:$AE$22,MATCH('Ingresos minoristas'!$C18,'Informacion del AEP'!$C$13:$C$22,0),MATCH('Ingresos minoristas'!G$12,'Informacion del AEP'!$D$11:$AE$11,0))</f>
        <v>166666666.66666701</v>
      </c>
      <c r="H18" s="442">
        <f>INDEX('Informacion del AEP'!$D$13:$AE$22,MATCH('Ingresos minoristas'!$C18,'Informacion del AEP'!$C$13:$C$22,0),MATCH('Ingresos minoristas'!H$12,'Informacion del AEP'!$D$11:$AE$11,0))</f>
        <v>166666666.66666701</v>
      </c>
      <c r="I18" s="442">
        <f>INDEX('Informacion del AEP'!$D$13:$AE$22,MATCH('Ingresos minoristas'!$C18,'Informacion del AEP'!$C$13:$C$22,0),MATCH('Ingresos minoristas'!I$12,'Informacion del AEP'!$D$11:$AE$11,0))</f>
        <v>166666666.66666701</v>
      </c>
      <c r="J18" s="442">
        <f>INDEX('Informacion del AEP'!$D$13:$AE$22,MATCH('Ingresos minoristas'!$C18,'Informacion del AEP'!$C$13:$C$22,0),MATCH('Ingresos minoristas'!J$12,'Informacion del AEP'!$D$11:$AE$11,0))</f>
        <v>0</v>
      </c>
      <c r="K18" s="442">
        <f>INDEX('Informacion del AEP'!$D$13:$AE$22,MATCH('Ingresos minoristas'!$C18,'Informacion del AEP'!$C$13:$C$22,0),MATCH('Ingresos minoristas'!K$12,'Informacion del AEP'!$D$11:$AE$11,0))</f>
        <v>0</v>
      </c>
      <c r="L18" s="442">
        <f>INDEX('Informacion del AEP'!$D$13:$AE$22,MATCH('Ingresos minoristas'!$C18,'Informacion del AEP'!$C$13:$C$22,0),MATCH('Ingresos minoristas'!L$12,'Informacion del AEP'!$D$11:$AE$11,0))</f>
        <v>0</v>
      </c>
      <c r="M18" s="442">
        <f>INDEX('Informacion del AEP'!$D$13:$AE$22,MATCH('Ingresos minoristas'!$C18,'Informacion del AEP'!$C$13:$C$22,0),MATCH('Ingresos minoristas'!M$12,'Informacion del AEP'!$D$11:$AE$11,0))</f>
        <v>0</v>
      </c>
      <c r="N18" s="442">
        <f>INDEX('Informacion del AEP'!$D$13:$AE$22,MATCH('Ingresos minoristas'!$C18,'Informacion del AEP'!$C$13:$C$22,0),MATCH('Ingresos minoristas'!N$12,'Informacion del AEP'!$D$11:$AE$11,0))</f>
        <v>0</v>
      </c>
      <c r="O18" s="442">
        <f>INDEX('Informacion del AEP'!$D$13:$AE$22,MATCH('Ingresos minoristas'!$C18,'Informacion del AEP'!$C$13:$C$22,0),MATCH('Ingresos minoristas'!O$12,'Informacion del AEP'!$D$11:$AE$11,0))</f>
        <v>33333333.333333332</v>
      </c>
      <c r="P18" s="442">
        <f>INDEX('Informacion del AEP'!$D$13:$AE$22,MATCH('Ingresos minoristas'!$C18,'Informacion del AEP'!$C$13:$C$22,0),MATCH('Ingresos minoristas'!P$12,'Informacion del AEP'!$D$11:$AE$11,0))</f>
        <v>33333333.333333332</v>
      </c>
      <c r="Q18" s="442">
        <f>INDEX('Informacion del AEP'!$D$13:$AE$22,MATCH('Ingresos minoristas'!$C18,'Informacion del AEP'!$C$13:$C$22,0),MATCH('Ingresos minoristas'!Q$12,'Informacion del AEP'!$D$11:$AE$11,0))</f>
        <v>33333333.333333332</v>
      </c>
      <c r="R18" s="442">
        <f>INDEX('Informacion del AEP'!$D$13:$AE$22,MATCH('Ingresos minoristas'!$C18,'Informacion del AEP'!$C$13:$C$22,0),MATCH('Ingresos minoristas'!R$12,'Informacion del AEP'!$D$11:$AE$11,0))</f>
        <v>33333333.333333332</v>
      </c>
      <c r="S18" s="442">
        <f>INDEX('Informacion del AEP'!$D$13:$AE$22,MATCH('Ingresos minoristas'!$C18,'Informacion del AEP'!$C$13:$C$22,0),MATCH('Ingresos minoristas'!S$12,'Informacion del AEP'!$D$11:$AE$11,0))</f>
        <v>33333333.333333332</v>
      </c>
      <c r="T18" s="442">
        <f>INDEX('Informacion del AEP'!$D$13:$AE$22,MATCH('Ingresos minoristas'!$C18,'Informacion del AEP'!$C$13:$C$22,0),MATCH('Ingresos minoristas'!T$12,'Informacion del AEP'!$D$11:$AE$11,0))</f>
        <v>33333333.333333332</v>
      </c>
      <c r="U18" s="442">
        <f>INDEX('Informacion del AEP'!$D$13:$AE$22,MATCH('Ingresos minoristas'!$C18,'Informacion del AEP'!$C$13:$C$22,0),MATCH('Ingresos minoristas'!U$12,'Informacion del AEP'!$D$11:$AE$11,0))</f>
        <v>33333333.333333332</v>
      </c>
      <c r="V18" s="442">
        <f>INDEX('Informacion del AEP'!$D$13:$AE$22,MATCH('Ingresos minoristas'!$C18,'Informacion del AEP'!$C$13:$C$22,0),MATCH('Ingresos minoristas'!V$12,'Informacion del AEP'!$D$11:$AE$11,0))</f>
        <v>33333333.333333332</v>
      </c>
      <c r="W18" s="442">
        <f>INDEX('Informacion del AEP'!$D$13:$AE$22,MATCH('Ingresos minoristas'!$C18,'Informacion del AEP'!$C$13:$C$22,0),MATCH('Ingresos minoristas'!W$12,'Informacion del AEP'!$D$11:$AE$11,0))</f>
        <v>33333333.333333332</v>
      </c>
      <c r="X18" s="442">
        <f>INDEX('Informacion del AEP'!$D$13:$AE$22,MATCH('Ingresos minoristas'!$C18,'Informacion del AEP'!$C$13:$C$22,0),MATCH('Ingresos minoristas'!X$12,'Informacion del AEP'!$D$11:$AE$11,0))</f>
        <v>33333333.333333332</v>
      </c>
      <c r="Y18" s="442">
        <f>INDEX('Informacion del AEP'!$D$13:$AE$22,MATCH('Ingresos minoristas'!$C18,'Informacion del AEP'!$C$13:$C$22,0),MATCH('Ingresos minoristas'!Y$12,'Informacion del AEP'!$D$11:$AE$11,0))</f>
        <v>33333333.333333332</v>
      </c>
      <c r="Z18" s="442">
        <f>INDEX('Informacion del AEP'!$D$13:$AE$22,MATCH('Ingresos minoristas'!$C18,'Informacion del AEP'!$C$13:$C$22,0),MATCH('Ingresos minoristas'!Z$12,'Informacion del AEP'!$D$11:$AE$11,0))</f>
        <v>33333333.333333332</v>
      </c>
      <c r="AA18" s="442">
        <f>INDEX('Informacion del AEP'!$D$13:$AE$22,MATCH('Ingresos minoristas'!$C18,'Informacion del AEP'!$C$13:$C$22,0),MATCH('Ingresos minoristas'!AA$12,'Informacion del AEP'!$D$11:$AE$11,0))</f>
        <v>33333333.333333332</v>
      </c>
      <c r="AB18" s="442">
        <f>INDEX('Informacion del AEP'!$D$13:$AE$22,MATCH('Ingresos minoristas'!$C18,'Informacion del AEP'!$C$13:$C$22,0),MATCH('Ingresos minoristas'!AB$12,'Informacion del AEP'!$D$11:$AE$11,0))</f>
        <v>33333333.333333332</v>
      </c>
      <c r="AC18" s="442">
        <f>INDEX('Informacion del AEP'!$D$13:$AE$22,MATCH('Ingresos minoristas'!$C18,'Informacion del AEP'!$C$13:$C$22,0),MATCH('Ingresos minoristas'!AC$12,'Informacion del AEP'!$D$11:$AE$11,0))</f>
        <v>33333333.333333332</v>
      </c>
    </row>
    <row r="19" spans="3:29" x14ac:dyDescent="0.25">
      <c r="C19" s="5" t="str">
        <f>'Informacion del AEP'!$C19</f>
        <v>Servicios OTT de vídeo</v>
      </c>
      <c r="D19" s="442">
        <f>INDEX('Informacion del AEP'!$D$13:$AE$22,MATCH('Ingresos minoristas'!$C19,'Informacion del AEP'!$C$13:$C$22,0),MATCH('Ingresos minoristas'!D$12,'Informacion del AEP'!$D$11:$AE$11,0))</f>
        <v>100000000</v>
      </c>
      <c r="E19" s="442">
        <f>INDEX('Informacion del AEP'!$D$13:$AE$22,MATCH('Ingresos minoristas'!$C19,'Informacion del AEP'!$C$13:$C$22,0),MATCH('Ingresos minoristas'!E$12,'Informacion del AEP'!$D$11:$AE$11,0))</f>
        <v>100000000</v>
      </c>
      <c r="F19" s="442">
        <f>INDEX('Informacion del AEP'!$D$13:$AE$22,MATCH('Ingresos minoristas'!$C19,'Informacion del AEP'!$C$13:$C$22,0),MATCH('Ingresos minoristas'!F$12,'Informacion del AEP'!$D$11:$AE$11,0))</f>
        <v>25000000</v>
      </c>
      <c r="G19" s="442">
        <f>INDEX('Informacion del AEP'!$D$13:$AE$22,MATCH('Ingresos minoristas'!$C19,'Informacion del AEP'!$C$13:$C$22,0),MATCH('Ingresos minoristas'!G$12,'Informacion del AEP'!$D$11:$AE$11,0))</f>
        <v>50000000</v>
      </c>
      <c r="H19" s="442">
        <f>INDEX('Informacion del AEP'!$D$13:$AE$22,MATCH('Ingresos minoristas'!$C19,'Informacion del AEP'!$C$13:$C$22,0),MATCH('Ingresos minoristas'!H$12,'Informacion del AEP'!$D$11:$AE$11,0))</f>
        <v>50000000</v>
      </c>
      <c r="I19" s="442">
        <f>INDEX('Informacion del AEP'!$D$13:$AE$22,MATCH('Ingresos minoristas'!$C19,'Informacion del AEP'!$C$13:$C$22,0),MATCH('Ingresos minoristas'!I$12,'Informacion del AEP'!$D$11:$AE$11,0))</f>
        <v>50000000</v>
      </c>
      <c r="J19" s="442">
        <f>INDEX('Informacion del AEP'!$D$13:$AE$22,MATCH('Ingresos minoristas'!$C19,'Informacion del AEP'!$C$13:$C$22,0),MATCH('Ingresos minoristas'!J$12,'Informacion del AEP'!$D$11:$AE$11,0))</f>
        <v>0</v>
      </c>
      <c r="K19" s="442">
        <f>INDEX('Informacion del AEP'!$D$13:$AE$22,MATCH('Ingresos minoristas'!$C19,'Informacion del AEP'!$C$13:$C$22,0),MATCH('Ingresos minoristas'!K$12,'Informacion del AEP'!$D$11:$AE$11,0))</f>
        <v>0</v>
      </c>
      <c r="L19" s="442">
        <f>INDEX('Informacion del AEP'!$D$13:$AE$22,MATCH('Ingresos minoristas'!$C19,'Informacion del AEP'!$C$13:$C$22,0),MATCH('Ingresos minoristas'!L$12,'Informacion del AEP'!$D$11:$AE$11,0))</f>
        <v>0</v>
      </c>
      <c r="M19" s="442">
        <f>INDEX('Informacion del AEP'!$D$13:$AE$22,MATCH('Ingresos minoristas'!$C19,'Informacion del AEP'!$C$13:$C$22,0),MATCH('Ingresos minoristas'!M$12,'Informacion del AEP'!$D$11:$AE$11,0))</f>
        <v>10000000</v>
      </c>
      <c r="N19" s="442">
        <f>INDEX('Informacion del AEP'!$D$13:$AE$22,MATCH('Ingresos minoristas'!$C19,'Informacion del AEP'!$C$13:$C$22,0),MATCH('Ingresos minoristas'!N$12,'Informacion del AEP'!$D$11:$AE$11,0))</f>
        <v>10000000</v>
      </c>
      <c r="O19" s="442">
        <f>INDEX('Informacion del AEP'!$D$13:$AE$22,MATCH('Ingresos minoristas'!$C19,'Informacion del AEP'!$C$13:$C$22,0),MATCH('Ingresos minoristas'!O$12,'Informacion del AEP'!$D$11:$AE$11,0))</f>
        <v>0</v>
      </c>
      <c r="P19" s="442">
        <f>INDEX('Informacion del AEP'!$D$13:$AE$22,MATCH('Ingresos minoristas'!$C19,'Informacion del AEP'!$C$13:$C$22,0),MATCH('Ingresos minoristas'!P$12,'Informacion del AEP'!$D$11:$AE$11,0))</f>
        <v>0</v>
      </c>
      <c r="Q19" s="442">
        <f>INDEX('Informacion del AEP'!$D$13:$AE$22,MATCH('Ingresos minoristas'!$C19,'Informacion del AEP'!$C$13:$C$22,0),MATCH('Ingresos minoristas'!Q$12,'Informacion del AEP'!$D$11:$AE$11,0))</f>
        <v>0</v>
      </c>
      <c r="R19" s="442">
        <f>INDEX('Informacion del AEP'!$D$13:$AE$22,MATCH('Ingresos minoristas'!$C19,'Informacion del AEP'!$C$13:$C$22,0),MATCH('Ingresos minoristas'!R$12,'Informacion del AEP'!$D$11:$AE$11,0))</f>
        <v>0</v>
      </c>
      <c r="S19" s="442">
        <f>INDEX('Informacion del AEP'!$D$13:$AE$22,MATCH('Ingresos minoristas'!$C19,'Informacion del AEP'!$C$13:$C$22,0),MATCH('Ingresos minoristas'!S$12,'Informacion del AEP'!$D$11:$AE$11,0))</f>
        <v>0</v>
      </c>
      <c r="T19" s="442">
        <f>INDEX('Informacion del AEP'!$D$13:$AE$22,MATCH('Ingresos minoristas'!$C19,'Informacion del AEP'!$C$13:$C$22,0),MATCH('Ingresos minoristas'!T$12,'Informacion del AEP'!$D$11:$AE$11,0))</f>
        <v>0</v>
      </c>
      <c r="U19" s="442">
        <f>INDEX('Informacion del AEP'!$D$13:$AE$22,MATCH('Ingresos minoristas'!$C19,'Informacion del AEP'!$C$13:$C$22,0),MATCH('Ingresos minoristas'!U$12,'Informacion del AEP'!$D$11:$AE$11,0))</f>
        <v>0</v>
      </c>
      <c r="V19" s="442">
        <f>INDEX('Informacion del AEP'!$D$13:$AE$22,MATCH('Ingresos minoristas'!$C19,'Informacion del AEP'!$C$13:$C$22,0),MATCH('Ingresos minoristas'!V$12,'Informacion del AEP'!$D$11:$AE$11,0))</f>
        <v>0</v>
      </c>
      <c r="W19" s="442">
        <f>INDEX('Informacion del AEP'!$D$13:$AE$22,MATCH('Ingresos minoristas'!$C19,'Informacion del AEP'!$C$13:$C$22,0),MATCH('Ingresos minoristas'!W$12,'Informacion del AEP'!$D$11:$AE$11,0))</f>
        <v>0</v>
      </c>
      <c r="X19" s="442">
        <f>INDEX('Informacion del AEP'!$D$13:$AE$22,MATCH('Ingresos minoristas'!$C19,'Informacion del AEP'!$C$13:$C$22,0),MATCH('Ingresos minoristas'!X$12,'Informacion del AEP'!$D$11:$AE$11,0))</f>
        <v>0</v>
      </c>
      <c r="Y19" s="442">
        <f>INDEX('Informacion del AEP'!$D$13:$AE$22,MATCH('Ingresos minoristas'!$C19,'Informacion del AEP'!$C$13:$C$22,0),MATCH('Ingresos minoristas'!Y$12,'Informacion del AEP'!$D$11:$AE$11,0))</f>
        <v>0</v>
      </c>
      <c r="Z19" s="442">
        <f>INDEX('Informacion del AEP'!$D$13:$AE$22,MATCH('Ingresos minoristas'!$C19,'Informacion del AEP'!$C$13:$C$22,0),MATCH('Ingresos minoristas'!Z$12,'Informacion del AEP'!$D$11:$AE$11,0))</f>
        <v>0</v>
      </c>
      <c r="AA19" s="442">
        <f>INDEX('Informacion del AEP'!$D$13:$AE$22,MATCH('Ingresos minoristas'!$C19,'Informacion del AEP'!$C$13:$C$22,0),MATCH('Ingresos minoristas'!AA$12,'Informacion del AEP'!$D$11:$AE$11,0))</f>
        <v>0</v>
      </c>
      <c r="AB19" s="442">
        <f>INDEX('Informacion del AEP'!$D$13:$AE$22,MATCH('Ingresos minoristas'!$C19,'Informacion del AEP'!$C$13:$C$22,0),MATCH('Ingresos minoristas'!AB$12,'Informacion del AEP'!$D$11:$AE$11,0))</f>
        <v>0</v>
      </c>
      <c r="AC19" s="442">
        <f>INDEX('Informacion del AEP'!$D$13:$AE$22,MATCH('Ingresos minoristas'!$C19,'Informacion del AEP'!$C$13:$C$22,0),MATCH('Ingresos minoristas'!AC$12,'Informacion del AEP'!$D$11:$AE$11,0))</f>
        <v>0</v>
      </c>
    </row>
    <row r="20" spans="3:29" x14ac:dyDescent="0.25">
      <c r="C20" s="5" t="str">
        <f>'Informacion del AEP'!$C20</f>
        <v>Servicios OTT de audio</v>
      </c>
      <c r="D20" s="442">
        <f>INDEX('Informacion del AEP'!$D$13:$AE$22,MATCH('Ingresos minoristas'!$C20,'Informacion del AEP'!$C$13:$C$22,0),MATCH('Ingresos minoristas'!D$12,'Informacion del AEP'!$D$11:$AE$11,0))</f>
        <v>100000000</v>
      </c>
      <c r="E20" s="442">
        <f>INDEX('Informacion del AEP'!$D$13:$AE$22,MATCH('Ingresos minoristas'!$C20,'Informacion del AEP'!$C$13:$C$22,0),MATCH('Ingresos minoristas'!E$12,'Informacion del AEP'!$D$11:$AE$11,0))</f>
        <v>100000000</v>
      </c>
      <c r="F20" s="442">
        <f>INDEX('Informacion del AEP'!$D$13:$AE$22,MATCH('Ingresos minoristas'!$C20,'Informacion del AEP'!$C$13:$C$22,0),MATCH('Ingresos minoristas'!F$12,'Informacion del AEP'!$D$11:$AE$11,0))</f>
        <v>25000000</v>
      </c>
      <c r="G20" s="442">
        <f>INDEX('Informacion del AEP'!$D$13:$AE$22,MATCH('Ingresos minoristas'!$C20,'Informacion del AEP'!$C$13:$C$22,0),MATCH('Ingresos minoristas'!G$12,'Informacion del AEP'!$D$11:$AE$11,0))</f>
        <v>50000000</v>
      </c>
      <c r="H20" s="442">
        <f>INDEX('Informacion del AEP'!$D$13:$AE$22,MATCH('Ingresos minoristas'!$C20,'Informacion del AEP'!$C$13:$C$22,0),MATCH('Ingresos minoristas'!H$12,'Informacion del AEP'!$D$11:$AE$11,0))</f>
        <v>50000000</v>
      </c>
      <c r="I20" s="442">
        <f>INDEX('Informacion del AEP'!$D$13:$AE$22,MATCH('Ingresos minoristas'!$C20,'Informacion del AEP'!$C$13:$C$22,0),MATCH('Ingresos minoristas'!I$12,'Informacion del AEP'!$D$11:$AE$11,0))</f>
        <v>50000000</v>
      </c>
      <c r="J20" s="442">
        <f>INDEX('Informacion del AEP'!$D$13:$AE$22,MATCH('Ingresos minoristas'!$C20,'Informacion del AEP'!$C$13:$C$22,0),MATCH('Ingresos minoristas'!J$12,'Informacion del AEP'!$D$11:$AE$11,0))</f>
        <v>0</v>
      </c>
      <c r="K20" s="442">
        <f>INDEX('Informacion del AEP'!$D$13:$AE$22,MATCH('Ingresos minoristas'!$C20,'Informacion del AEP'!$C$13:$C$22,0),MATCH('Ingresos minoristas'!K$12,'Informacion del AEP'!$D$11:$AE$11,0))</f>
        <v>0</v>
      </c>
      <c r="L20" s="442">
        <f>INDEX('Informacion del AEP'!$D$13:$AE$22,MATCH('Ingresos minoristas'!$C20,'Informacion del AEP'!$C$13:$C$22,0),MATCH('Ingresos minoristas'!L$12,'Informacion del AEP'!$D$11:$AE$11,0))</f>
        <v>0</v>
      </c>
      <c r="M20" s="442">
        <f>INDEX('Informacion del AEP'!$D$13:$AE$22,MATCH('Ingresos minoristas'!$C20,'Informacion del AEP'!$C$13:$C$22,0),MATCH('Ingresos minoristas'!M$12,'Informacion del AEP'!$D$11:$AE$11,0))</f>
        <v>0</v>
      </c>
      <c r="N20" s="442">
        <f>INDEX('Informacion del AEP'!$D$13:$AE$22,MATCH('Ingresos minoristas'!$C20,'Informacion del AEP'!$C$13:$C$22,0),MATCH('Ingresos minoristas'!N$12,'Informacion del AEP'!$D$11:$AE$11,0))</f>
        <v>0</v>
      </c>
      <c r="O20" s="442">
        <f>INDEX('Informacion del AEP'!$D$13:$AE$22,MATCH('Ingresos minoristas'!$C20,'Informacion del AEP'!$C$13:$C$22,0),MATCH('Ingresos minoristas'!O$12,'Informacion del AEP'!$D$11:$AE$11,0))</f>
        <v>0</v>
      </c>
      <c r="P20" s="442">
        <f>INDEX('Informacion del AEP'!$D$13:$AE$22,MATCH('Ingresos minoristas'!$C20,'Informacion del AEP'!$C$13:$C$22,0),MATCH('Ingresos minoristas'!P$12,'Informacion del AEP'!$D$11:$AE$11,0))</f>
        <v>0</v>
      </c>
      <c r="Q20" s="442">
        <f>INDEX('Informacion del AEP'!$D$13:$AE$22,MATCH('Ingresos minoristas'!$C20,'Informacion del AEP'!$C$13:$C$22,0),MATCH('Ingresos minoristas'!Q$12,'Informacion del AEP'!$D$11:$AE$11,0))</f>
        <v>0</v>
      </c>
      <c r="R20" s="442">
        <f>INDEX('Informacion del AEP'!$D$13:$AE$22,MATCH('Ingresos minoristas'!$C20,'Informacion del AEP'!$C$13:$C$22,0),MATCH('Ingresos minoristas'!R$12,'Informacion del AEP'!$D$11:$AE$11,0))</f>
        <v>16666666.666666999</v>
      </c>
      <c r="S20" s="442">
        <f>INDEX('Informacion del AEP'!$D$13:$AE$22,MATCH('Ingresos minoristas'!$C20,'Informacion del AEP'!$C$13:$C$22,0),MATCH('Ingresos minoristas'!S$12,'Informacion del AEP'!$D$11:$AE$11,0))</f>
        <v>16666666.666666999</v>
      </c>
      <c r="T20" s="442">
        <f>INDEX('Informacion del AEP'!$D$13:$AE$22,MATCH('Ingresos minoristas'!$C20,'Informacion del AEP'!$C$13:$C$22,0),MATCH('Ingresos minoristas'!T$12,'Informacion del AEP'!$D$11:$AE$11,0))</f>
        <v>16666666.666666999</v>
      </c>
      <c r="U20" s="442">
        <f>INDEX('Informacion del AEP'!$D$13:$AE$22,MATCH('Ingresos minoristas'!$C20,'Informacion del AEP'!$C$13:$C$22,0),MATCH('Ingresos minoristas'!U$12,'Informacion del AEP'!$D$11:$AE$11,0))</f>
        <v>16666666.666666999</v>
      </c>
      <c r="V20" s="442">
        <f>INDEX('Informacion del AEP'!$D$13:$AE$22,MATCH('Ingresos minoristas'!$C20,'Informacion del AEP'!$C$13:$C$22,0),MATCH('Ingresos minoristas'!V$12,'Informacion del AEP'!$D$11:$AE$11,0))</f>
        <v>16666666.666666999</v>
      </c>
      <c r="W20" s="442">
        <f>INDEX('Informacion del AEP'!$D$13:$AE$22,MATCH('Ingresos minoristas'!$C20,'Informacion del AEP'!$C$13:$C$22,0),MATCH('Ingresos minoristas'!W$12,'Informacion del AEP'!$D$11:$AE$11,0))</f>
        <v>16666666.666666999</v>
      </c>
      <c r="X20" s="442">
        <f>INDEX('Informacion del AEP'!$D$13:$AE$22,MATCH('Ingresos minoristas'!$C20,'Informacion del AEP'!$C$13:$C$22,0),MATCH('Ingresos minoristas'!X$12,'Informacion del AEP'!$D$11:$AE$11,0))</f>
        <v>16666666.666666999</v>
      </c>
      <c r="Y20" s="442">
        <f>INDEX('Informacion del AEP'!$D$13:$AE$22,MATCH('Ingresos minoristas'!$C20,'Informacion del AEP'!$C$13:$C$22,0),MATCH('Ingresos minoristas'!Y$12,'Informacion del AEP'!$D$11:$AE$11,0))</f>
        <v>16666666.666666999</v>
      </c>
      <c r="Z20" s="442">
        <f>INDEX('Informacion del AEP'!$D$13:$AE$22,MATCH('Ingresos minoristas'!$C20,'Informacion del AEP'!$C$13:$C$22,0),MATCH('Ingresos minoristas'!Z$12,'Informacion del AEP'!$D$11:$AE$11,0))</f>
        <v>16666666.666666999</v>
      </c>
      <c r="AA20" s="442">
        <f>INDEX('Informacion del AEP'!$D$13:$AE$22,MATCH('Ingresos minoristas'!$C20,'Informacion del AEP'!$C$13:$C$22,0),MATCH('Ingresos minoristas'!AA$12,'Informacion del AEP'!$D$11:$AE$11,0))</f>
        <v>16666666.666666999</v>
      </c>
      <c r="AB20" s="442">
        <f>INDEX('Informacion del AEP'!$D$13:$AE$22,MATCH('Ingresos minoristas'!$C20,'Informacion del AEP'!$C$13:$C$22,0),MATCH('Ingresos minoristas'!AB$12,'Informacion del AEP'!$D$11:$AE$11,0))</f>
        <v>16666666.666666999</v>
      </c>
      <c r="AC20" s="442">
        <f>INDEX('Informacion del AEP'!$D$13:$AE$22,MATCH('Ingresos minoristas'!$C20,'Informacion del AEP'!$C$13:$C$22,0),MATCH('Ingresos minoristas'!AC$12,'Informacion del AEP'!$D$11:$AE$11,0))</f>
        <v>16666666.666666999</v>
      </c>
    </row>
    <row r="21" spans="3:29" x14ac:dyDescent="0.25">
      <c r="C21" s="5" t="str">
        <f>'Informacion del AEP'!$C21</f>
        <v>Venta de equipos terminales</v>
      </c>
      <c r="D21" s="442">
        <f>INDEX('Informacion del AEP'!$D$13:$AE$22,MATCH('Ingresos minoristas'!$C21,'Informacion del AEP'!$C$13:$C$22,0),MATCH('Ingresos minoristas'!D$12,'Informacion del AEP'!$D$11:$AE$11,0))</f>
        <v>10000000000</v>
      </c>
      <c r="E21" s="442">
        <f>INDEX('Informacion del AEP'!$D$13:$AE$22,MATCH('Ingresos minoristas'!$C21,'Informacion del AEP'!$C$13:$C$22,0),MATCH('Ingresos minoristas'!E$12,'Informacion del AEP'!$D$11:$AE$11,0))</f>
        <v>6000000000</v>
      </c>
      <c r="F21" s="442">
        <f>INDEX('Informacion del AEP'!$D$13:$AE$22,MATCH('Ingresos minoristas'!$C21,'Informacion del AEP'!$C$13:$C$22,0),MATCH('Ingresos minoristas'!F$12,'Informacion del AEP'!$D$11:$AE$11,0))</f>
        <v>4000000000</v>
      </c>
      <c r="G21" s="442">
        <f>INDEX('Informacion del AEP'!$D$13:$AE$22,MATCH('Ingresos minoristas'!$C21,'Informacion del AEP'!$C$13:$C$22,0),MATCH('Ingresos minoristas'!G$12,'Informacion del AEP'!$D$11:$AE$11,0))</f>
        <v>2000000000</v>
      </c>
      <c r="H21" s="442">
        <f>INDEX('Informacion del AEP'!$D$13:$AE$22,MATCH('Ingresos minoristas'!$C21,'Informacion del AEP'!$C$13:$C$22,0),MATCH('Ingresos minoristas'!H$12,'Informacion del AEP'!$D$11:$AE$11,0))</f>
        <v>2000000000</v>
      </c>
      <c r="I21" s="442">
        <f>INDEX('Informacion del AEP'!$D$13:$AE$22,MATCH('Ingresos minoristas'!$C21,'Informacion del AEP'!$C$13:$C$22,0),MATCH('Ingresos minoristas'!I$12,'Informacion del AEP'!$D$11:$AE$11,0))</f>
        <v>2000000000</v>
      </c>
      <c r="J21" s="442">
        <f>INDEX('Informacion del AEP'!$D$13:$AE$22,MATCH('Ingresos minoristas'!$C21,'Informacion del AEP'!$C$13:$C$22,0),MATCH('Ingresos minoristas'!J$12,'Informacion del AEP'!$D$11:$AE$11,0))</f>
        <v>0</v>
      </c>
      <c r="K21" s="442">
        <f>INDEX('Informacion del AEP'!$D$13:$AE$22,MATCH('Ingresos minoristas'!$C21,'Informacion del AEP'!$C$13:$C$22,0),MATCH('Ingresos minoristas'!K$12,'Informacion del AEP'!$D$11:$AE$11,0))</f>
        <v>0</v>
      </c>
      <c r="L21" s="442">
        <f>INDEX('Informacion del AEP'!$D$13:$AE$22,MATCH('Ingresos minoristas'!$C21,'Informacion del AEP'!$C$13:$C$22,0),MATCH('Ingresos minoristas'!L$12,'Informacion del AEP'!$D$11:$AE$11,0))</f>
        <v>0</v>
      </c>
      <c r="M21" s="442">
        <f>INDEX('Informacion del AEP'!$D$13:$AE$22,MATCH('Ingresos minoristas'!$C21,'Informacion del AEP'!$C$13:$C$22,0),MATCH('Ingresos minoristas'!M$12,'Informacion del AEP'!$D$11:$AE$11,0))</f>
        <v>0</v>
      </c>
      <c r="N21" s="442">
        <f>INDEX('Informacion del AEP'!$D$13:$AE$22,MATCH('Ingresos minoristas'!$C21,'Informacion del AEP'!$C$13:$C$22,0),MATCH('Ingresos minoristas'!N$12,'Informacion del AEP'!$D$11:$AE$11,0))</f>
        <v>0</v>
      </c>
      <c r="O21" s="442">
        <f>INDEX('Informacion del AEP'!$D$13:$AE$22,MATCH('Ingresos minoristas'!$C21,'Informacion del AEP'!$C$13:$C$22,0),MATCH('Ingresos minoristas'!O$12,'Informacion del AEP'!$D$11:$AE$11,0))</f>
        <v>1333333333.3333333</v>
      </c>
      <c r="P21" s="442">
        <f>INDEX('Informacion del AEP'!$D$13:$AE$22,MATCH('Ingresos minoristas'!$C21,'Informacion del AEP'!$C$13:$C$22,0),MATCH('Ingresos minoristas'!P$12,'Informacion del AEP'!$D$11:$AE$11,0))</f>
        <v>333333333.33332998</v>
      </c>
      <c r="Q21" s="442">
        <f>INDEX('Informacion del AEP'!$D$13:$AE$22,MATCH('Ingresos minoristas'!$C21,'Informacion del AEP'!$C$13:$C$22,0),MATCH('Ingresos minoristas'!Q$12,'Informacion del AEP'!$D$11:$AE$11,0))</f>
        <v>333333333.33332998</v>
      </c>
      <c r="R21" s="442">
        <f>INDEX('Informacion del AEP'!$D$13:$AE$22,MATCH('Ingresos minoristas'!$C21,'Informacion del AEP'!$C$13:$C$22,0),MATCH('Ingresos minoristas'!R$12,'Informacion del AEP'!$D$11:$AE$11,0))</f>
        <v>1333333333.3333333</v>
      </c>
      <c r="S21" s="442">
        <f>INDEX('Informacion del AEP'!$D$13:$AE$22,MATCH('Ingresos minoristas'!$C21,'Informacion del AEP'!$C$13:$C$22,0),MATCH('Ingresos minoristas'!S$12,'Informacion del AEP'!$D$11:$AE$11,0))</f>
        <v>1333333333.3333333</v>
      </c>
      <c r="T21" s="442">
        <f>INDEX('Informacion del AEP'!$D$13:$AE$22,MATCH('Ingresos minoristas'!$C21,'Informacion del AEP'!$C$13:$C$22,0),MATCH('Ingresos minoristas'!T$12,'Informacion del AEP'!$D$11:$AE$11,0))</f>
        <v>1333333333.3333333</v>
      </c>
      <c r="U21" s="442">
        <f>INDEX('Informacion del AEP'!$D$13:$AE$22,MATCH('Ingresos minoristas'!$C21,'Informacion del AEP'!$C$13:$C$22,0),MATCH('Ingresos minoristas'!U$12,'Informacion del AEP'!$D$11:$AE$11,0))</f>
        <v>1333333333.3333333</v>
      </c>
      <c r="V21" s="442">
        <f>INDEX('Informacion del AEP'!$D$13:$AE$22,MATCH('Ingresos minoristas'!$C21,'Informacion del AEP'!$C$13:$C$22,0),MATCH('Ingresos minoristas'!V$12,'Informacion del AEP'!$D$11:$AE$11,0))</f>
        <v>1333333333.3333333</v>
      </c>
      <c r="W21" s="442">
        <f>INDEX('Informacion del AEP'!$D$13:$AE$22,MATCH('Ingresos minoristas'!$C21,'Informacion del AEP'!$C$13:$C$22,0),MATCH('Ingresos minoristas'!W$12,'Informacion del AEP'!$D$11:$AE$11,0))</f>
        <v>1333333333.3333333</v>
      </c>
      <c r="X21" s="442">
        <f>INDEX('Informacion del AEP'!$D$13:$AE$22,MATCH('Ingresos minoristas'!$C21,'Informacion del AEP'!$C$13:$C$22,0),MATCH('Ingresos minoristas'!X$12,'Informacion del AEP'!$D$11:$AE$11,0))</f>
        <v>1333333333.3333333</v>
      </c>
      <c r="Y21" s="442">
        <f>INDEX('Informacion del AEP'!$D$13:$AE$22,MATCH('Ingresos minoristas'!$C21,'Informacion del AEP'!$C$13:$C$22,0),MATCH('Ingresos minoristas'!Y$12,'Informacion del AEP'!$D$11:$AE$11,0))</f>
        <v>1333333333.3333333</v>
      </c>
      <c r="Z21" s="442">
        <f>INDEX('Informacion del AEP'!$D$13:$AE$22,MATCH('Ingresos minoristas'!$C21,'Informacion del AEP'!$C$13:$C$22,0),MATCH('Ingresos minoristas'!Z$12,'Informacion del AEP'!$D$11:$AE$11,0))</f>
        <v>1333333333.3333333</v>
      </c>
      <c r="AA21" s="442">
        <f>INDEX('Informacion del AEP'!$D$13:$AE$22,MATCH('Ingresos minoristas'!$C21,'Informacion del AEP'!$C$13:$C$22,0),MATCH('Ingresos minoristas'!AA$12,'Informacion del AEP'!$D$11:$AE$11,0))</f>
        <v>1333333333.3333333</v>
      </c>
      <c r="AB21" s="442">
        <f>INDEX('Informacion del AEP'!$D$13:$AE$22,MATCH('Ingresos minoristas'!$C21,'Informacion del AEP'!$C$13:$C$22,0),MATCH('Ingresos minoristas'!AB$12,'Informacion del AEP'!$D$11:$AE$11,0))</f>
        <v>1333333333.3333333</v>
      </c>
      <c r="AC21" s="442">
        <f>INDEX('Informacion del AEP'!$D$13:$AE$22,MATCH('Ingresos minoristas'!$C21,'Informacion del AEP'!$C$13:$C$22,0),MATCH('Ingresos minoristas'!AC$12,'Informacion del AEP'!$D$11:$AE$11,0))</f>
        <v>1333333333.3333333</v>
      </c>
    </row>
    <row r="22" spans="3:29" x14ac:dyDescent="0.25">
      <c r="C22" s="5" t="str">
        <f>'Informacion del AEP'!$C22</f>
        <v>Otros servicios minoristas</v>
      </c>
      <c r="D22" s="442">
        <f>INDEX('Informacion del AEP'!$D$13:$AE$22,MATCH('Ingresos minoristas'!$C22,'Informacion del AEP'!$C$13:$C$22,0),MATCH('Ingresos minoristas'!D$12,'Informacion del AEP'!$D$11:$AE$11,0))</f>
        <v>1000000000</v>
      </c>
      <c r="E22" s="442">
        <f>INDEX('Informacion del AEP'!$D$13:$AE$22,MATCH('Ingresos minoristas'!$C22,'Informacion del AEP'!$C$13:$C$22,0),MATCH('Ingresos minoristas'!E$12,'Informacion del AEP'!$D$11:$AE$11,0))</f>
        <v>50000000</v>
      </c>
      <c r="F22" s="442">
        <f>INDEX('Informacion del AEP'!$D$13:$AE$22,MATCH('Ingresos minoristas'!$C22,'Informacion del AEP'!$C$13:$C$22,0),MATCH('Ingresos minoristas'!F$12,'Informacion del AEP'!$D$11:$AE$11,0))</f>
        <v>950000000</v>
      </c>
      <c r="G22" s="442">
        <f>INDEX('Informacion del AEP'!$D$13:$AE$22,MATCH('Ingresos minoristas'!$C22,'Informacion del AEP'!$C$13:$C$22,0),MATCH('Ingresos minoristas'!G$12,'Informacion del AEP'!$D$11:$AE$11,0))</f>
        <v>16666666.666666666</v>
      </c>
      <c r="H22" s="442">
        <f>INDEX('Informacion del AEP'!$D$13:$AE$22,MATCH('Ingresos minoristas'!$C22,'Informacion del AEP'!$C$13:$C$22,0),MATCH('Ingresos minoristas'!H$12,'Informacion del AEP'!$D$11:$AE$11,0))</f>
        <v>16666666.666666666</v>
      </c>
      <c r="I22" s="442">
        <f>INDEX('Informacion del AEP'!$D$13:$AE$22,MATCH('Ingresos minoristas'!$C22,'Informacion del AEP'!$C$13:$C$22,0),MATCH('Ingresos minoristas'!I$12,'Informacion del AEP'!$D$11:$AE$11,0))</f>
        <v>16666666.666666666</v>
      </c>
      <c r="J22" s="442">
        <f>INDEX('Informacion del AEP'!$D$13:$AE$22,MATCH('Ingresos minoristas'!$C22,'Informacion del AEP'!$C$13:$C$22,0),MATCH('Ingresos minoristas'!J$12,'Informacion del AEP'!$D$11:$AE$11,0))</f>
        <v>0</v>
      </c>
      <c r="K22" s="442">
        <f>INDEX('Informacion del AEP'!$D$13:$AE$22,MATCH('Ingresos minoristas'!$C22,'Informacion del AEP'!$C$13:$C$22,0),MATCH('Ingresos minoristas'!K$12,'Informacion del AEP'!$D$11:$AE$11,0))</f>
        <v>0</v>
      </c>
      <c r="L22" s="442">
        <f>INDEX('Informacion del AEP'!$D$13:$AE$22,MATCH('Ingresos minoristas'!$C22,'Informacion del AEP'!$C$13:$C$22,0),MATCH('Ingresos minoristas'!L$12,'Informacion del AEP'!$D$11:$AE$11,0))</f>
        <v>0</v>
      </c>
      <c r="M22" s="442">
        <f>INDEX('Informacion del AEP'!$D$13:$AE$22,MATCH('Ingresos minoristas'!$C22,'Informacion del AEP'!$C$13:$C$22,0),MATCH('Ingresos minoristas'!M$12,'Informacion del AEP'!$D$11:$AE$11,0))</f>
        <v>0</v>
      </c>
      <c r="N22" s="442">
        <f>INDEX('Informacion del AEP'!$D$13:$AE$22,MATCH('Ingresos minoristas'!$C22,'Informacion del AEP'!$C$13:$C$22,0),MATCH('Ingresos minoristas'!N$12,'Informacion del AEP'!$D$11:$AE$11,0))</f>
        <v>0</v>
      </c>
      <c r="O22" s="442">
        <f>INDEX('Informacion del AEP'!$D$13:$AE$22,MATCH('Ingresos minoristas'!$C22,'Informacion del AEP'!$C$13:$C$22,0),MATCH('Ingresos minoristas'!O$12,'Informacion del AEP'!$D$11:$AE$11,0))</f>
        <v>16666666.666666999</v>
      </c>
      <c r="P22" s="442">
        <f>INDEX('Informacion del AEP'!$D$13:$AE$22,MATCH('Ingresos minoristas'!$C22,'Informacion del AEP'!$C$13:$C$22,0),MATCH('Ingresos minoristas'!P$12,'Informacion del AEP'!$D$11:$AE$11,0))</f>
        <v>316666666.66666669</v>
      </c>
      <c r="Q22" s="442">
        <f>INDEX('Informacion del AEP'!$D$13:$AE$22,MATCH('Ingresos minoristas'!$C22,'Informacion del AEP'!$C$13:$C$22,0),MATCH('Ingresos minoristas'!Q$12,'Informacion del AEP'!$D$11:$AE$11,0))</f>
        <v>316666666.66666669</v>
      </c>
      <c r="R22" s="442">
        <f>INDEX('Informacion del AEP'!$D$13:$AE$22,MATCH('Ingresos minoristas'!$C22,'Informacion del AEP'!$C$13:$C$22,0),MATCH('Ingresos minoristas'!R$12,'Informacion del AEP'!$D$11:$AE$11,0))</f>
        <v>300000000.66666698</v>
      </c>
      <c r="S22" s="442">
        <f>INDEX('Informacion del AEP'!$D$13:$AE$22,MATCH('Ingresos minoristas'!$C22,'Informacion del AEP'!$C$13:$C$22,0),MATCH('Ingresos minoristas'!S$12,'Informacion del AEP'!$D$11:$AE$11,0))</f>
        <v>300000000.66666698</v>
      </c>
      <c r="T22" s="442">
        <f>INDEX('Informacion del AEP'!$D$13:$AE$22,MATCH('Ingresos minoristas'!$C22,'Informacion del AEP'!$C$13:$C$22,0),MATCH('Ingresos minoristas'!T$12,'Informacion del AEP'!$D$11:$AE$11,0))</f>
        <v>300000000.66666698</v>
      </c>
      <c r="U22" s="442">
        <f>INDEX('Informacion del AEP'!$D$13:$AE$22,MATCH('Ingresos minoristas'!$C22,'Informacion del AEP'!$C$13:$C$22,0),MATCH('Ingresos minoristas'!U$12,'Informacion del AEP'!$D$11:$AE$11,0))</f>
        <v>300000000.66666698</v>
      </c>
      <c r="V22" s="442">
        <f>INDEX('Informacion del AEP'!$D$13:$AE$22,MATCH('Ingresos minoristas'!$C22,'Informacion del AEP'!$C$13:$C$22,0),MATCH('Ingresos minoristas'!V$12,'Informacion del AEP'!$D$11:$AE$11,0))</f>
        <v>300000000.66666698</v>
      </c>
      <c r="W22" s="442">
        <f>INDEX('Informacion del AEP'!$D$13:$AE$22,MATCH('Ingresos minoristas'!$C22,'Informacion del AEP'!$C$13:$C$22,0),MATCH('Ingresos minoristas'!W$12,'Informacion del AEP'!$D$11:$AE$11,0))</f>
        <v>300000000.66666698</v>
      </c>
      <c r="X22" s="442">
        <f>INDEX('Informacion del AEP'!$D$13:$AE$22,MATCH('Ingresos minoristas'!$C22,'Informacion del AEP'!$C$13:$C$22,0),MATCH('Ingresos minoristas'!X$12,'Informacion del AEP'!$D$11:$AE$11,0))</f>
        <v>300000000.66666698</v>
      </c>
      <c r="Y22" s="442">
        <f>INDEX('Informacion del AEP'!$D$13:$AE$22,MATCH('Ingresos minoristas'!$C22,'Informacion del AEP'!$C$13:$C$22,0),MATCH('Ingresos minoristas'!Y$12,'Informacion del AEP'!$D$11:$AE$11,0))</f>
        <v>300000000.66666698</v>
      </c>
      <c r="Z22" s="442">
        <f>INDEX('Informacion del AEP'!$D$13:$AE$22,MATCH('Ingresos minoristas'!$C22,'Informacion del AEP'!$C$13:$C$22,0),MATCH('Ingresos minoristas'!Z$12,'Informacion del AEP'!$D$11:$AE$11,0))</f>
        <v>300000000.66666698</v>
      </c>
      <c r="AA22" s="442">
        <f>INDEX('Informacion del AEP'!$D$13:$AE$22,MATCH('Ingresos minoristas'!$C22,'Informacion del AEP'!$C$13:$C$22,0),MATCH('Ingresos minoristas'!AA$12,'Informacion del AEP'!$D$11:$AE$11,0))</f>
        <v>300000000.66666698</v>
      </c>
      <c r="AB22" s="442">
        <f>INDEX('Informacion del AEP'!$D$13:$AE$22,MATCH('Ingresos minoristas'!$C22,'Informacion del AEP'!$C$13:$C$22,0),MATCH('Ingresos minoristas'!AB$12,'Informacion del AEP'!$D$11:$AE$11,0))</f>
        <v>300000000.66666698</v>
      </c>
      <c r="AC22" s="442">
        <f>INDEX('Informacion del AEP'!$D$13:$AE$22,MATCH('Ingresos minoristas'!$C22,'Informacion del AEP'!$C$13:$C$22,0),MATCH('Ingresos minoristas'!AC$12,'Informacion del AEP'!$D$11:$AE$11,0))</f>
        <v>300000000.66666698</v>
      </c>
    </row>
    <row r="23" spans="3:29" ht="13" x14ac:dyDescent="0.25">
      <c r="C23" s="33" t="s">
        <v>8</v>
      </c>
      <c r="D23" s="91">
        <f>SUM(D13:D22)</f>
        <v>20750000000</v>
      </c>
      <c r="E23" s="91">
        <f t="shared" ref="E23:Q23" si="0">SUM(E13:E22)</f>
        <v>12100000000</v>
      </c>
      <c r="F23" s="91">
        <f t="shared" si="0"/>
        <v>8650000000</v>
      </c>
      <c r="G23" s="91">
        <f t="shared" si="0"/>
        <v>4449999999.9999971</v>
      </c>
      <c r="H23" s="91">
        <f t="shared" si="0"/>
        <v>4449999999.9999971</v>
      </c>
      <c r="I23" s="91">
        <f t="shared" si="0"/>
        <v>4449999999.9999971</v>
      </c>
      <c r="J23" s="91">
        <f>SUM(J13:J22)</f>
        <v>1500000000</v>
      </c>
      <c r="K23" s="91">
        <f>SUM(K13:K22)</f>
        <v>1200000000</v>
      </c>
      <c r="L23" s="91">
        <f>SUM(L13:L22)</f>
        <v>1000000000</v>
      </c>
      <c r="M23" s="91">
        <f>SUM(M13:M22)</f>
        <v>250000000</v>
      </c>
      <c r="N23" s="91">
        <f>SUM(N13:N22)</f>
        <v>200000000</v>
      </c>
      <c r="O23" s="91">
        <f t="shared" si="0"/>
        <v>2716666666.666667</v>
      </c>
      <c r="P23" s="91">
        <f t="shared" si="0"/>
        <v>1816666666.6666632</v>
      </c>
      <c r="Q23" s="91">
        <f t="shared" si="0"/>
        <v>1816666666.6666632</v>
      </c>
      <c r="R23" s="91">
        <f t="shared" ref="R23:AC23" si="1">SUM(R13:R22)</f>
        <v>2716666667.333334</v>
      </c>
      <c r="S23" s="91">
        <f t="shared" si="1"/>
        <v>2716666667.333334</v>
      </c>
      <c r="T23" s="91">
        <f t="shared" si="1"/>
        <v>2716666667.333334</v>
      </c>
      <c r="U23" s="91">
        <f t="shared" si="1"/>
        <v>2716666667.333334</v>
      </c>
      <c r="V23" s="91">
        <f t="shared" si="1"/>
        <v>2716666667.333334</v>
      </c>
      <c r="W23" s="91">
        <f t="shared" si="1"/>
        <v>2716666667.333334</v>
      </c>
      <c r="X23" s="91">
        <f t="shared" si="1"/>
        <v>2716666667.333334</v>
      </c>
      <c r="Y23" s="91">
        <f t="shared" si="1"/>
        <v>2716666667.333334</v>
      </c>
      <c r="Z23" s="91">
        <f t="shared" si="1"/>
        <v>2716666667.333334</v>
      </c>
      <c r="AA23" s="91">
        <f t="shared" si="1"/>
        <v>2716666667.333334</v>
      </c>
      <c r="AB23" s="91">
        <f t="shared" si="1"/>
        <v>2716666667.333334</v>
      </c>
      <c r="AC23" s="91">
        <f t="shared" si="1"/>
        <v>2716666667.333334</v>
      </c>
    </row>
    <row r="25" spans="3:29" ht="13" x14ac:dyDescent="0.3">
      <c r="C25" s="73" t="s">
        <v>42</v>
      </c>
      <c r="D25" s="38" t="str">
        <f>IF(D23='Informacion del AEP'!F$12,"Ok","Error")</f>
        <v>Ok</v>
      </c>
      <c r="E25" s="38" t="str">
        <f>IF(E23='Informacion del AEP'!G$12,"Ok","Error")</f>
        <v>Ok</v>
      </c>
      <c r="F25" s="38" t="str">
        <f>IF(F23='Informacion del AEP'!H$12,"Ok","Error")</f>
        <v>Ok</v>
      </c>
      <c r="G25" s="38" t="str">
        <f>IF(G23='Informacion del AEP'!I$12,"Ok","Error")</f>
        <v>Ok</v>
      </c>
      <c r="H25" s="38" t="str">
        <f>IF(H23='Informacion del AEP'!J$12,"Ok","Error")</f>
        <v>Ok</v>
      </c>
      <c r="I25" s="38" t="str">
        <f>IF(I23='Informacion del AEP'!K$12,"Ok","Error")</f>
        <v>Ok</v>
      </c>
      <c r="J25" s="38" t="str">
        <f>IF(J23='Informacion del AEP'!L$12,"Ok","Error")</f>
        <v>Ok</v>
      </c>
      <c r="K25" s="38" t="str">
        <f>IF(K23='Informacion del AEP'!M$12,"Ok","Error")</f>
        <v>Ok</v>
      </c>
      <c r="L25" s="38" t="str">
        <f>IF(L23='Informacion del AEP'!N$12,"Ok","Error")</f>
        <v>Ok</v>
      </c>
      <c r="M25" s="38" t="str">
        <f>IF(M23='Informacion del AEP'!O$12,"Ok","Error")</f>
        <v>Ok</v>
      </c>
      <c r="N25" s="38" t="str">
        <f>IF(N23='Informacion del AEP'!P$12,"Ok","Error")</f>
        <v>Ok</v>
      </c>
      <c r="O25" s="38" t="str">
        <f>IF(O23='Informacion del AEP'!Q$12,"Ok","Error")</f>
        <v>Ok</v>
      </c>
      <c r="P25" s="38" t="str">
        <f>IF(P23='Informacion del AEP'!R$12,"Ok","Error")</f>
        <v>Ok</v>
      </c>
      <c r="Q25" s="38" t="str">
        <f>IF(Q23='Informacion del AEP'!S$12,"Ok","Error")</f>
        <v>Ok</v>
      </c>
      <c r="R25" s="38" t="str">
        <f>IF(R23='Informacion del AEP'!T$12,"Ok","Error")</f>
        <v>Ok</v>
      </c>
      <c r="S25" s="38" t="str">
        <f>IF(S23='Informacion del AEP'!U$12,"Ok","Error")</f>
        <v>Ok</v>
      </c>
      <c r="T25" s="38" t="str">
        <f>IF(T23='Informacion del AEP'!V$12,"Ok","Error")</f>
        <v>Ok</v>
      </c>
      <c r="U25" s="38" t="str">
        <f>IF(U23='Informacion del AEP'!W$12,"Ok","Error")</f>
        <v>Ok</v>
      </c>
      <c r="V25" s="38" t="str">
        <f>IF(V23='Informacion del AEP'!X$12,"Ok","Error")</f>
        <v>Ok</v>
      </c>
      <c r="W25" s="38" t="str">
        <f>IF(W23='Informacion del AEP'!Y$12,"Ok","Error")</f>
        <v>Ok</v>
      </c>
      <c r="X25" s="38" t="str">
        <f>IF(X23='Informacion del AEP'!Z$12,"Ok","Error")</f>
        <v>Ok</v>
      </c>
      <c r="Y25" s="38" t="str">
        <f>IF(Y23='Informacion del AEP'!AA$12,"Ok","Error")</f>
        <v>Ok</v>
      </c>
      <c r="Z25" s="38" t="str">
        <f>IF(Z23='Informacion del AEP'!AB$12,"Ok","Error")</f>
        <v>Ok</v>
      </c>
      <c r="AA25" s="38" t="str">
        <f>IF(AA23='Informacion del AEP'!AC$12,"Ok","Error")</f>
        <v>Ok</v>
      </c>
      <c r="AB25" s="38" t="str">
        <f>IF(AB23='Informacion del AEP'!AD$12,"Ok","Error")</f>
        <v>Ok</v>
      </c>
      <c r="AC25" s="38" t="str">
        <f>IF(AC23='Informacion del AEP'!AE$12,"Ok","Error")</f>
        <v>Ok</v>
      </c>
    </row>
    <row r="27" spans="3:29" customFormat="1" x14ac:dyDescent="0.25"/>
  </sheetData>
  <mergeCells count="6">
    <mergeCell ref="Y11:AC11"/>
    <mergeCell ref="C8:F8"/>
    <mergeCell ref="G11:I11"/>
    <mergeCell ref="J11:L11"/>
    <mergeCell ref="M11:N11"/>
    <mergeCell ref="O11:X11"/>
  </mergeCells>
  <conditionalFormatting sqref="D25:AC25">
    <cfRule type="containsText" dxfId="218" priority="1" operator="containsText" text="Error">
      <formula>NOT(ISERROR(SEARCH("Error",D25)))</formula>
    </cfRule>
    <cfRule type="containsText" dxfId="217" priority="2" operator="containsText" text="Ok">
      <formula>NOT(ISERROR(SEARCH("Ok",D25)))</formula>
    </cfRule>
    <cfRule type="expression" dxfId="216" priority="3">
      <formula>"Ok"</formula>
    </cfRule>
  </conditionalFormatting>
  <hyperlinks>
    <hyperlink ref="C3" location="'Resultados &gt;&gt;'!A1" display="Ir a Resultados &gt;&gt;" xr:uid="{00000000-0004-0000-0400-000000000000}"/>
  </hyperlink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8">
    <tabColor theme="5" tint="0.39997558519241921"/>
  </sheetPr>
  <dimension ref="B1:AD27"/>
  <sheetViews>
    <sheetView showGridLines="0" topLeftCell="G15" zoomScale="70" zoomScaleNormal="70" workbookViewId="0">
      <selection activeCell="G9" sqref="G9:AC9"/>
    </sheetView>
  </sheetViews>
  <sheetFormatPr baseColWidth="10" defaultColWidth="8.81640625" defaultRowHeight="12.5" x14ac:dyDescent="0.25"/>
  <cols>
    <col min="1" max="1" width="1.81640625" style="5" customWidth="1"/>
    <col min="2" max="2" width="8.81640625" style="5"/>
    <col min="3" max="3" width="43.54296875" style="5" customWidth="1"/>
    <col min="4" max="4" width="18.453125" style="5" customWidth="1"/>
    <col min="5" max="5" width="18.1796875" style="5" customWidth="1"/>
    <col min="6" max="6" width="16.81640625" style="5" bestFit="1" customWidth="1"/>
    <col min="7" max="7" width="17.1796875" style="5" bestFit="1" customWidth="1"/>
    <col min="8" max="17" width="16" style="5" customWidth="1"/>
    <col min="18" max="29" width="15.453125" style="5" customWidth="1"/>
    <col min="30" max="16384" width="8.81640625" style="5"/>
  </cols>
  <sheetData>
    <row r="1" spans="2:30" s="427" customFormat="1" ht="20" x14ac:dyDescent="0.4">
      <c r="B1" s="427" t="s">
        <v>99</v>
      </c>
    </row>
    <row r="3" spans="2:30" ht="20.149999999999999" customHeight="1" x14ac:dyDescent="0.25">
      <c r="C3" s="14" t="s">
        <v>90</v>
      </c>
    </row>
    <row r="5" spans="2:30" ht="13" x14ac:dyDescent="0.3">
      <c r="C5" s="16" t="s">
        <v>63</v>
      </c>
      <c r="D5" s="88" t="s">
        <v>64</v>
      </c>
      <c r="E5" s="88" t="s">
        <v>65</v>
      </c>
    </row>
    <row r="6" spans="2:30" x14ac:dyDescent="0.25">
      <c r="C6"/>
      <c r="D6" s="85">
        <f>Supuestos!$C$5</f>
        <v>45658</v>
      </c>
      <c r="E6" s="85">
        <f>Supuestos!$C$6</f>
        <v>45747</v>
      </c>
    </row>
    <row r="7" spans="2:30" x14ac:dyDescent="0.25">
      <c r="C7"/>
    </row>
    <row r="8" spans="2:30" s="18" customFormat="1" ht="15.65" customHeight="1" x14ac:dyDescent="0.25">
      <c r="B8" s="18" t="s">
        <v>13</v>
      </c>
    </row>
    <row r="9" spans="2:30" x14ac:dyDescent="0.25">
      <c r="G9" s="495" t="s">
        <v>92</v>
      </c>
      <c r="H9" s="496"/>
      <c r="I9" s="497"/>
      <c r="J9" s="495" t="s">
        <v>93</v>
      </c>
      <c r="K9" s="496"/>
      <c r="L9" s="497"/>
      <c r="M9" s="495" t="s">
        <v>94</v>
      </c>
      <c r="N9" s="497"/>
      <c r="O9" s="495" t="s">
        <v>95</v>
      </c>
      <c r="P9" s="496"/>
      <c r="Q9" s="496"/>
      <c r="R9" s="496"/>
      <c r="S9" s="496"/>
      <c r="T9" s="496"/>
      <c r="U9" s="496"/>
      <c r="V9" s="496"/>
      <c r="W9" s="496"/>
      <c r="X9" s="497"/>
      <c r="Y9" s="495" t="s">
        <v>96</v>
      </c>
      <c r="Z9" s="496"/>
      <c r="AA9" s="496"/>
      <c r="AB9" s="496"/>
      <c r="AC9" s="497"/>
    </row>
    <row r="10" spans="2:30" ht="26.15" customHeight="1" x14ac:dyDescent="0.25">
      <c r="C10" s="40" t="s">
        <v>84</v>
      </c>
      <c r="D10" s="23" t="str">
        <f>Supuestos!B$75</f>
        <v>Todos los segmentos</v>
      </c>
      <c r="E10" s="23" t="str">
        <f>Supuestos!$B$76</f>
        <v>Segmento Prepago</v>
      </c>
      <c r="F10" s="23" t="str">
        <f>Supuestos!B$77</f>
        <v>Segmento Pospago</v>
      </c>
      <c r="G10" s="23" t="str">
        <f>Supuestos!B$78</f>
        <v>Telcel Prepago 1</v>
      </c>
      <c r="H10" s="23" t="str">
        <f>Supuestos!B$79</f>
        <v>Telcel Prepago 2</v>
      </c>
      <c r="I10" s="23" t="str">
        <f>Supuestos!B$80</f>
        <v>Telcel Prepago 3</v>
      </c>
      <c r="J10" s="23" t="str">
        <f>Supuestos!B$91</f>
        <v>Monto 1</v>
      </c>
      <c r="K10" s="23" t="str">
        <f>Supuestos!B$92</f>
        <v>Monto 2</v>
      </c>
      <c r="L10" s="23" t="str">
        <f>Supuestos!B$93</f>
        <v>Monto 3</v>
      </c>
      <c r="M10" s="23" t="str">
        <f>Supuestos!B$94</f>
        <v>Portabilidad 1</v>
      </c>
      <c r="N10" s="23" t="str">
        <f>Supuestos!B$95</f>
        <v>Portabilidad 2</v>
      </c>
      <c r="O10" s="23" t="str">
        <f>Supuestos!B$81</f>
        <v>Telcel Pospago 1</v>
      </c>
      <c r="P10" s="23" t="str">
        <f>Supuestos!B$82</f>
        <v>Telcel Pospago 5</v>
      </c>
      <c r="Q10" s="23" t="str">
        <f>Supuestos!B$83</f>
        <v>Telcel Pospago 3</v>
      </c>
      <c r="R10" s="23" t="str">
        <f>Supuestos!B$84</f>
        <v>Telcel Pospago 4</v>
      </c>
      <c r="S10" s="23" t="str">
        <f>Supuestos!B$85</f>
        <v>Telcel Pospago 2</v>
      </c>
      <c r="T10" s="23" t="str">
        <f>Supuestos!B$86</f>
        <v>Telcel Pospago 6</v>
      </c>
      <c r="U10" s="23" t="str">
        <f>Supuestos!B$87</f>
        <v>Telcel Pospago 7</v>
      </c>
      <c r="V10" s="23" t="str">
        <f>Supuestos!B$88</f>
        <v>Telcel Pospago 9</v>
      </c>
      <c r="W10" s="23" t="str">
        <f>Supuestos!B$89</f>
        <v>Telcel Pospago 8</v>
      </c>
      <c r="X10" s="23" t="str">
        <f>Supuestos!B$90</f>
        <v>Telcel Pospago 19</v>
      </c>
      <c r="Y10" s="23" t="str">
        <f>Supuestos!B$96</f>
        <v>Telcel Pospago 22</v>
      </c>
      <c r="Z10" s="23" t="str">
        <f>Supuestos!B$97</f>
        <v>Telcel Pospago 23</v>
      </c>
      <c r="AA10" s="23" t="str">
        <f>Supuestos!B$98</f>
        <v>Telcel Pospago 24</v>
      </c>
      <c r="AB10" s="23" t="str">
        <f>Supuestos!B$99</f>
        <v>Telcel Pospago 25</v>
      </c>
      <c r="AC10" s="23" t="str">
        <f>Supuestos!B$100</f>
        <v>Telcel Pospago 26</v>
      </c>
      <c r="AD10" s="23"/>
    </row>
    <row r="11" spans="2:30" x14ac:dyDescent="0.25">
      <c r="C11" s="82" t="str">
        <f>'Pagos Mayoristas'!$D$9</f>
        <v>Tarifa originación</v>
      </c>
      <c r="D11" s="78">
        <f>INDEX('Pagos Mayoristas'!$D$10:$N$679,MATCH(Costos!D$10,'Pagos Mayoristas'!$C$10:$C$679,0),MATCH(Costos!$C11,'Pagos Mayoristas'!$D$9:$N$9,0))</f>
        <v>2398561000</v>
      </c>
      <c r="E11" s="78">
        <f>INDEX('Pagos Mayoristas'!$D$10:$N$679,MATCH(Costos!E$10,'Pagos Mayoristas'!$C$10:$C$679,0),MATCH(Costos!$C11,'Pagos Mayoristas'!$D$9:$N$9,0))</f>
        <v>719568300</v>
      </c>
      <c r="F11" s="78">
        <f>INDEX('Pagos Mayoristas'!$D$10:$N$679,MATCH(Costos!F$10,'Pagos Mayoristas'!$C$10:$C$679,0),MATCH(Costos!$C11,'Pagos Mayoristas'!$D$9:$N$9,0))</f>
        <v>1678992700</v>
      </c>
      <c r="G11" s="78">
        <f>INDEX('Pagos Mayoristas'!$D$10:$N$679,MATCH(Costos!G$10,'Pagos Mayoristas'!$C$10:$C$679,0),MATCH(Costos!$C11,'Pagos Mayoristas'!$D$9:$N$9,0))</f>
        <v>239856100</v>
      </c>
      <c r="H11" s="78">
        <f>INDEX('Pagos Mayoristas'!$D$10:$N$679,MATCH(Costos!H$10,'Pagos Mayoristas'!$C$10:$C$679,0),MATCH(Costos!$C11,'Pagos Mayoristas'!$D$9:$N$9,0))</f>
        <v>688938653.85028601</v>
      </c>
      <c r="I11" s="78">
        <f>INDEX('Pagos Mayoristas'!$D$10:$N$679,MATCH(Costos!I$10,'Pagos Mayoristas'!$C$10:$C$679,0),MATCH(Costos!$C11,'Pagos Mayoristas'!$D$9:$N$9,0))</f>
        <v>239856100</v>
      </c>
      <c r="J11" s="78">
        <f>INDEX('Pagos Mayoristas'!$D$10:$N$679,MATCH(Costos!J$10,'Pagos Mayoristas'!$C$10:$C$679,0),MATCH(Costos!$C11,'Pagos Mayoristas'!$D$9:$N$9,0))</f>
        <v>239856100.49269995</v>
      </c>
      <c r="K11" s="78">
        <f>INDEX('Pagos Mayoristas'!$D$10:$N$679,MATCH(Costos!K$10,'Pagos Mayoristas'!$C$10:$C$679,0),MATCH(Costos!$C11,'Pagos Mayoristas'!$D$9:$N$9,0))</f>
        <v>239856100.92540002</v>
      </c>
      <c r="L11" s="78">
        <f>INDEX('Pagos Mayoristas'!$D$10:$N$679,MATCH(Costos!L$10,'Pagos Mayoristas'!$C$10:$C$679,0),MATCH(Costos!$C11,'Pagos Mayoristas'!$D$9:$N$9,0))</f>
        <v>239856101.41809997</v>
      </c>
      <c r="M11" s="78">
        <f>INDEX('Pagos Mayoristas'!$D$10:$N$679,MATCH(Costos!M$10,'Pagos Mayoristas'!$C$10:$C$679,0),MATCH(Costos!$C11,'Pagos Mayoristas'!$D$9:$N$9,0))</f>
        <v>239856101.91080007</v>
      </c>
      <c r="N11" s="78">
        <f>INDEX('Pagos Mayoristas'!$D$10:$N$679,MATCH(Costos!N$10,'Pagos Mayoristas'!$C$10:$C$679,0),MATCH(Costos!$C11,'Pagos Mayoristas'!$D$9:$N$9,0))</f>
        <v>239856102.40350002</v>
      </c>
      <c r="O11" s="78">
        <f>INDEX('Pagos Mayoristas'!$D$10:$N$679,MATCH(Costos!O$10,'Pagos Mayoristas'!$C$10:$C$679,0),MATCH(Costos!$C11,'Pagos Mayoristas'!$D$9:$N$9,0))</f>
        <v>559664233.33333325</v>
      </c>
      <c r="P11" s="78">
        <f>INDEX('Pagos Mayoristas'!$D$10:$N$679,MATCH(Costos!P$10,'Pagos Mayoristas'!$C$10:$C$679,0),MATCH(Costos!$C11,'Pagos Mayoristas'!$D$9:$N$9,0))</f>
        <v>559664233.33333325</v>
      </c>
      <c r="Q11" s="78">
        <f>INDEX('Pagos Mayoristas'!$D$10:$N$679,MATCH(Costos!Q$10,'Pagos Mayoristas'!$C$10:$C$679,0),MATCH(Costos!$C11,'Pagos Mayoristas'!$D$9:$N$9,0))</f>
        <v>559664233.33333325</v>
      </c>
      <c r="R11" s="78">
        <f>INDEX('Pagos Mayoristas'!$D$10:$N$679,MATCH(Costos!R$10,'Pagos Mayoristas'!$C$10:$C$679,0),MATCH(Costos!$C11,'Pagos Mayoristas'!$D$9:$N$9,0))</f>
        <v>559664233.33333325</v>
      </c>
      <c r="S11" s="78">
        <f>INDEX('Pagos Mayoristas'!$D$10:$N$679,MATCH(Costos!S$10,'Pagos Mayoristas'!$C$10:$C$679,0),MATCH(Costos!$C11,'Pagos Mayoristas'!$D$9:$N$9,0))</f>
        <v>559664233.33333325</v>
      </c>
      <c r="T11" s="78">
        <f>INDEX('Pagos Mayoristas'!$D$10:$N$679,MATCH(Costos!T$10,'Pagos Mayoristas'!$C$10:$C$679,0),MATCH(Costos!$C11,'Pagos Mayoristas'!$D$9:$N$9,0))</f>
        <v>559664233.33333325</v>
      </c>
      <c r="U11" s="78">
        <f>INDEX('Pagos Mayoristas'!$D$10:$N$679,MATCH(Costos!U$10,'Pagos Mayoristas'!$C$10:$C$679,0),MATCH(Costos!$C11,'Pagos Mayoristas'!$D$9:$N$9,0))</f>
        <v>559664233.33333325</v>
      </c>
      <c r="V11" s="78">
        <f>INDEX('Pagos Mayoristas'!$D$10:$N$679,MATCH(Costos!V$10,'Pagos Mayoristas'!$C$10:$C$679,0),MATCH(Costos!$C11,'Pagos Mayoristas'!$D$9:$N$9,0))</f>
        <v>559664233.33333325</v>
      </c>
      <c r="W11" s="78">
        <f>INDEX('Pagos Mayoristas'!$D$10:$N$679,MATCH(Costos!W$10,'Pagos Mayoristas'!$C$10:$C$679,0),MATCH(Costos!$C11,'Pagos Mayoristas'!$D$9:$N$9,0))</f>
        <v>559664233.33333325</v>
      </c>
      <c r="X11" s="78">
        <f>INDEX('Pagos Mayoristas'!$D$10:$N$679,MATCH(Costos!X$10,'Pagos Mayoristas'!$C$10:$C$679,0),MATCH(Costos!$C11,'Pagos Mayoristas'!$D$9:$N$9,0))</f>
        <v>559664233.33333325</v>
      </c>
      <c r="Y11" s="78">
        <f>INDEX('Pagos Mayoristas'!$D$10:$N$679,MATCH(Costos!Y$10,'Pagos Mayoristas'!$C$10:$C$679,0),MATCH(Costos!$C11,'Pagos Mayoristas'!$D$9:$N$9,0))</f>
        <v>559664233.33333325</v>
      </c>
      <c r="Z11" s="78">
        <f>INDEX('Pagos Mayoristas'!$D$10:$N$679,MATCH(Costos!Z$10,'Pagos Mayoristas'!$C$10:$C$679,0),MATCH(Costos!$C11,'Pagos Mayoristas'!$D$9:$N$9,0))</f>
        <v>559664233.33333325</v>
      </c>
      <c r="AA11" s="78">
        <f>INDEX('Pagos Mayoristas'!$D$10:$N$679,MATCH(Costos!AA$10,'Pagos Mayoristas'!$C$10:$C$679,0),MATCH(Costos!$C11,'Pagos Mayoristas'!$D$9:$N$9,0))</f>
        <v>559664233.33333325</v>
      </c>
      <c r="AB11" s="78">
        <f>INDEX('Pagos Mayoristas'!$D$10:$N$679,MATCH(Costos!AB$10,'Pagos Mayoristas'!$C$10:$C$679,0),MATCH(Costos!$C11,'Pagos Mayoristas'!$D$9:$N$9,0))</f>
        <v>559664233.33333325</v>
      </c>
      <c r="AC11" s="78">
        <f>INDEX('Pagos Mayoristas'!$D$10:$N$679,MATCH(Costos!AC$10,'Pagos Mayoristas'!$C$10:$C$679,0),MATCH(Costos!$C11,'Pagos Mayoristas'!$D$9:$N$9,0))</f>
        <v>559664233.33333325</v>
      </c>
    </row>
    <row r="12" spans="2:30" x14ac:dyDescent="0.25">
      <c r="C12" s="82" t="str">
        <f>'Pagos Mayoristas'!$F$9</f>
        <v>Tránsito</v>
      </c>
      <c r="D12" s="78">
        <f>INDEX('Pagos Mayoristas'!$D$10:$N$679,MATCH(Costos!D$10,'Pagos Mayoristas'!$C$10:$C$679,0),MATCH(Costos!$C12,'Pagos Mayoristas'!$D$9:$N$9,0))</f>
        <v>0</v>
      </c>
      <c r="E12" s="78">
        <f>INDEX('Pagos Mayoristas'!$D$10:$N$679,MATCH(Costos!E$10,'Pagos Mayoristas'!$C$10:$C$679,0),MATCH(Costos!$C12,'Pagos Mayoristas'!$D$9:$N$9,0))</f>
        <v>0</v>
      </c>
      <c r="F12" s="78">
        <f>INDEX('Pagos Mayoristas'!$D$10:$N$679,MATCH(Costos!F$10,'Pagos Mayoristas'!$C$10:$C$679,0),MATCH(Costos!$C12,'Pagos Mayoristas'!$D$9:$N$9,0))</f>
        <v>0</v>
      </c>
      <c r="G12" s="78">
        <f>INDEX('Pagos Mayoristas'!$D$10:$N$679,MATCH(Costos!G$10,'Pagos Mayoristas'!$C$10:$C$679,0),MATCH(Costos!$C12,'Pagos Mayoristas'!$D$9:$N$9,0))</f>
        <v>0</v>
      </c>
      <c r="H12" s="78">
        <f>INDEX('Pagos Mayoristas'!$D$10:$N$679,MATCH(Costos!H$10,'Pagos Mayoristas'!$C$10:$C$679,0),MATCH(Costos!$C12,'Pagos Mayoristas'!$D$9:$N$9,0))</f>
        <v>0</v>
      </c>
      <c r="I12" s="78">
        <f>INDEX('Pagos Mayoristas'!$D$10:$N$679,MATCH(Costos!I$10,'Pagos Mayoristas'!$C$10:$C$679,0),MATCH(Costos!$C12,'Pagos Mayoristas'!$D$9:$N$9,0))</f>
        <v>0</v>
      </c>
      <c r="J12" s="78">
        <f>INDEX('Pagos Mayoristas'!$D$10:$N$679,MATCH(Costos!J$10,'Pagos Mayoristas'!$C$10:$C$679,0),MATCH(Costos!$C12,'Pagos Mayoristas'!$D$9:$N$9,0))</f>
        <v>0</v>
      </c>
      <c r="K12" s="78">
        <f>INDEX('Pagos Mayoristas'!$D$10:$N$679,MATCH(Costos!K$10,'Pagos Mayoristas'!$C$10:$C$679,0),MATCH(Costos!$C12,'Pagos Mayoristas'!$D$9:$N$9,0))</f>
        <v>0</v>
      </c>
      <c r="L12" s="78">
        <f>INDEX('Pagos Mayoristas'!$D$10:$N$679,MATCH(Costos!L$10,'Pagos Mayoristas'!$C$10:$C$679,0),MATCH(Costos!$C12,'Pagos Mayoristas'!$D$9:$N$9,0))</f>
        <v>0</v>
      </c>
      <c r="M12" s="78">
        <f>INDEX('Pagos Mayoristas'!$D$10:$N$679,MATCH(Costos!M$10,'Pagos Mayoristas'!$C$10:$C$679,0),MATCH(Costos!$C12,'Pagos Mayoristas'!$D$9:$N$9,0))</f>
        <v>0</v>
      </c>
      <c r="N12" s="78">
        <f>INDEX('Pagos Mayoristas'!$D$10:$N$679,MATCH(Costos!N$10,'Pagos Mayoristas'!$C$10:$C$679,0),MATCH(Costos!$C12,'Pagos Mayoristas'!$D$9:$N$9,0))</f>
        <v>0</v>
      </c>
      <c r="O12" s="78">
        <f>INDEX('Pagos Mayoristas'!$D$10:$N$679,MATCH(Costos!O$10,'Pagos Mayoristas'!$C$10:$C$679,0),MATCH(Costos!$C12,'Pagos Mayoristas'!$D$9:$N$9,0))</f>
        <v>0</v>
      </c>
      <c r="P12" s="78">
        <f>INDEX('Pagos Mayoristas'!$D$10:$N$679,MATCH(Costos!P$10,'Pagos Mayoristas'!$C$10:$C$679,0),MATCH(Costos!$C12,'Pagos Mayoristas'!$D$9:$N$9,0))</f>
        <v>0</v>
      </c>
      <c r="Q12" s="78">
        <f>INDEX('Pagos Mayoristas'!$D$10:$N$679,MATCH(Costos!Q$10,'Pagos Mayoristas'!$C$10:$C$679,0),MATCH(Costos!$C12,'Pagos Mayoristas'!$D$9:$N$9,0))</f>
        <v>0</v>
      </c>
      <c r="R12" s="78">
        <f>INDEX('Pagos Mayoristas'!$D$10:$N$679,MATCH(Costos!R$10,'Pagos Mayoristas'!$C$10:$C$679,0),MATCH(Costos!$C12,'Pagos Mayoristas'!$D$9:$N$9,0))</f>
        <v>0</v>
      </c>
      <c r="S12" s="78">
        <f>INDEX('Pagos Mayoristas'!$D$10:$N$679,MATCH(Costos!S$10,'Pagos Mayoristas'!$C$10:$C$679,0),MATCH(Costos!$C12,'Pagos Mayoristas'!$D$9:$N$9,0))</f>
        <v>0</v>
      </c>
      <c r="T12" s="78">
        <f>INDEX('Pagos Mayoristas'!$D$10:$N$679,MATCH(Costos!T$10,'Pagos Mayoristas'!$C$10:$C$679,0),MATCH(Costos!$C12,'Pagos Mayoristas'!$D$9:$N$9,0))</f>
        <v>0</v>
      </c>
      <c r="U12" s="78">
        <f>INDEX('Pagos Mayoristas'!$D$10:$N$679,MATCH(Costos!U$10,'Pagos Mayoristas'!$C$10:$C$679,0),MATCH(Costos!$C12,'Pagos Mayoristas'!$D$9:$N$9,0))</f>
        <v>0</v>
      </c>
      <c r="V12" s="78">
        <f>INDEX('Pagos Mayoristas'!$D$10:$N$679,MATCH(Costos!V$10,'Pagos Mayoristas'!$C$10:$C$679,0),MATCH(Costos!$C12,'Pagos Mayoristas'!$D$9:$N$9,0))</f>
        <v>0</v>
      </c>
      <c r="W12" s="78">
        <f>INDEX('Pagos Mayoristas'!$D$10:$N$679,MATCH(Costos!W$10,'Pagos Mayoristas'!$C$10:$C$679,0),MATCH(Costos!$C12,'Pagos Mayoristas'!$D$9:$N$9,0))</f>
        <v>0</v>
      </c>
      <c r="X12" s="78">
        <f>INDEX('Pagos Mayoristas'!$D$10:$N$679,MATCH(Costos!X$10,'Pagos Mayoristas'!$C$10:$C$679,0),MATCH(Costos!$C12,'Pagos Mayoristas'!$D$9:$N$9,0))</f>
        <v>0</v>
      </c>
      <c r="Y12" s="78">
        <f>INDEX('Pagos Mayoristas'!$D$10:$N$679,MATCH(Costos!Y$10,'Pagos Mayoristas'!$C$10:$C$679,0),MATCH(Costos!$C12,'Pagos Mayoristas'!$D$9:$N$9,0))</f>
        <v>0</v>
      </c>
      <c r="Z12" s="78">
        <f>INDEX('Pagos Mayoristas'!$D$10:$N$679,MATCH(Costos!Z$10,'Pagos Mayoristas'!$C$10:$C$679,0),MATCH(Costos!$C12,'Pagos Mayoristas'!$D$9:$N$9,0))</f>
        <v>0</v>
      </c>
      <c r="AA12" s="78">
        <f>INDEX('Pagos Mayoristas'!$D$10:$N$679,MATCH(Costos!AA$10,'Pagos Mayoristas'!$C$10:$C$679,0),MATCH(Costos!$C12,'Pagos Mayoristas'!$D$9:$N$9,0))</f>
        <v>0</v>
      </c>
      <c r="AB12" s="78">
        <f>INDEX('Pagos Mayoristas'!$D$10:$N$679,MATCH(Costos!AB$10,'Pagos Mayoristas'!$C$10:$C$679,0),MATCH(Costos!$C12,'Pagos Mayoristas'!$D$9:$N$9,0))</f>
        <v>0</v>
      </c>
      <c r="AC12" s="78">
        <f>INDEX('Pagos Mayoristas'!$D$10:$N$679,MATCH(Costos!AC$10,'Pagos Mayoristas'!$C$10:$C$679,0),MATCH(Costos!$C12,'Pagos Mayoristas'!$D$9:$N$9,0))</f>
        <v>0</v>
      </c>
    </row>
    <row r="13" spans="2:30" x14ac:dyDescent="0.25">
      <c r="C13" s="82" t="str">
        <f>'Pagos Mayoristas'!$I$9</f>
        <v>Cargo por administración de usuarios</v>
      </c>
      <c r="D13" s="78">
        <f>INDEX('Pagos Mayoristas'!$D$10:$N$679,MATCH(Costos!D$10,'Pagos Mayoristas'!$C$10:$C$679,0),MATCH(Costos!$C13,'Pagos Mayoristas'!$D$9:$N$9,0))</f>
        <v>30000000</v>
      </c>
      <c r="E13" s="78">
        <f>INDEX('Pagos Mayoristas'!$D$10:$N$679,MATCH(Costos!E$10,'Pagos Mayoristas'!$C$10:$C$679,0),MATCH(Costos!$C13,'Pagos Mayoristas'!$D$9:$N$9,0))</f>
        <v>24750000</v>
      </c>
      <c r="F13" s="78">
        <f>INDEX('Pagos Mayoristas'!$D$10:$N$679,MATCH(Costos!F$10,'Pagos Mayoristas'!$C$10:$C$679,0),MATCH(Costos!$C13,'Pagos Mayoristas'!$D$9:$N$9,0))</f>
        <v>3750000</v>
      </c>
      <c r="G13" s="78">
        <f>INDEX('Pagos Mayoristas'!$D$10:$N$679,MATCH(Costos!G$10,'Pagos Mayoristas'!$C$10:$C$679,0),MATCH(Costos!$C13,'Pagos Mayoristas'!$D$9:$N$9,0))</f>
        <v>20625000</v>
      </c>
      <c r="H13" s="78">
        <f>INDEX('Pagos Mayoristas'!$D$10:$N$679,MATCH(Costos!H$10,'Pagos Mayoristas'!$C$10:$C$679,0),MATCH(Costos!$C13,'Pagos Mayoristas'!$D$9:$N$9,0))</f>
        <v>562500</v>
      </c>
      <c r="I13" s="78">
        <f>INDEX('Pagos Mayoristas'!$D$10:$N$679,MATCH(Costos!I$10,'Pagos Mayoristas'!$C$10:$C$679,0),MATCH(Costos!$C13,'Pagos Mayoristas'!$D$9:$N$9,0))</f>
        <v>187500</v>
      </c>
      <c r="J13" s="78">
        <f>INDEX('Pagos Mayoristas'!$D$10:$N$679,MATCH(Costos!J$10,'Pagos Mayoristas'!$C$10:$C$679,0),MATCH(Costos!$C13,'Pagos Mayoristas'!$D$9:$N$9,0))</f>
        <v>10919117.647058824</v>
      </c>
      <c r="K13" s="78">
        <f>INDEX('Pagos Mayoristas'!$D$10:$N$679,MATCH(Costos!K$10,'Pagos Mayoristas'!$C$10:$C$679,0),MATCH(Costos!$C13,'Pagos Mayoristas'!$D$9:$N$9,0))</f>
        <v>6066176.4705882352</v>
      </c>
      <c r="L13" s="78">
        <f>INDEX('Pagos Mayoristas'!$D$10:$N$679,MATCH(Costos!L$10,'Pagos Mayoristas'!$C$10:$C$679,0),MATCH(Costos!$C13,'Pagos Mayoristas'!$D$9:$N$9,0))</f>
        <v>1213235.294117647</v>
      </c>
      <c r="M13" s="78">
        <f>INDEX('Pagos Mayoristas'!$D$10:$N$679,MATCH(Costos!M$10,'Pagos Mayoristas'!$C$10:$C$679,0),MATCH(Costos!$C13,'Pagos Mayoristas'!$D$9:$N$9,0))</f>
        <v>87352.941176470587</v>
      </c>
      <c r="N13" s="78">
        <f>INDEX('Pagos Mayoristas'!$D$10:$N$679,MATCH(Costos!N$10,'Pagos Mayoristas'!$C$10:$C$679,0),MATCH(Costos!$C13,'Pagos Mayoristas'!$D$9:$N$9,0))</f>
        <v>29117.647058823528</v>
      </c>
      <c r="O13" s="78">
        <f>INDEX('Pagos Mayoristas'!$D$10:$N$679,MATCH(Costos!O$10,'Pagos Mayoristas'!$C$10:$C$679,0),MATCH(Costos!$C13,'Pagos Mayoristas'!$D$9:$N$9,0))</f>
        <v>562500</v>
      </c>
      <c r="P13" s="78">
        <f>INDEX('Pagos Mayoristas'!$D$10:$N$679,MATCH(Costos!P$10,'Pagos Mayoristas'!$C$10:$C$679,0),MATCH(Costos!$C13,'Pagos Mayoristas'!$D$9:$N$9,0))</f>
        <v>215265</v>
      </c>
      <c r="Q13" s="78">
        <f>INDEX('Pagos Mayoristas'!$D$10:$N$679,MATCH(Costos!Q$10,'Pagos Mayoristas'!$C$10:$C$679,0),MATCH(Costos!$C13,'Pagos Mayoristas'!$D$9:$N$9,0))</f>
        <v>364364.625</v>
      </c>
      <c r="R13" s="78">
        <f>INDEX('Pagos Mayoristas'!$D$10:$N$679,MATCH(Costos!R$10,'Pagos Mayoristas'!$C$10:$C$679,0),MATCH(Costos!$C13,'Pagos Mayoristas'!$D$9:$N$9,0))</f>
        <v>562500</v>
      </c>
      <c r="S13" s="78">
        <f>INDEX('Pagos Mayoristas'!$D$10:$N$679,MATCH(Costos!S$10,'Pagos Mayoristas'!$C$10:$C$679,0),MATCH(Costos!$C13,'Pagos Mayoristas'!$D$9:$N$9,0))</f>
        <v>215265</v>
      </c>
      <c r="T13" s="78">
        <f>INDEX('Pagos Mayoristas'!$D$10:$N$679,MATCH(Costos!T$10,'Pagos Mayoristas'!$C$10:$C$679,0),MATCH(Costos!$C13,'Pagos Mayoristas'!$D$9:$N$9,0))</f>
        <v>364364.625</v>
      </c>
      <c r="U13" s="78">
        <f>INDEX('Pagos Mayoristas'!$D$10:$N$679,MATCH(Costos!U$10,'Pagos Mayoristas'!$C$10:$C$679,0),MATCH(Costos!$C13,'Pagos Mayoristas'!$D$9:$N$9,0))</f>
        <v>562500</v>
      </c>
      <c r="V13" s="78">
        <f>INDEX('Pagos Mayoristas'!$D$10:$N$679,MATCH(Costos!V$10,'Pagos Mayoristas'!$C$10:$C$679,0),MATCH(Costos!$C13,'Pagos Mayoristas'!$D$9:$N$9,0))</f>
        <v>215265</v>
      </c>
      <c r="W13" s="78">
        <f>INDEX('Pagos Mayoristas'!$D$10:$N$679,MATCH(Costos!W$10,'Pagos Mayoristas'!$C$10:$C$679,0),MATCH(Costos!$C13,'Pagos Mayoristas'!$D$9:$N$9,0))</f>
        <v>364364.625</v>
      </c>
      <c r="X13" s="78">
        <f>INDEX('Pagos Mayoristas'!$D$10:$N$679,MATCH(Costos!X$10,'Pagos Mayoristas'!$C$10:$C$679,0),MATCH(Costos!$C13,'Pagos Mayoristas'!$D$9:$N$9,0))</f>
        <v>562500</v>
      </c>
      <c r="Y13" s="78">
        <f>INDEX('Pagos Mayoristas'!$D$10:$N$679,MATCH(Costos!Y$10,'Pagos Mayoristas'!$C$10:$C$679,0),MATCH(Costos!$C13,'Pagos Mayoristas'!$D$9:$N$9,0))</f>
        <v>562500</v>
      </c>
      <c r="Z13" s="78">
        <f>INDEX('Pagos Mayoristas'!$D$10:$N$679,MATCH(Costos!Z$10,'Pagos Mayoristas'!$C$10:$C$679,0),MATCH(Costos!$C13,'Pagos Mayoristas'!$D$9:$N$9,0))</f>
        <v>215265</v>
      </c>
      <c r="AA13" s="78">
        <f>INDEX('Pagos Mayoristas'!$D$10:$N$679,MATCH(Costos!AA$10,'Pagos Mayoristas'!$C$10:$C$679,0),MATCH(Costos!$C13,'Pagos Mayoristas'!$D$9:$N$9,0))</f>
        <v>364364.625</v>
      </c>
      <c r="AB13" s="78">
        <f>INDEX('Pagos Mayoristas'!$D$10:$N$679,MATCH(Costos!AB$10,'Pagos Mayoristas'!$C$10:$C$679,0),MATCH(Costos!$C13,'Pagos Mayoristas'!$D$9:$N$9,0))</f>
        <v>562500</v>
      </c>
      <c r="AC13" s="78">
        <f>INDEX('Pagos Mayoristas'!$D$10:$N$679,MATCH(Costos!AC$10,'Pagos Mayoristas'!$C$10:$C$679,0),MATCH(Costos!$C13,'Pagos Mayoristas'!$D$9:$N$9,0))</f>
        <v>215265</v>
      </c>
    </row>
    <row r="14" spans="2:30" x14ac:dyDescent="0.25">
      <c r="C14" s="82" t="str">
        <f>'Pagos Mayoristas'!$L$9</f>
        <v>Pagos fijos</v>
      </c>
      <c r="D14" s="78">
        <f>INDEX('Pagos Mayoristas'!$D$10:$N$679,MATCH(Costos!D$10,'Pagos Mayoristas'!$C$10:$C$679,0),MATCH(Costos!$C14,'Pagos Mayoristas'!$D$9:$N$9,0))</f>
        <v>625000</v>
      </c>
      <c r="E14" s="78">
        <f>INDEX('Pagos Mayoristas'!$D$10:$N$679,MATCH(Costos!E$10,'Pagos Mayoristas'!$C$10:$C$679,0),MATCH(Costos!$C14,'Pagos Mayoristas'!$D$9:$N$9,0))</f>
        <v>364457.8313253012</v>
      </c>
      <c r="F14" s="78">
        <f>INDEX('Pagos Mayoristas'!$D$10:$N$679,MATCH(Costos!F$10,'Pagos Mayoristas'!$C$10:$C$679,0),MATCH(Costos!$C14,'Pagos Mayoristas'!$D$9:$N$9,0))</f>
        <v>260542.1686746988</v>
      </c>
      <c r="G14" s="78">
        <f>INDEX('Pagos Mayoristas'!$D$10:$N$679,MATCH(Costos!G$10,'Pagos Mayoristas'!$C$10:$C$679,0),MATCH(Costos!$C14,'Pagos Mayoristas'!$D$9:$N$9,0))</f>
        <v>134036.14457831316</v>
      </c>
      <c r="H14" s="78">
        <f>INDEX('Pagos Mayoristas'!$D$10:$N$679,MATCH(Costos!H$10,'Pagos Mayoristas'!$C$10:$C$679,0),MATCH(Costos!$C14,'Pagos Mayoristas'!$D$9:$N$9,0))</f>
        <v>134036.14457831316</v>
      </c>
      <c r="I14" s="78">
        <f>INDEX('Pagos Mayoristas'!$D$10:$N$679,MATCH(Costos!I$10,'Pagos Mayoristas'!$C$10:$C$679,0),MATCH(Costos!$C14,'Pagos Mayoristas'!$D$9:$N$9,0))</f>
        <v>134036.14457831316</v>
      </c>
      <c r="J14" s="78">
        <f>INDEX('Pagos Mayoristas'!$D$10:$N$679,MATCH(Costos!J$10,'Pagos Mayoristas'!$C$10:$C$679,0),MATCH(Costos!$C14,'Pagos Mayoristas'!$D$9:$N$9,0))</f>
        <v>45180.722891566264</v>
      </c>
      <c r="K14" s="78">
        <f>INDEX('Pagos Mayoristas'!$D$10:$N$679,MATCH(Costos!K$10,'Pagos Mayoristas'!$C$10:$C$679,0),MATCH(Costos!$C14,'Pagos Mayoristas'!$D$9:$N$9,0))</f>
        <v>36144.578313253012</v>
      </c>
      <c r="L14" s="78">
        <f>INDEX('Pagos Mayoristas'!$D$10:$N$679,MATCH(Costos!L$10,'Pagos Mayoristas'!$C$10:$C$679,0),MATCH(Costos!$C14,'Pagos Mayoristas'!$D$9:$N$9,0))</f>
        <v>30120.481927710844</v>
      </c>
      <c r="M14" s="78">
        <f>INDEX('Pagos Mayoristas'!$D$10:$N$679,MATCH(Costos!M$10,'Pagos Mayoristas'!$C$10:$C$679,0),MATCH(Costos!$C14,'Pagos Mayoristas'!$D$9:$N$9,0))</f>
        <v>7530.1204819277109</v>
      </c>
      <c r="N14" s="78">
        <f>INDEX('Pagos Mayoristas'!$D$10:$N$679,MATCH(Costos!N$10,'Pagos Mayoristas'!$C$10:$C$679,0),MATCH(Costos!$C14,'Pagos Mayoristas'!$D$9:$N$9,0))</f>
        <v>6024.0963855421696</v>
      </c>
      <c r="O14" s="78">
        <f>INDEX('Pagos Mayoristas'!$D$10:$N$679,MATCH(Costos!O$10,'Pagos Mayoristas'!$C$10:$C$679,0),MATCH(Costos!$C14,'Pagos Mayoristas'!$D$9:$N$9,0))</f>
        <v>81827.309236947796</v>
      </c>
      <c r="P14" s="78">
        <f>INDEX('Pagos Mayoristas'!$D$10:$N$679,MATCH(Costos!P$10,'Pagos Mayoristas'!$C$10:$C$679,0),MATCH(Costos!$C14,'Pagos Mayoristas'!$D$9:$N$9,0))</f>
        <v>54718.875502007926</v>
      </c>
      <c r="Q14" s="78">
        <f>INDEX('Pagos Mayoristas'!$D$10:$N$679,MATCH(Costos!Q$10,'Pagos Mayoristas'!$C$10:$C$679,0),MATCH(Costos!$C14,'Pagos Mayoristas'!$D$9:$N$9,0))</f>
        <v>54718.875502007926</v>
      </c>
      <c r="R14" s="78">
        <f>INDEX('Pagos Mayoristas'!$D$10:$N$679,MATCH(Costos!R$10,'Pagos Mayoristas'!$C$10:$C$679,0),MATCH(Costos!$C14,'Pagos Mayoristas'!$D$9:$N$9,0))</f>
        <v>81827.309257028144</v>
      </c>
      <c r="S14" s="78">
        <f>INDEX('Pagos Mayoristas'!$D$10:$N$679,MATCH(Costos!S$10,'Pagos Mayoristas'!$C$10:$C$679,0),MATCH(Costos!$C14,'Pagos Mayoristas'!$D$9:$N$9,0))</f>
        <v>81827.309257028144</v>
      </c>
      <c r="T14" s="78">
        <f>INDEX('Pagos Mayoristas'!$D$10:$N$679,MATCH(Costos!T$10,'Pagos Mayoristas'!$C$10:$C$679,0),MATCH(Costos!$C14,'Pagos Mayoristas'!$D$9:$N$9,0))</f>
        <v>81827.309257028144</v>
      </c>
      <c r="U14" s="78">
        <f>INDEX('Pagos Mayoristas'!$D$10:$N$679,MATCH(Costos!U$10,'Pagos Mayoristas'!$C$10:$C$679,0),MATCH(Costos!$C14,'Pagos Mayoristas'!$D$9:$N$9,0))</f>
        <v>81827.309257028144</v>
      </c>
      <c r="V14" s="78">
        <f>INDEX('Pagos Mayoristas'!$D$10:$N$679,MATCH(Costos!V$10,'Pagos Mayoristas'!$C$10:$C$679,0),MATCH(Costos!$C14,'Pagos Mayoristas'!$D$9:$N$9,0))</f>
        <v>81827.309257028144</v>
      </c>
      <c r="W14" s="78">
        <f>INDEX('Pagos Mayoristas'!$D$10:$N$679,MATCH(Costos!W$10,'Pagos Mayoristas'!$C$10:$C$679,0),MATCH(Costos!$C14,'Pagos Mayoristas'!$D$9:$N$9,0))</f>
        <v>81827.309257028144</v>
      </c>
      <c r="X14" s="78">
        <f>INDEX('Pagos Mayoristas'!$D$10:$N$679,MATCH(Costos!X$10,'Pagos Mayoristas'!$C$10:$C$679,0),MATCH(Costos!$C14,'Pagos Mayoristas'!$D$9:$N$9,0))</f>
        <v>81827.309257028144</v>
      </c>
      <c r="Y14" s="78">
        <f>INDEX('Pagos Mayoristas'!$D$10:$N$679,MATCH(Costos!Y$10,'Pagos Mayoristas'!$C$10:$C$679,0),MATCH(Costos!$C14,'Pagos Mayoristas'!$D$9:$N$9,0))</f>
        <v>81827.309257028144</v>
      </c>
      <c r="Z14" s="78">
        <f>INDEX('Pagos Mayoristas'!$D$10:$N$679,MATCH(Costos!Z$10,'Pagos Mayoristas'!$C$10:$C$679,0),MATCH(Costos!$C14,'Pagos Mayoristas'!$D$9:$N$9,0))</f>
        <v>81827.309257028144</v>
      </c>
      <c r="AA14" s="78">
        <f>INDEX('Pagos Mayoristas'!$D$10:$N$679,MATCH(Costos!AA$10,'Pagos Mayoristas'!$C$10:$C$679,0),MATCH(Costos!$C14,'Pagos Mayoristas'!$D$9:$N$9,0))</f>
        <v>81827.309257028144</v>
      </c>
      <c r="AB14" s="78">
        <f>INDEX('Pagos Mayoristas'!$D$10:$N$679,MATCH(Costos!AB$10,'Pagos Mayoristas'!$C$10:$C$679,0),MATCH(Costos!$C14,'Pagos Mayoristas'!$D$9:$N$9,0))</f>
        <v>81827.309257028144</v>
      </c>
      <c r="AC14" s="78">
        <f>INDEX('Pagos Mayoristas'!$D$10:$N$679,MATCH(Costos!AC$10,'Pagos Mayoristas'!$C$10:$C$679,0),MATCH(Costos!$C14,'Pagos Mayoristas'!$D$9:$N$9,0))</f>
        <v>81827.309257028144</v>
      </c>
    </row>
    <row r="15" spans="2:30" x14ac:dyDescent="0.25">
      <c r="C15" s="82" t="str">
        <f>'Pagos Mayoristas'!$N$9</f>
        <v>Terminación</v>
      </c>
      <c r="D15" s="78">
        <f>INDEX('Pagos Mayoristas'!$D$10:$N$679,MATCH(Costos!D$10,'Pagos Mayoristas'!$C$10:$C$679,0),MATCH(Costos!$C15,'Pagos Mayoristas'!$D$9:$N$9,0))</f>
        <v>345924000</v>
      </c>
      <c r="E15" s="78">
        <f>INDEX('Pagos Mayoristas'!$D$10:$N$679,MATCH(Costos!E$10,'Pagos Mayoristas'!$C$10:$C$679,0),MATCH(Costos!$C15,'Pagos Mayoristas'!$D$9:$N$9,0))</f>
        <v>103777200</v>
      </c>
      <c r="F15" s="78">
        <f>INDEX('Pagos Mayoristas'!$D$10:$N$679,MATCH(Costos!F$10,'Pagos Mayoristas'!$C$10:$C$679,0),MATCH(Costos!$C15,'Pagos Mayoristas'!$D$9:$N$9,0))</f>
        <v>242146800</v>
      </c>
      <c r="G15" s="78">
        <f>INDEX('Pagos Mayoristas'!$D$10:$N$679,MATCH(Costos!G$10,'Pagos Mayoristas'!$C$10:$C$679,0),MATCH(Costos!$C15,'Pagos Mayoristas'!$D$9:$N$9,0))</f>
        <v>34592400</v>
      </c>
      <c r="H15" s="78">
        <f>INDEX('Pagos Mayoristas'!$D$10:$N$679,MATCH(Costos!H$10,'Pagos Mayoristas'!$C$10:$C$679,0),MATCH(Costos!$C15,'Pagos Mayoristas'!$D$9:$N$9,0))</f>
        <v>20231858.389023714</v>
      </c>
      <c r="I15" s="78">
        <f>INDEX('Pagos Mayoristas'!$D$10:$N$679,MATCH(Costos!I$10,'Pagos Mayoristas'!$C$10:$C$679,0),MATCH(Costos!$C15,'Pagos Mayoristas'!$D$9:$N$9,0))</f>
        <v>34592400</v>
      </c>
      <c r="J15" s="78">
        <f>INDEX('Pagos Mayoristas'!$D$10:$N$679,MATCH(Costos!J$10,'Pagos Mayoristas'!$C$10:$C$679,0),MATCH(Costos!$C15,'Pagos Mayoristas'!$D$9:$N$9,0))</f>
        <v>34592508.900399998</v>
      </c>
      <c r="K15" s="78">
        <f>INDEX('Pagos Mayoristas'!$D$10:$N$679,MATCH(Costos!K$10,'Pagos Mayoristas'!$C$10:$C$679,0),MATCH(Costos!$C15,'Pagos Mayoristas'!$D$9:$N$9,0))</f>
        <v>34592536.550799996</v>
      </c>
      <c r="L15" s="78">
        <f>INDEX('Pagos Mayoristas'!$D$10:$N$679,MATCH(Costos!L$10,'Pagos Mayoristas'!$C$10:$C$679,0),MATCH(Costos!$C15,'Pagos Mayoristas'!$D$9:$N$9,0))</f>
        <v>34592646.701199993</v>
      </c>
      <c r="M15" s="78">
        <f>INDEX('Pagos Mayoristas'!$D$10:$N$679,MATCH(Costos!M$10,'Pagos Mayoristas'!$C$10:$C$679,0),MATCH(Costos!$C15,'Pagos Mayoristas'!$D$9:$N$9,0))</f>
        <v>34592755.601599999</v>
      </c>
      <c r="N15" s="78">
        <f>INDEX('Pagos Mayoristas'!$D$10:$N$679,MATCH(Costos!N$10,'Pagos Mayoristas'!$C$10:$C$679,0),MATCH(Costos!$C15,'Pagos Mayoristas'!$D$9:$N$9,0))</f>
        <v>34592864.502000004</v>
      </c>
      <c r="O15" s="78">
        <f>INDEX('Pagos Mayoristas'!$D$10:$N$679,MATCH(Costos!O$10,'Pagos Mayoristas'!$C$10:$C$679,0),MATCH(Costos!$C15,'Pagos Mayoristas'!$D$9:$N$9,0))</f>
        <v>80715600</v>
      </c>
      <c r="P15" s="78">
        <f>INDEX('Pagos Mayoristas'!$D$10:$N$679,MATCH(Costos!P$10,'Pagos Mayoristas'!$C$10:$C$679,0),MATCH(Costos!$C15,'Pagos Mayoristas'!$D$9:$N$9,0))</f>
        <v>80715600</v>
      </c>
      <c r="Q15" s="78">
        <f>INDEX('Pagos Mayoristas'!$D$10:$N$679,MATCH(Costos!Q$10,'Pagos Mayoristas'!$C$10:$C$679,0),MATCH(Costos!$C15,'Pagos Mayoristas'!$D$9:$N$9,0))</f>
        <v>80715600</v>
      </c>
      <c r="R15" s="78">
        <f>INDEX('Pagos Mayoristas'!$D$10:$N$679,MATCH(Costos!R$10,'Pagos Mayoristas'!$C$10:$C$679,0),MATCH(Costos!$C15,'Pagos Mayoristas'!$D$9:$N$9,0))</f>
        <v>80715600</v>
      </c>
      <c r="S15" s="78">
        <f>INDEX('Pagos Mayoristas'!$D$10:$N$679,MATCH(Costos!S$10,'Pagos Mayoristas'!$C$10:$C$679,0),MATCH(Costos!$C15,'Pagos Mayoristas'!$D$9:$N$9,0))</f>
        <v>80715600</v>
      </c>
      <c r="T15" s="78">
        <f>INDEX('Pagos Mayoristas'!$D$10:$N$679,MATCH(Costos!T$10,'Pagos Mayoristas'!$C$10:$C$679,0),MATCH(Costos!$C15,'Pagos Mayoristas'!$D$9:$N$9,0))</f>
        <v>80715600</v>
      </c>
      <c r="U15" s="78">
        <f>INDEX('Pagos Mayoristas'!$D$10:$N$679,MATCH(Costos!U$10,'Pagos Mayoristas'!$C$10:$C$679,0),MATCH(Costos!$C15,'Pagos Mayoristas'!$D$9:$N$9,0))</f>
        <v>80715600</v>
      </c>
      <c r="V15" s="78">
        <f>INDEX('Pagos Mayoristas'!$D$10:$N$679,MATCH(Costos!V$10,'Pagos Mayoristas'!$C$10:$C$679,0),MATCH(Costos!$C15,'Pagos Mayoristas'!$D$9:$N$9,0))</f>
        <v>80715600</v>
      </c>
      <c r="W15" s="78">
        <f>INDEX('Pagos Mayoristas'!$D$10:$N$679,MATCH(Costos!W$10,'Pagos Mayoristas'!$C$10:$C$679,0),MATCH(Costos!$C15,'Pagos Mayoristas'!$D$9:$N$9,0))</f>
        <v>80715600</v>
      </c>
      <c r="X15" s="78">
        <f>INDEX('Pagos Mayoristas'!$D$10:$N$679,MATCH(Costos!X$10,'Pagos Mayoristas'!$C$10:$C$679,0),MATCH(Costos!$C15,'Pagos Mayoristas'!$D$9:$N$9,0))</f>
        <v>80715600</v>
      </c>
      <c r="Y15" s="78">
        <f>INDEX('Pagos Mayoristas'!$D$10:$N$679,MATCH(Costos!Y$10,'Pagos Mayoristas'!$C$10:$C$679,0),MATCH(Costos!$C15,'Pagos Mayoristas'!$D$9:$N$9,0))</f>
        <v>80715600</v>
      </c>
      <c r="Z15" s="78">
        <f>INDEX('Pagos Mayoristas'!$D$10:$N$679,MATCH(Costos!Z$10,'Pagos Mayoristas'!$C$10:$C$679,0),MATCH(Costos!$C15,'Pagos Mayoristas'!$D$9:$N$9,0))</f>
        <v>80715600</v>
      </c>
      <c r="AA15" s="78">
        <f>INDEX('Pagos Mayoristas'!$D$10:$N$679,MATCH(Costos!AA$10,'Pagos Mayoristas'!$C$10:$C$679,0),MATCH(Costos!$C15,'Pagos Mayoristas'!$D$9:$N$9,0))</f>
        <v>80715600</v>
      </c>
      <c r="AB15" s="78">
        <f>INDEX('Pagos Mayoristas'!$D$10:$N$679,MATCH(Costos!AB$10,'Pagos Mayoristas'!$C$10:$C$679,0),MATCH(Costos!$C15,'Pagos Mayoristas'!$D$9:$N$9,0))</f>
        <v>80715600</v>
      </c>
      <c r="AC15" s="78">
        <f>INDEX('Pagos Mayoristas'!$D$10:$N$679,MATCH(Costos!AC$10,'Pagos Mayoristas'!$C$10:$C$679,0),MATCH(Costos!$C15,'Pagos Mayoristas'!$D$9:$N$9,0))</f>
        <v>80715600</v>
      </c>
    </row>
    <row r="16" spans="2:30" ht="13" x14ac:dyDescent="0.25">
      <c r="C16" s="33" t="s">
        <v>13</v>
      </c>
      <c r="D16" s="91">
        <f>SUM(D11:D15)</f>
        <v>2775110000</v>
      </c>
      <c r="E16" s="91">
        <f t="shared" ref="E16:Q16" si="0">SUM(E11:E15)</f>
        <v>848459957.83132529</v>
      </c>
      <c r="F16" s="91">
        <f t="shared" si="0"/>
        <v>1925150042.1686747</v>
      </c>
      <c r="G16" s="91">
        <f t="shared" si="0"/>
        <v>295207536.14457834</v>
      </c>
      <c r="H16" s="91">
        <f t="shared" si="0"/>
        <v>709867048.38388801</v>
      </c>
      <c r="I16" s="91">
        <f t="shared" si="0"/>
        <v>274770036.14457834</v>
      </c>
      <c r="J16" s="91">
        <f t="shared" si="0"/>
        <v>285412907.76305032</v>
      </c>
      <c r="K16" s="91">
        <f t="shared" si="0"/>
        <v>280550958.52510154</v>
      </c>
      <c r="L16" s="91">
        <f t="shared" si="0"/>
        <v>275692103.89534533</v>
      </c>
      <c r="M16" s="91">
        <f t="shared" si="0"/>
        <v>274543740.57405847</v>
      </c>
      <c r="N16" s="91">
        <f t="shared" si="0"/>
        <v>274484108.64894438</v>
      </c>
      <c r="O16" s="91">
        <f t="shared" si="0"/>
        <v>641024160.64257026</v>
      </c>
      <c r="P16" s="91">
        <f>SUM(P11:P15)</f>
        <v>640649817.20883524</v>
      </c>
      <c r="Q16" s="91">
        <f t="shared" si="0"/>
        <v>640798916.83383524</v>
      </c>
      <c r="R16" s="91">
        <f t="shared" ref="R16:W16" si="1">SUM(R11:R15)</f>
        <v>641024160.64259028</v>
      </c>
      <c r="S16" s="91">
        <f t="shared" si="1"/>
        <v>640676925.64259028</v>
      </c>
      <c r="T16" s="91">
        <f t="shared" si="1"/>
        <v>640826025.26759028</v>
      </c>
      <c r="U16" s="91">
        <f t="shared" si="1"/>
        <v>641024160.64259028</v>
      </c>
      <c r="V16" s="91">
        <f t="shared" si="1"/>
        <v>640676925.64259028</v>
      </c>
      <c r="W16" s="91">
        <f t="shared" si="1"/>
        <v>640826025.26759028</v>
      </c>
      <c r="X16" s="91">
        <f t="shared" ref="X16:AC16" si="2">SUM(X11:X15)</f>
        <v>641024160.64259028</v>
      </c>
      <c r="Y16" s="91">
        <f t="shared" si="2"/>
        <v>641024160.64259028</v>
      </c>
      <c r="Z16" s="91">
        <f t="shared" si="2"/>
        <v>640676925.64259028</v>
      </c>
      <c r="AA16" s="91">
        <f t="shared" si="2"/>
        <v>640826025.26759028</v>
      </c>
      <c r="AB16" s="91">
        <f t="shared" si="2"/>
        <v>641024160.64259028</v>
      </c>
      <c r="AC16" s="91">
        <f t="shared" si="2"/>
        <v>640676925.64259028</v>
      </c>
    </row>
    <row r="18" spans="2:29" ht="13" x14ac:dyDescent="0.3">
      <c r="C18" s="73" t="s">
        <v>42</v>
      </c>
      <c r="D18" s="38" t="str">
        <f>IF(D16='Pagos Mayoristas'!$O10,"Ok","Error")</f>
        <v>Ok</v>
      </c>
      <c r="E18" s="38" t="str">
        <f>IF(E16='Pagos Mayoristas'!$O36,"Ok","Error")</f>
        <v>Ok</v>
      </c>
      <c r="F18" s="38" t="str">
        <f>IF(F16='Pagos Mayoristas'!$O62,"Ok","Error")</f>
        <v>Ok</v>
      </c>
      <c r="G18" s="38" t="str">
        <f>IF(G16='Pagos Mayoristas'!$O88,"Ok","Error")</f>
        <v>Ok</v>
      </c>
      <c r="H18" s="38" t="str">
        <f>IF(H16='Pagos Mayoristas'!$O114,"Ok","Error")</f>
        <v>Ok</v>
      </c>
      <c r="I18" s="38" t="str">
        <f>IF(I16='Pagos Mayoristas'!$O140,"Ok","Error")</f>
        <v>Ok</v>
      </c>
      <c r="J18" s="38" t="str">
        <f>IF(J16='Pagos Mayoristas'!$O166,"Ok","Error")</f>
        <v>Ok</v>
      </c>
      <c r="K18" s="38" t="str">
        <f>IF(K16='Pagos Mayoristas'!$O192,"Ok","Error")</f>
        <v>Ok</v>
      </c>
      <c r="L18" s="38" t="str">
        <f>IF(L16='Pagos Mayoristas'!$O218,"Ok","Error")</f>
        <v>Ok</v>
      </c>
      <c r="M18" s="38" t="str">
        <f>IF(M16='Pagos Mayoristas'!$O244,"Ok","Error")</f>
        <v>Ok</v>
      </c>
      <c r="N18" s="38" t="str">
        <f>IF(N16='Pagos Mayoristas'!$O270,"Ok","Error")</f>
        <v>Ok</v>
      </c>
      <c r="O18" s="38" t="str">
        <f>IF(O16='Pagos Mayoristas'!$O296,"Ok","Error")</f>
        <v>Ok</v>
      </c>
      <c r="P18" s="38" t="str">
        <f>IF(P16='Pagos Mayoristas'!$O322,"Ok","Error")</f>
        <v>Ok</v>
      </c>
      <c r="Q18" s="38" t="str">
        <f>IF(Q16='Pagos Mayoristas'!$O348,"Ok","Error")</f>
        <v>Ok</v>
      </c>
      <c r="R18" s="38" t="str">
        <f>IF(R16='Pagos Mayoristas'!$O374,"Ok","Error")</f>
        <v>Ok</v>
      </c>
      <c r="S18" s="38" t="str">
        <f>IF(S16='Pagos Mayoristas'!$O400,"Ok","Error")</f>
        <v>Ok</v>
      </c>
      <c r="T18" s="38" t="str">
        <f>IF(T16='Pagos Mayoristas'!$O426,"Ok","Error")</f>
        <v>Ok</v>
      </c>
      <c r="U18" s="38" t="str">
        <f>IF(U16='Pagos Mayoristas'!$O452,"Ok","Error")</f>
        <v>Ok</v>
      </c>
      <c r="V18" s="38" t="str">
        <f>IF(V16='Pagos Mayoristas'!$O478,"Ok","Error")</f>
        <v>Ok</v>
      </c>
      <c r="W18" s="38" t="str">
        <f>IF(W16='Pagos Mayoristas'!$O504,"Ok","Error")</f>
        <v>Ok</v>
      </c>
      <c r="X18" s="38" t="str">
        <f>IF(X16='Pagos Mayoristas'!$O530,"Ok","Error")</f>
        <v>Ok</v>
      </c>
      <c r="Y18" s="38" t="str">
        <f>IF(Y16='Pagos Mayoristas'!$O556,"Ok","Error")</f>
        <v>Ok</v>
      </c>
      <c r="Z18" s="38" t="str">
        <f>IF(Z16='Pagos Mayoristas'!$O582,"Ok","Error")</f>
        <v>Ok</v>
      </c>
      <c r="AA18" s="38" t="str">
        <f>IF(AA16='Pagos Mayoristas'!$O608,"Ok","Error")</f>
        <v>Ok</v>
      </c>
      <c r="AB18" s="38" t="str">
        <f>IF(AB16='Pagos Mayoristas'!$O634,"Ok","Error")</f>
        <v>Ok</v>
      </c>
      <c r="AC18" s="38" t="str">
        <f>IF(AC16='Pagos Mayoristas'!$O660,"Ok","Error")</f>
        <v>Ok</v>
      </c>
    </row>
    <row r="20" spans="2:29" s="18" customFormat="1" ht="15.65" customHeight="1" x14ac:dyDescent="0.25">
      <c r="B20" s="18" t="s">
        <v>100</v>
      </c>
    </row>
    <row r="22" spans="2:29" ht="13" x14ac:dyDescent="0.3">
      <c r="C22" s="49"/>
      <c r="D22" s="64" t="s">
        <v>101</v>
      </c>
      <c r="E22" s="83" t="str">
        <f>'Prueba Servicios Moviles'!C6</f>
        <v>EEO</v>
      </c>
      <c r="S22" s="193"/>
    </row>
    <row r="23" spans="2:29" x14ac:dyDescent="0.25">
      <c r="G23" s="495" t="s">
        <v>92</v>
      </c>
      <c r="H23" s="496"/>
      <c r="I23" s="497"/>
      <c r="J23" s="495" t="s">
        <v>93</v>
      </c>
      <c r="K23" s="496"/>
      <c r="L23" s="497"/>
      <c r="M23" s="495" t="s">
        <v>94</v>
      </c>
      <c r="N23" s="497"/>
      <c r="O23" s="495" t="s">
        <v>95</v>
      </c>
      <c r="P23" s="496"/>
      <c r="Q23" s="496"/>
      <c r="R23" s="496"/>
      <c r="S23" s="496"/>
      <c r="T23" s="496"/>
      <c r="U23" s="496"/>
      <c r="V23" s="496"/>
      <c r="W23" s="496"/>
      <c r="X23" s="497"/>
      <c r="Y23" s="495" t="s">
        <v>96</v>
      </c>
      <c r="Z23" s="496"/>
      <c r="AA23" s="496"/>
      <c r="AB23" s="496"/>
      <c r="AC23" s="497"/>
    </row>
    <row r="24" spans="2:29" ht="26" x14ac:dyDescent="0.25">
      <c r="C24" s="40" t="s">
        <v>84</v>
      </c>
      <c r="D24" s="23" t="str">
        <f>Supuestos!B$75</f>
        <v>Todos los segmentos</v>
      </c>
      <c r="E24" s="23" t="str">
        <f>Supuestos!$B$76</f>
        <v>Segmento Prepago</v>
      </c>
      <c r="F24" s="23" t="str">
        <f>Supuestos!B$77</f>
        <v>Segmento Pospago</v>
      </c>
      <c r="G24" s="23" t="str">
        <f>Supuestos!B$78</f>
        <v>Telcel Prepago 1</v>
      </c>
      <c r="H24" s="23" t="str">
        <f>Supuestos!B$79</f>
        <v>Telcel Prepago 2</v>
      </c>
      <c r="I24" s="23" t="str">
        <f>Supuestos!B$80</f>
        <v>Telcel Prepago 3</v>
      </c>
      <c r="J24" s="23" t="str">
        <f>Supuestos!B$91</f>
        <v>Monto 1</v>
      </c>
      <c r="K24" s="23" t="str">
        <f>Supuestos!B$92</f>
        <v>Monto 2</v>
      </c>
      <c r="L24" s="23" t="str">
        <f>Supuestos!B$93</f>
        <v>Monto 3</v>
      </c>
      <c r="M24" s="23" t="str">
        <f>Supuestos!B$94</f>
        <v>Portabilidad 1</v>
      </c>
      <c r="N24" s="23" t="str">
        <f>Supuestos!B$95</f>
        <v>Portabilidad 2</v>
      </c>
      <c r="O24" s="23" t="str">
        <f>Supuestos!B$81</f>
        <v>Telcel Pospago 1</v>
      </c>
      <c r="P24" s="23" t="str">
        <f>Supuestos!B$82</f>
        <v>Telcel Pospago 5</v>
      </c>
      <c r="Q24" s="23" t="str">
        <f>Supuestos!B$83</f>
        <v>Telcel Pospago 3</v>
      </c>
      <c r="R24" s="23" t="str">
        <f>Supuestos!B$84</f>
        <v>Telcel Pospago 4</v>
      </c>
      <c r="S24" s="23" t="str">
        <f>Supuestos!B$85</f>
        <v>Telcel Pospago 2</v>
      </c>
      <c r="T24" s="23" t="str">
        <f>Supuestos!B$86</f>
        <v>Telcel Pospago 6</v>
      </c>
      <c r="U24" s="23" t="str">
        <f>Supuestos!B$87</f>
        <v>Telcel Pospago 7</v>
      </c>
      <c r="V24" s="23" t="str">
        <f>Supuestos!B$88</f>
        <v>Telcel Pospago 9</v>
      </c>
      <c r="W24" s="23" t="str">
        <f>Supuestos!B$89</f>
        <v>Telcel Pospago 8</v>
      </c>
      <c r="X24" s="23" t="str">
        <f>Supuestos!B$90</f>
        <v>Telcel Pospago 19</v>
      </c>
      <c r="Y24" s="23" t="str">
        <f>Supuestos!B$96</f>
        <v>Telcel Pospago 22</v>
      </c>
      <c r="Z24" s="23" t="str">
        <f>Supuestos!B$97</f>
        <v>Telcel Pospago 23</v>
      </c>
      <c r="AA24" s="23" t="str">
        <f>Supuestos!B$98</f>
        <v>Telcel Pospago 24</v>
      </c>
      <c r="AB24" s="23" t="str">
        <f>Supuestos!B$99</f>
        <v>Telcel Pospago 25</v>
      </c>
      <c r="AC24" s="23" t="str">
        <f>Supuestos!B$100</f>
        <v>Telcel Pospago 26</v>
      </c>
    </row>
    <row r="25" spans="2:29" ht="13" x14ac:dyDescent="0.25">
      <c r="C25" s="33" t="str">
        <f>IF(E22="EEO",'Costos aguas abajo'!$D$9,'Costos aguas abajo'!$K$9)</f>
        <v>Costos totales</v>
      </c>
      <c r="D25" s="91">
        <f>INDEX('Costos aguas abajo'!$D$10:$K$657,MATCH(Costos!D$24,'Costos aguas abajo'!$C$10:$C$657,0),MATCH(Costos!$C$25,'Costos aguas abajo'!$D$9:$K$9,0))</f>
        <v>14393900000</v>
      </c>
      <c r="E25" s="91">
        <f>INDEX('Costos aguas abajo'!$D$10:$K$657,MATCH(Costos!E$24,'Costos aguas abajo'!$C$10:$C$657,0),MATCH(Costos!$C$25,'Costos aguas abajo'!$D$9:$K$9,0))</f>
        <v>9511600000</v>
      </c>
      <c r="F25" s="91">
        <f>INDEX('Costos aguas abajo'!$D$10:$K$657,MATCH(Costos!F$24,'Costos aguas abajo'!$C$10:$C$657,0),MATCH(Costos!$C$25,'Costos aguas abajo'!$D$9:$K$9,0))</f>
        <v>4882300000</v>
      </c>
      <c r="G25" s="91">
        <f>INDEX('Costos aguas abajo'!$D$10:$K$657,MATCH(Costos!G$24,'Costos aguas abajo'!$C$10:$C$657,0),MATCH(Costos!$C$25,'Costos aguas abajo'!$D$9:$K$9,0))</f>
        <v>3170533318.3333302</v>
      </c>
      <c r="H25" s="91">
        <f>INDEX('Costos aguas abajo'!$D$10:$K$657,MATCH(Costos!H$24,'Costos aguas abajo'!$C$10:$C$657,0),MATCH(Costos!$C$25,'Costos aguas abajo'!$D$9:$K$9,0))</f>
        <v>1627433336.3333335</v>
      </c>
      <c r="I25" s="91">
        <f>INDEX('Costos aguas abajo'!$D$10:$K$657,MATCH(Costos!I$24,'Costos aguas abajo'!$C$10:$C$657,0),MATCH(Costos!$C$25,'Costos aguas abajo'!$D$9:$K$9,0))</f>
        <v>3170533330.3333302</v>
      </c>
      <c r="J25" s="91">
        <f>INDEX('Costos aguas abajo'!$D$10:$K$657,MATCH(Costos!J$24,'Costos aguas abajo'!$C$10:$C$657,0),MATCH(Costos!$C$25,'Costos aguas abajo'!$D$9:$K$9,0))</f>
        <v>1627433360.3333335</v>
      </c>
      <c r="K25" s="91">
        <f>INDEX('Costos aguas abajo'!$D$10:$K$657,MATCH(Costos!K$24,'Costos aguas abajo'!$C$10:$C$657,0),MATCH(Costos!$C$25,'Costos aguas abajo'!$D$9:$K$9,0))</f>
        <v>1627433372.3333335</v>
      </c>
      <c r="L25" s="91">
        <f>INDEX('Costos aguas abajo'!$D$10:$K$657,MATCH(Costos!L$24,'Costos aguas abajo'!$C$10:$C$657,0),MATCH(Costos!$C$25,'Costos aguas abajo'!$D$9:$K$9,0))</f>
        <v>1627433384.3333335</v>
      </c>
      <c r="M25" s="91">
        <f>INDEX('Costos aguas abajo'!$D$10:$K$657,MATCH(Costos!M$24,'Costos aguas abajo'!$C$10:$C$657,0),MATCH(Costos!$C$25,'Costos aguas abajo'!$D$9:$K$9,0))</f>
        <v>1627433396.3333335</v>
      </c>
      <c r="N25" s="91">
        <f>INDEX('Costos aguas abajo'!$D$10:$K$657,MATCH(Costos!N$24,'Costos aguas abajo'!$C$10:$C$657,0),MATCH(Costos!$C$25,'Costos aguas abajo'!$D$9:$K$9,0))</f>
        <v>1627433408.3333335</v>
      </c>
      <c r="O25" s="91">
        <f>INDEX('Costos aguas abajo'!$D$10:$K$657,MATCH(Costos!O$24,'Costos aguas abajo'!$C$10:$C$657,0),MATCH(Costos!$C$25,'Costos aguas abajo'!$D$9:$K$9,0))</f>
        <v>1627433324.3333335</v>
      </c>
      <c r="P25" s="91">
        <f>INDEX('Costos aguas abajo'!$D$10:$K$657,MATCH(Costos!P$24,'Costos aguas abajo'!$C$10:$C$657,0),MATCH(Costos!$C$25,'Costos aguas abajo'!$D$9:$K$9,0))</f>
        <v>1627433336.3333335</v>
      </c>
      <c r="Q25" s="91">
        <f>INDEX('Costos aguas abajo'!$D$10:$K$657,MATCH(Costos!Q$24,'Costos aguas abajo'!$C$10:$C$657,0),MATCH(Costos!$C$25,'Costos aguas abajo'!$D$9:$K$9,0))</f>
        <v>1627433348.3333335</v>
      </c>
      <c r="R25" s="91">
        <f>INDEX('Costos aguas abajo'!$D$10:$K$657,MATCH(Costos!R$24,'Costos aguas abajo'!$C$10:$C$657,0),MATCH(Costos!$C$25,'Costos aguas abajo'!$D$9:$K$9,0))</f>
        <v>1627433360.3333335</v>
      </c>
      <c r="S25" s="91">
        <f>INDEX('Costos aguas abajo'!$D$10:$K$657,MATCH(Costos!S$24,'Costos aguas abajo'!$C$10:$C$657,0),MATCH(Costos!$C$25,'Costos aguas abajo'!$D$9:$K$9,0))</f>
        <v>1627433372.3333335</v>
      </c>
      <c r="T25" s="91">
        <f>INDEX('Costos aguas abajo'!$D$10:$K$657,MATCH(Costos!T$24,'Costos aguas abajo'!$C$10:$C$657,0),MATCH(Costos!$C$25,'Costos aguas abajo'!$D$9:$K$9,0))</f>
        <v>1627433384.3333335</v>
      </c>
      <c r="U25" s="91">
        <f>INDEX('Costos aguas abajo'!$D$10:$K$657,MATCH(Costos!U$24,'Costos aguas abajo'!$C$10:$C$657,0),MATCH(Costos!$C$25,'Costos aguas abajo'!$D$9:$K$9,0))</f>
        <v>1627433396.3333335</v>
      </c>
      <c r="V25" s="91">
        <f>INDEX('Costos aguas abajo'!$D$10:$K$657,MATCH(Costos!V$24,'Costos aguas abajo'!$C$10:$C$657,0),MATCH(Costos!$C$25,'Costos aguas abajo'!$D$9:$K$9,0))</f>
        <v>1627433408.3333335</v>
      </c>
      <c r="W25" s="91">
        <f>INDEX('Costos aguas abajo'!$D$10:$K$657,MATCH(Costos!W$24,'Costos aguas abajo'!$C$10:$C$657,0),MATCH(Costos!$C$25,'Costos aguas abajo'!$D$9:$K$9,0))</f>
        <v>1627433420.3333335</v>
      </c>
      <c r="X25" s="91">
        <f>INDEX('Costos aguas abajo'!$D$10:$K$657,MATCH(Costos!X$24,'Costos aguas abajo'!$C$10:$C$657,0),MATCH(Costos!$C$25,'Costos aguas abajo'!$D$9:$K$9,0))</f>
        <v>1627433312.3333335</v>
      </c>
      <c r="Y25" s="91">
        <f>INDEX('Costos aguas abajo'!$D$10:$K$657,MATCH(Costos!Y$24,'Costos aguas abajo'!$C$10:$C$657,0),MATCH(Costos!$C$25,'Costos aguas abajo'!$D$9:$K$9,0))</f>
        <v>1627433324.3333335</v>
      </c>
      <c r="Z25" s="91">
        <f>INDEX('Costos aguas abajo'!$D$10:$K$657,MATCH(Costos!Z$24,'Costos aguas abajo'!$C$10:$C$657,0),MATCH(Costos!$C$25,'Costos aguas abajo'!$D$9:$K$9,0))</f>
        <v>1627433336.3333335</v>
      </c>
      <c r="AA25" s="91">
        <f>INDEX('Costos aguas abajo'!$D$10:$K$657,MATCH(Costos!AA$24,'Costos aguas abajo'!$C$10:$C$657,0),MATCH(Costos!$C$25,'Costos aguas abajo'!$D$9:$K$9,0))</f>
        <v>1627433348.3333335</v>
      </c>
      <c r="AB25" s="91">
        <f>INDEX('Costos aguas abajo'!$D$10:$K$657,MATCH(Costos!AB$24,'Costos aguas abajo'!$C$10:$C$657,0),MATCH(Costos!$C$25,'Costos aguas abajo'!$D$9:$K$9,0))</f>
        <v>1627433360.3333335</v>
      </c>
      <c r="AC25" s="91">
        <f>INDEX('Costos aguas abajo'!$D$10:$K$657,MATCH(Costos!AC$24,'Costos aguas abajo'!$C$10:$C$657,0),MATCH(Costos!$C$25,'Costos aguas abajo'!$D$9:$K$9,0))</f>
        <v>1627433372.3333335</v>
      </c>
    </row>
    <row r="27" spans="2:29" ht="13" x14ac:dyDescent="0.3">
      <c r="C27" s="73" t="s">
        <v>42</v>
      </c>
      <c r="D27" s="38" t="str">
        <f>IF($E$22="EEO",IF(D25='Costos aguas abajo'!D10,"Ok","Error"),IF(D25='Costos aguas abajo'!K10,"Ok","Error"))</f>
        <v>Ok</v>
      </c>
      <c r="E27" s="38" t="str">
        <f>IF($E$22="EEO",IF(E25='Costos aguas abajo'!D35,"Ok","Error"),IF(E25='Costos aguas abajo'!K35,"Ok","Error"))</f>
        <v>Ok</v>
      </c>
      <c r="F27" s="38" t="str">
        <f>IF($E$22="EEO",IF(F25='Costos aguas abajo'!D60,"Ok","Error"),IF(F25='Costos aguas abajo'!K60,"Ok","Error"))</f>
        <v>Ok</v>
      </c>
      <c r="G27" s="38" t="str">
        <f>IF($E$22="EEO",IF(G25='Costos aguas abajo'!D85,"Ok","Error"),IF(G25='Costos aguas abajo'!K85,"Ok","Error"))</f>
        <v>Ok</v>
      </c>
      <c r="H27" s="38" t="str">
        <f>IF($E$22="EEO",IF(H25='Costos aguas abajo'!D110,"Ok","Error"),IF(H25='Costos aguas abajo'!K110,"Ok","Error"))</f>
        <v>Ok</v>
      </c>
      <c r="I27" s="38" t="str">
        <f>IF($E$22="EEO",IF(I25='Costos aguas abajo'!$D135,"Ok","Error"),IF(I25='Costos aguas abajo'!$K135,"Ok","Error"))</f>
        <v>Ok</v>
      </c>
      <c r="J27" s="38" t="str">
        <f>IF($E$22="EEO",IF(J25='Costos aguas abajo'!$D160,"Ok","Error"),IF(J25='Costos aguas abajo'!$K160,"Ok","Error"))</f>
        <v>Ok</v>
      </c>
      <c r="K27" s="38" t="str">
        <f>IF($E$22="EEO",IF(K25='Costos aguas abajo'!$D185,"Ok","Error"),IF(K25='Costos aguas abajo'!$K185,"Ok","Error"))</f>
        <v>Ok</v>
      </c>
      <c r="L27" s="38" t="str">
        <f>IF($E$22="EEO",IF(L25='Costos aguas abajo'!$D210,"Ok","Error"),IF(L25='Costos aguas abajo'!$K210,"Ok","Error"))</f>
        <v>Ok</v>
      </c>
      <c r="M27" s="38" t="str">
        <f>IF($E$22="EEO",IF(M25='Costos aguas abajo'!$D235,"Ok","Error"),IF(M25='Costos aguas abajo'!$K235,"Ok","Error"))</f>
        <v>Ok</v>
      </c>
      <c r="N27" s="38" t="str">
        <f>IF($E$22="EEO",IF(N25='Costos aguas abajo'!$D260,"Ok","Error"),IF(N25='Costos aguas abajo'!$K260,"Ok","Error"))</f>
        <v>Ok</v>
      </c>
      <c r="O27" s="38" t="str">
        <f>IF($E$22="EEO",IF(O25='Costos aguas abajo'!$D285,"Ok","Error"),IF(O25='Costos aguas abajo'!$K285,"Ok","Error"))</f>
        <v>Ok</v>
      </c>
      <c r="P27" s="38" t="str">
        <f>IF($E$22="EEO",IF(P25='Costos aguas abajo'!$D310,"Ok","Error"),IF(P25='Costos aguas abajo'!$K310,"Ok","Error"))</f>
        <v>Ok</v>
      </c>
      <c r="Q27" s="38" t="str">
        <f>IF($E$22="EEO",IF(Q25='Costos aguas abajo'!$D335,"Ok","Error"),IF(Q25='Costos aguas abajo'!$K335,"Ok","Error"))</f>
        <v>Ok</v>
      </c>
      <c r="R27" s="38" t="str">
        <f>IF($E$22="EEO",IF(R25='Costos aguas abajo'!$D360,"Ok","Error"),IF(R25='Costos aguas abajo'!$K360,"Ok","Error"))</f>
        <v>Ok</v>
      </c>
      <c r="S27" s="38" t="str">
        <f>IF($E$22="EEO",IF(S25='Costos aguas abajo'!$D385,"Ok","Error"),IF(S25='Costos aguas abajo'!$K385,"Ok","Error"))</f>
        <v>Ok</v>
      </c>
      <c r="T27" s="38" t="str">
        <f>IF($E$22="EEO",IF(T25='Costos aguas abajo'!$D410,"Ok","Error"),IF(T25='Costos aguas abajo'!$K410,"Ok","Error"))</f>
        <v>Ok</v>
      </c>
      <c r="U27" s="38" t="str">
        <f>IF($E$22="EEO",IF(U25='Costos aguas abajo'!$D435,"Ok","Error"),IF(U25='Costos aguas abajo'!$K435,"Ok","Error"))</f>
        <v>Ok</v>
      </c>
      <c r="V27" s="38" t="str">
        <f>IF($E$22="EEO",IF(V25='Costos aguas abajo'!$D460,"Ok","Error"),IF(V25='Costos aguas abajo'!$K460,"Ok","Error"))</f>
        <v>Ok</v>
      </c>
      <c r="W27" s="38" t="str">
        <f>IF($E$22="EEO",IF(W25='Costos aguas abajo'!$D485,"Ok","Error"),IF(W25='Costos aguas abajo'!$K485,"Ok","Error"))</f>
        <v>Ok</v>
      </c>
      <c r="X27" s="38" t="str">
        <f>IF($E$22="EEO",IF(X25='Costos aguas abajo'!$D510,"Ok","Error"),IF(X25='Costos aguas abajo'!$K510,"Ok","Error"))</f>
        <v>Ok</v>
      </c>
      <c r="Y27" s="38" t="str">
        <f>IF($E$22="EEO",IF(Y25='Costos aguas abajo'!$D535,"Ok","Error"),IF(Y25='Costos aguas abajo'!$K535,"Ok","Error"))</f>
        <v>Ok</v>
      </c>
      <c r="Z27" s="38" t="str">
        <f>IF($E$22="EEO",IF(Z25='Costos aguas abajo'!$D560,"Ok","Error"),IF(Z25='Costos aguas abajo'!$K560,"Ok","Error"))</f>
        <v>Ok</v>
      </c>
      <c r="AA27" s="38" t="str">
        <f>IF($E$22="EEO",IF(AA25='Costos aguas abajo'!$D585,"Ok","Error"),IF(AA25='Costos aguas abajo'!$K585,"Ok","Error"))</f>
        <v>Ok</v>
      </c>
      <c r="AB27" s="38" t="str">
        <f>IF($E$22="EEO",IF(AB25='Costos aguas abajo'!$D610,"Ok","Error"),IF(AB25='Costos aguas abajo'!$K610,"Ok","Error"))</f>
        <v>Ok</v>
      </c>
      <c r="AC27" s="38" t="str">
        <f>IF($E$22="EEO",IF(AC25='Costos aguas abajo'!$D635,"Ok","Error"),IF(AC25='Costos aguas abajo'!$K635,"Ok","Error"))</f>
        <v>Ok</v>
      </c>
    </row>
  </sheetData>
  <mergeCells count="10">
    <mergeCell ref="G23:I23"/>
    <mergeCell ref="J23:L23"/>
    <mergeCell ref="M23:N23"/>
    <mergeCell ref="O23:X23"/>
    <mergeCell ref="Y23:AC23"/>
    <mergeCell ref="G9:I9"/>
    <mergeCell ref="J9:L9"/>
    <mergeCell ref="M9:N9"/>
    <mergeCell ref="Y9:AC9"/>
    <mergeCell ref="O9:X9"/>
  </mergeCells>
  <conditionalFormatting sqref="D18:AC18">
    <cfRule type="containsText" dxfId="215" priority="4" operator="containsText" text="Error">
      <formula>NOT(ISERROR(SEARCH("Error",D18)))</formula>
    </cfRule>
    <cfRule type="containsText" dxfId="214" priority="5" operator="containsText" text="Ok">
      <formula>NOT(ISERROR(SEARCH("Ok",D18)))</formula>
    </cfRule>
    <cfRule type="expression" dxfId="213" priority="6">
      <formula>"Ok"</formula>
    </cfRule>
  </conditionalFormatting>
  <conditionalFormatting sqref="D27:AC27">
    <cfRule type="containsText" dxfId="212" priority="1" operator="containsText" text="Error">
      <formula>NOT(ISERROR(SEARCH("Error",D27)))</formula>
    </cfRule>
    <cfRule type="containsText" dxfId="211" priority="2" operator="containsText" text="Ok">
      <formula>NOT(ISERROR(SEARCH("Ok",D27)))</formula>
    </cfRule>
    <cfRule type="expression" dxfId="210" priority="3">
      <formula>"Ok"</formula>
    </cfRule>
  </conditionalFormatting>
  <hyperlinks>
    <hyperlink ref="C3" location="'Resultados &gt;&gt;'!A1" display="Ir a Resultados &gt;&gt;" xr:uid="{00000000-0004-0000-0500-000000000000}"/>
  </hyperlinks>
  <pageMargins left="0.7" right="0.7" top="0.75" bottom="0.75" header="0.3" footer="0.3"/>
  <ignoredErrors>
    <ignoredError sqref="E22" unlockedFormula="1"/>
  </ignoredError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9">
    <tabColor theme="8"/>
  </sheetPr>
  <dimension ref="C13"/>
  <sheetViews>
    <sheetView showGridLines="0" workbookViewId="0"/>
  </sheetViews>
  <sheetFormatPr baseColWidth="10" defaultColWidth="8.81640625" defaultRowHeight="12.5" x14ac:dyDescent="0.25"/>
  <cols>
    <col min="1" max="16384" width="8.81640625" style="13"/>
  </cols>
  <sheetData>
    <row r="13" spans="3:3" ht="28" x14ac:dyDescent="0.6">
      <c r="C13" s="12" t="s">
        <v>102</v>
      </c>
    </row>
  </sheetData>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11">
    <tabColor theme="8" tint="0.79998168889431442"/>
  </sheetPr>
  <dimension ref="B1:S658"/>
  <sheetViews>
    <sheetView showGridLines="0" topLeftCell="A623" zoomScale="60" zoomScaleNormal="60" workbookViewId="0">
      <selection activeCell="N641" sqref="N641"/>
    </sheetView>
  </sheetViews>
  <sheetFormatPr baseColWidth="10" defaultColWidth="8.81640625" defaultRowHeight="12.5" x14ac:dyDescent="0.25"/>
  <cols>
    <col min="1" max="1" width="1.81640625" style="5" customWidth="1"/>
    <col min="2" max="2" width="8.81640625" style="5"/>
    <col min="3" max="3" width="47.1796875" style="5" customWidth="1"/>
    <col min="4" max="4" width="21.54296875" style="5" bestFit="1" customWidth="1"/>
    <col min="5" max="5" width="2.81640625" style="5" customWidth="1"/>
    <col min="6" max="6" width="18.81640625" style="5" customWidth="1"/>
    <col min="7" max="7" width="21.54296875" style="5" bestFit="1" customWidth="1"/>
    <col min="8" max="8" width="13.1796875" style="5" customWidth="1"/>
    <col min="9" max="9" width="18.81640625" style="5" customWidth="1"/>
    <col min="10" max="10" width="20.1796875" style="5" bestFit="1" customWidth="1"/>
    <col min="11" max="11" width="21.54296875" style="5" bestFit="1" customWidth="1"/>
    <col min="12" max="12" width="13.1796875" style="5" customWidth="1"/>
    <col min="13" max="16384" width="8.81640625" style="5"/>
  </cols>
  <sheetData>
    <row r="1" spans="2:19" s="427" customFormat="1" ht="20" x14ac:dyDescent="0.4">
      <c r="B1" s="427" t="s">
        <v>103</v>
      </c>
    </row>
    <row r="3" spans="2:19" ht="20.149999999999999" customHeight="1" x14ac:dyDescent="0.25">
      <c r="C3" s="14" t="s">
        <v>90</v>
      </c>
    </row>
    <row r="4" spans="2:19" x14ac:dyDescent="0.25">
      <c r="M4" s="501"/>
      <c r="N4" s="502"/>
      <c r="O4" s="502"/>
      <c r="P4" s="502"/>
      <c r="Q4" s="502"/>
      <c r="R4" s="502"/>
      <c r="S4" s="503"/>
    </row>
    <row r="5" spans="2:19" ht="13" x14ac:dyDescent="0.3">
      <c r="C5" s="16" t="s">
        <v>63</v>
      </c>
      <c r="D5" s="88" t="s">
        <v>64</v>
      </c>
      <c r="E5" s="71"/>
      <c r="F5" s="88" t="s">
        <v>65</v>
      </c>
      <c r="M5" s="504"/>
      <c r="N5" s="505"/>
      <c r="O5" s="505"/>
      <c r="P5" s="505"/>
      <c r="Q5" s="505"/>
      <c r="R5" s="505"/>
      <c r="S5" s="506"/>
    </row>
    <row r="6" spans="2:19" x14ac:dyDescent="0.25">
      <c r="C6"/>
      <c r="D6" s="85">
        <f>Supuestos!$C$5</f>
        <v>45658</v>
      </c>
      <c r="E6" s="71"/>
      <c r="F6" s="85">
        <f>Supuestos!$C$6</f>
        <v>45747</v>
      </c>
      <c r="M6" s="504"/>
      <c r="N6" s="505"/>
      <c r="O6" s="505"/>
      <c r="P6" s="505"/>
      <c r="Q6" s="505"/>
      <c r="R6" s="505"/>
      <c r="S6" s="506"/>
    </row>
    <row r="7" spans="2:19" x14ac:dyDescent="0.25">
      <c r="C7"/>
      <c r="M7" s="504"/>
      <c r="N7" s="505"/>
      <c r="O7" s="505"/>
      <c r="P7" s="505"/>
      <c r="Q7" s="505"/>
      <c r="R7" s="505"/>
      <c r="S7" s="506"/>
    </row>
    <row r="8" spans="2:19" ht="13" x14ac:dyDescent="0.3">
      <c r="C8" s="40" t="s">
        <v>84</v>
      </c>
      <c r="D8" s="491" t="s">
        <v>67</v>
      </c>
      <c r="E8" s="491"/>
      <c r="F8" s="491"/>
      <c r="G8" s="491"/>
      <c r="H8" s="65"/>
      <c r="I8" s="491" t="s">
        <v>104</v>
      </c>
      <c r="J8" s="491"/>
      <c r="K8" s="491"/>
      <c r="L8" s="66"/>
      <c r="M8" s="507"/>
      <c r="N8" s="508"/>
      <c r="O8" s="508"/>
      <c r="P8" s="508"/>
      <c r="Q8" s="508"/>
      <c r="R8" s="508"/>
      <c r="S8" s="509"/>
    </row>
    <row r="9" spans="2:19" ht="26" x14ac:dyDescent="0.25">
      <c r="C9" s="40"/>
      <c r="D9" s="69" t="s">
        <v>105</v>
      </c>
      <c r="E9" s="68"/>
      <c r="F9" s="68" t="s">
        <v>106</v>
      </c>
      <c r="G9" s="68" t="s">
        <v>107</v>
      </c>
      <c r="H9" s="68"/>
      <c r="I9" s="68" t="s">
        <v>106</v>
      </c>
      <c r="J9" s="68" t="s">
        <v>107</v>
      </c>
      <c r="K9" s="69" t="s">
        <v>108</v>
      </c>
      <c r="L9" s="67"/>
    </row>
    <row r="10" spans="2:19" ht="13" x14ac:dyDescent="0.3">
      <c r="C10" s="74" t="str">
        <f>Supuestos!$B$75</f>
        <v>Todos los segmentos</v>
      </c>
      <c r="D10" s="75">
        <f>SUM(D11:D27)</f>
        <v>14393900000</v>
      </c>
      <c r="E10" s="75"/>
      <c r="F10" s="75">
        <f>SUM(F11:F27)</f>
        <v>383545000</v>
      </c>
      <c r="G10" s="75">
        <f>SUM(G11:G27)</f>
        <v>14010355000</v>
      </c>
      <c r="H10" s="76"/>
      <c r="I10" s="75">
        <f>+F10</f>
        <v>383545000</v>
      </c>
      <c r="J10" s="75">
        <f>SUM(J11:J27)</f>
        <v>1566405308.4452033</v>
      </c>
      <c r="K10" s="75">
        <f>SUM(K11:K27)</f>
        <v>17440885769.720627</v>
      </c>
    </row>
    <row r="11" spans="2:19" x14ac:dyDescent="0.25">
      <c r="C11" s="5" t="str">
        <f>'Informacion del AEP'!C138</f>
        <v>Acceso a Internet</v>
      </c>
      <c r="D11" s="70">
        <f>INDEX('Informacion del AEP'!$D$138:$AE$158,MATCH('Costos aguas abajo'!$C11,'Informacion del AEP'!$C$138:$C$158,0),MATCH('Costos aguas abajo'!$C$10,'Informacion del AEP'!$D$137:$AE$137,0))</f>
        <v>0</v>
      </c>
      <c r="F11" s="72">
        <f>D11*Supuestos!$C25</f>
        <v>0</v>
      </c>
      <c r="G11" s="72">
        <f>D11*(1-Supuestos!$C25)</f>
        <v>0</v>
      </c>
      <c r="I11" s="72">
        <f>+F11</f>
        <v>0</v>
      </c>
      <c r="J11" s="72">
        <f>G11*Supuestos!$C$20</f>
        <v>0</v>
      </c>
      <c r="K11" s="72">
        <f>(I11+J11)*(1/Supuestos!$C$20)</f>
        <v>0</v>
      </c>
    </row>
    <row r="12" spans="2:19" x14ac:dyDescent="0.25">
      <c r="C12" s="5" t="str">
        <f>'Informacion del AEP'!C139</f>
        <v>Servicios OTT de vídeo</v>
      </c>
      <c r="D12" s="70">
        <f>INDEX('Informacion del AEP'!$D$138:$AE$158,MATCH('Costos aguas abajo'!$C12,'Informacion del AEP'!$C$138:$C$158,0),MATCH('Costos aguas abajo'!$C$10,'Informacion del AEP'!$D$137:$AE$137,0))</f>
        <v>80000000</v>
      </c>
      <c r="F12" s="72">
        <f>D12*Supuestos!$C26</f>
        <v>0</v>
      </c>
      <c r="G12" s="72">
        <f>D12*(1-Supuestos!$C26)</f>
        <v>80000000</v>
      </c>
      <c r="I12" s="72">
        <f t="shared" ref="I12:I26" si="0">+F12</f>
        <v>0</v>
      </c>
      <c r="J12" s="72">
        <f>G12*Supuestos!$C$20</f>
        <v>8944271.9099991582</v>
      </c>
      <c r="K12" s="72">
        <f>(I12+J12)*(1/Supuestos!$C$20)</f>
        <v>80000000</v>
      </c>
    </row>
    <row r="13" spans="2:19" x14ac:dyDescent="0.25">
      <c r="C13" s="5" t="str">
        <f>'Informacion del AEP'!C140</f>
        <v>Servicios OTT de audio</v>
      </c>
      <c r="D13" s="70">
        <f>INDEX('Informacion del AEP'!$D$138:$AE$158,MATCH('Costos aguas abajo'!$C13,'Informacion del AEP'!$C$138:$C$158,0),MATCH('Costos aguas abajo'!$C$10,'Informacion del AEP'!$D$137:$AE$137,0))</f>
        <v>0</v>
      </c>
      <c r="F13" s="72">
        <f>D13*Supuestos!$C27</f>
        <v>0</v>
      </c>
      <c r="G13" s="72">
        <f>D13*(1-Supuestos!$C27)</f>
        <v>0</v>
      </c>
      <c r="I13" s="72">
        <f t="shared" si="0"/>
        <v>0</v>
      </c>
      <c r="J13" s="72">
        <f>G13*Supuestos!$C$20</f>
        <v>0</v>
      </c>
      <c r="K13" s="72">
        <f>(I13+J13)*(1/Supuestos!$C$20)</f>
        <v>0</v>
      </c>
    </row>
    <row r="14" spans="2:19" x14ac:dyDescent="0.25">
      <c r="C14" s="5" t="str">
        <f>'Informacion del AEP'!C141</f>
        <v>Comerciales</v>
      </c>
      <c r="D14" s="70">
        <f>INDEX('Informacion del AEP'!$D$138:$AE$158,MATCH('Costos aguas abajo'!$C14,'Informacion del AEP'!$C$138:$C$158,0),MATCH('Costos aguas abajo'!$C$10,'Informacion del AEP'!$D$137:$AE$137,0))</f>
        <v>3000000000</v>
      </c>
      <c r="F14" s="72">
        <f>D14*Supuestos!$C28</f>
        <v>300000000</v>
      </c>
      <c r="G14" s="72">
        <f>D14*(1-Supuestos!$C28)</f>
        <v>2700000000</v>
      </c>
      <c r="I14" s="72">
        <f t="shared" si="0"/>
        <v>300000000</v>
      </c>
      <c r="J14" s="72">
        <f>G14*Supuestos!$C$20</f>
        <v>301869176.9624716</v>
      </c>
      <c r="K14" s="72">
        <f>(I14+J14)*(1/Supuestos!$C$20)</f>
        <v>5383281572.9997482</v>
      </c>
    </row>
    <row r="15" spans="2:19" x14ac:dyDescent="0.25">
      <c r="C15" s="5" t="str">
        <f>'Informacion del AEP'!C142</f>
        <v>Facturación</v>
      </c>
      <c r="D15" s="70">
        <f>INDEX('Informacion del AEP'!$D$138:$AE$158,MATCH('Costos aguas abajo'!$C15,'Informacion del AEP'!$C$138:$C$158,0),MATCH('Costos aguas abajo'!$C$10,'Informacion del AEP'!$D$137:$AE$137,0))</f>
        <v>900000</v>
      </c>
      <c r="F15" s="72">
        <f>D15*Supuestos!$C29</f>
        <v>45000</v>
      </c>
      <c r="G15" s="72">
        <f>D15*(1-Supuestos!$C29)</f>
        <v>855000</v>
      </c>
      <c r="I15" s="72">
        <f t="shared" si="0"/>
        <v>45000</v>
      </c>
      <c r="J15" s="72">
        <f>G15*Supuestos!$C$20</f>
        <v>95591.906038116009</v>
      </c>
      <c r="K15" s="72">
        <f>(I15+J15)*(1/Supuestos!$C$20)</f>
        <v>1257492.2359499624</v>
      </c>
    </row>
    <row r="16" spans="2:19" x14ac:dyDescent="0.25">
      <c r="C16" s="5" t="str">
        <f>'Informacion del AEP'!C143</f>
        <v>Cobranza</v>
      </c>
      <c r="D16" s="70">
        <f>INDEX('Informacion del AEP'!$D$138:$AE$158,MATCH('Costos aguas abajo'!$C16,'Informacion del AEP'!$C$138:$C$158,0),MATCH('Costos aguas abajo'!$C$10,'Informacion del AEP'!$D$137:$AE$137,0))</f>
        <v>35000000</v>
      </c>
      <c r="F16" s="72">
        <f>D16*Supuestos!$C30</f>
        <v>0</v>
      </c>
      <c r="G16" s="72">
        <f>D16*(1-Supuestos!$C30)</f>
        <v>35000000</v>
      </c>
      <c r="I16" s="72">
        <f t="shared" si="0"/>
        <v>0</v>
      </c>
      <c r="J16" s="72">
        <f>G16*Supuestos!$C$20</f>
        <v>3913118.960624632</v>
      </c>
      <c r="K16" s="72">
        <f>(I16+J16)*(1/Supuestos!$C$20)</f>
        <v>35000000</v>
      </c>
    </row>
    <row r="17" spans="3:11" x14ac:dyDescent="0.25">
      <c r="C17" s="5" t="str">
        <f>'Informacion del AEP'!C144</f>
        <v>Tasas e impuestos</v>
      </c>
      <c r="D17" s="70">
        <f>INDEX('Informacion del AEP'!$D$138:$AE$158,MATCH('Costos aguas abajo'!$C17,'Informacion del AEP'!$C$138:$C$158,0),MATCH('Costos aguas abajo'!$C$10,'Informacion del AEP'!$D$137:$AE$137,0))</f>
        <v>35000000</v>
      </c>
      <c r="F17" s="72">
        <f>D17*Supuestos!$C31</f>
        <v>3500000</v>
      </c>
      <c r="G17" s="72">
        <f>D17*(1-Supuestos!$C31)</f>
        <v>31500000</v>
      </c>
      <c r="I17" s="72">
        <f t="shared" si="0"/>
        <v>3500000</v>
      </c>
      <c r="J17" s="72">
        <f>G17*Supuestos!$C$20</f>
        <v>3521807.0645621689</v>
      </c>
      <c r="K17" s="72">
        <f>(I17+J17)*(1/Supuestos!$C$20)</f>
        <v>62804951.684997059</v>
      </c>
    </row>
    <row r="18" spans="3:11" x14ac:dyDescent="0.25">
      <c r="C18" s="5" t="str">
        <f>'Informacion del AEP'!C145</f>
        <v>Programas de fidelización</v>
      </c>
      <c r="D18" s="70">
        <f>INDEX('Informacion del AEP'!$D$138:$AE$158,MATCH('Costos aguas abajo'!$C18,'Informacion del AEP'!$C$138:$C$158,0),MATCH('Costos aguas abajo'!$C$10,'Informacion del AEP'!$D$137:$AE$137,0))</f>
        <v>40000000</v>
      </c>
      <c r="F18" s="72">
        <f>D18*Supuestos!$C32</f>
        <v>0</v>
      </c>
      <c r="G18" s="72">
        <f>D18*(1-Supuestos!$C32)</f>
        <v>40000000</v>
      </c>
      <c r="I18" s="72">
        <f t="shared" si="0"/>
        <v>0</v>
      </c>
      <c r="J18" s="72">
        <f>G18*Supuestos!$C$20</f>
        <v>4472135.9549995791</v>
      </c>
      <c r="K18" s="72">
        <f>(I18+J18)*(1/Supuestos!$C$20)</f>
        <v>40000000</v>
      </c>
    </row>
    <row r="19" spans="3:11" x14ac:dyDescent="0.25">
      <c r="C19" s="5" t="str">
        <f>'Informacion del AEP'!C146</f>
        <v>Acceso internet internacional</v>
      </c>
      <c r="D19" s="70">
        <f>INDEX('Informacion del AEP'!$D$138:$AE$158,MATCH('Costos aguas abajo'!$C19,'Informacion del AEP'!$C$138:$C$158,0),MATCH('Costos aguas abajo'!$C$10,'Informacion del AEP'!$D$137:$AE$137,0))</f>
        <v>38000000</v>
      </c>
      <c r="F19" s="72">
        <f>D19*Supuestos!$C33</f>
        <v>0</v>
      </c>
      <c r="G19" s="72">
        <f>D19*(1-Supuestos!$C33)</f>
        <v>38000000</v>
      </c>
      <c r="I19" s="72">
        <f t="shared" si="0"/>
        <v>0</v>
      </c>
      <c r="J19" s="72">
        <f>G19*Supuestos!$C$20</f>
        <v>4248529.1572496006</v>
      </c>
      <c r="K19" s="72">
        <f>(I19+J19)*(1/Supuestos!$C$20)</f>
        <v>38000000</v>
      </c>
    </row>
    <row r="20" spans="3:11" x14ac:dyDescent="0.25">
      <c r="C20" s="5" t="str">
        <f>'Informacion del AEP'!C147</f>
        <v>Roaming nacional</v>
      </c>
      <c r="D20" s="70">
        <f>INDEX('Informacion del AEP'!$D$138:$AE$158,MATCH('Costos aguas abajo'!$C20,'Informacion del AEP'!$C$138:$C$158,0),MATCH('Costos aguas abajo'!$C$10,'Informacion del AEP'!$D$137:$AE$137,0))</f>
        <v>15000000</v>
      </c>
      <c r="F20" s="72">
        <f>D20*Supuestos!$C34</f>
        <v>0</v>
      </c>
      <c r="G20" s="72">
        <f>D20*(1-Supuestos!$C34)</f>
        <v>15000000</v>
      </c>
      <c r="I20" s="72">
        <f t="shared" si="0"/>
        <v>0</v>
      </c>
      <c r="J20" s="72">
        <f>G20*Supuestos!$C$20</f>
        <v>1677050.9831248422</v>
      </c>
      <c r="K20" s="72">
        <f>(I20+J20)*(1/Supuestos!$C$20)</f>
        <v>15000000</v>
      </c>
    </row>
    <row r="21" spans="3:11" x14ac:dyDescent="0.25">
      <c r="C21" s="5" t="str">
        <f>'Informacion del AEP'!C148</f>
        <v>Roaming internacional</v>
      </c>
      <c r="D21" s="70">
        <f>INDEX('Informacion del AEP'!$D$138:$AE$158,MATCH('Costos aguas abajo'!$C21,'Informacion del AEP'!$C$138:$C$158,0),MATCH('Costos aguas abajo'!$C$10,'Informacion del AEP'!$D$137:$AE$137,0))</f>
        <v>0</v>
      </c>
      <c r="F21" s="72">
        <f>D21*Supuestos!$C35</f>
        <v>0</v>
      </c>
      <c r="G21" s="72">
        <f>D21*(1-Supuestos!$C35)</f>
        <v>0</v>
      </c>
      <c r="I21" s="72">
        <f t="shared" si="0"/>
        <v>0</v>
      </c>
      <c r="J21" s="72">
        <f>G21*Supuestos!$C$20</f>
        <v>0</v>
      </c>
      <c r="K21" s="72">
        <f>(I21+J21)*(1/Supuestos!$C$20)</f>
        <v>0</v>
      </c>
    </row>
    <row r="22" spans="3:11" x14ac:dyDescent="0.25">
      <c r="C22" s="5" t="str">
        <f>'Informacion del AEP'!C149</f>
        <v>Provisiones</v>
      </c>
      <c r="D22" s="70">
        <f>INDEX('Informacion del AEP'!$D$138:$AE$158,MATCH('Costos aguas abajo'!$C22,'Informacion del AEP'!$C$138:$C$158,0),MATCH('Costos aguas abajo'!$C$10,'Informacion del AEP'!$D$137:$AE$137,0))</f>
        <v>50000000</v>
      </c>
      <c r="F22" s="72">
        <f>D22*Supuestos!$C36</f>
        <v>0</v>
      </c>
      <c r="G22" s="72">
        <f>D22*(1-Supuestos!$C36)</f>
        <v>50000000</v>
      </c>
      <c r="I22" s="72">
        <f t="shared" si="0"/>
        <v>0</v>
      </c>
      <c r="J22" s="72">
        <f>G22*Supuestos!$C$20</f>
        <v>5590169.9437494744</v>
      </c>
      <c r="K22" s="72">
        <f>(I22+J22)*(1/Supuestos!$C$20)</f>
        <v>50000000</v>
      </c>
    </row>
    <row r="23" spans="3:11" x14ac:dyDescent="0.25">
      <c r="C23" s="5" t="str">
        <f>'Informacion del AEP'!C150</f>
        <v>Costos directos de la venta de terminales</v>
      </c>
      <c r="D23" s="70">
        <f>INDEX('Informacion del AEP'!$D$138:$AE$158,MATCH('Costos aguas abajo'!$C23,'Informacion del AEP'!$C$138:$C$158,0),MATCH('Costos aguas abajo'!$C$10,'Informacion del AEP'!$D$137:$AE$137,0))</f>
        <v>10000000000</v>
      </c>
      <c r="F23" s="72">
        <f>D23*Supuestos!$C37</f>
        <v>0</v>
      </c>
      <c r="G23" s="72">
        <f>D23*(1-Supuestos!$C37)</f>
        <v>10000000000</v>
      </c>
      <c r="I23" s="72">
        <f t="shared" si="0"/>
        <v>0</v>
      </c>
      <c r="J23" s="72">
        <f>G23*Supuestos!$C$20</f>
        <v>1118033988.7498949</v>
      </c>
      <c r="K23" s="72">
        <f>(I23+J23)*(1/Supuestos!$C$20)</f>
        <v>10000000000</v>
      </c>
    </row>
    <row r="24" spans="3:11" x14ac:dyDescent="0.25">
      <c r="C24" s="5" t="str">
        <f>'Informacion del AEP'!C151</f>
        <v>Servicios generales y de gestión - minoristas</v>
      </c>
      <c r="D24" s="70">
        <f>INDEX('Informacion del AEP'!$D$138:$AE$158,MATCH('Costos aguas abajo'!$C24,'Informacion del AEP'!$C$138:$C$158,0),MATCH('Costos aguas abajo'!$C$10,'Informacion del AEP'!$D$137:$AE$137,0))</f>
        <v>600000000</v>
      </c>
      <c r="F24" s="72">
        <f>D24*Supuestos!$C38</f>
        <v>30000000</v>
      </c>
      <c r="G24" s="72">
        <f>D24*(1-Supuestos!$C38)</f>
        <v>570000000</v>
      </c>
      <c r="I24" s="72">
        <f t="shared" si="0"/>
        <v>30000000</v>
      </c>
      <c r="J24" s="72">
        <f>G24*Supuestos!$C$20</f>
        <v>63727937.358744003</v>
      </c>
      <c r="K24" s="72">
        <f>(I24+J24)*(1/Supuestos!$C$20)</f>
        <v>838328157.29997468</v>
      </c>
    </row>
    <row r="25" spans="3:11" x14ac:dyDescent="0.25">
      <c r="C25" s="5" t="str">
        <f>'Informacion del AEP'!C152</f>
        <v>Servicios generales y de gestión - red</v>
      </c>
      <c r="D25" s="70">
        <f>INDEX('Informacion del AEP'!$D$138:$AE$158,MATCH('Costos aguas abajo'!$C25,'Informacion del AEP'!$C$138:$C$158,0),MATCH('Costos aguas abajo'!$C$10,'Informacion del AEP'!$D$137:$AE$137,0))</f>
        <v>0</v>
      </c>
      <c r="F25" s="72">
        <f>D25*Supuestos!$C39</f>
        <v>0</v>
      </c>
      <c r="G25" s="72">
        <f>D25*(1-Supuestos!$C39)</f>
        <v>0</v>
      </c>
      <c r="I25" s="72">
        <f t="shared" si="0"/>
        <v>0</v>
      </c>
      <c r="J25" s="72">
        <f>G25*Supuestos!$C$20</f>
        <v>0</v>
      </c>
      <c r="K25" s="72">
        <f>(I25+J25)*(1/Supuestos!$C$20)</f>
        <v>0</v>
      </c>
    </row>
    <row r="26" spans="3:11" x14ac:dyDescent="0.25">
      <c r="C26" s="5" t="str">
        <f>'Informacion del AEP'!C153</f>
        <v xml:space="preserve">Servicios generales y de gestión - negocio </v>
      </c>
      <c r="D26" s="70">
        <f>INDEX('Informacion del AEP'!$D$138:$AE$158,MATCH('Costos aguas abajo'!$C26,'Informacion del AEP'!$C$138:$C$158,0),MATCH('Costos aguas abajo'!$C$10,'Informacion del AEP'!$D$137:$AE$137,0))</f>
        <v>500000000</v>
      </c>
      <c r="F26" s="72">
        <f>D26*Supuestos!$C40</f>
        <v>50000000</v>
      </c>
      <c r="G26" s="72">
        <f>D26*(1-Supuestos!$C40)</f>
        <v>450000000</v>
      </c>
      <c r="I26" s="72">
        <f t="shared" si="0"/>
        <v>50000000</v>
      </c>
      <c r="J26" s="72">
        <f>G26*Supuestos!$C$20</f>
        <v>50311529.493745267</v>
      </c>
      <c r="K26" s="72">
        <f>(I26+J26)*(1/Supuestos!$C$20)</f>
        <v>897213595.49995792</v>
      </c>
    </row>
    <row r="27" spans="3:11" ht="13" x14ac:dyDescent="0.3">
      <c r="C27" s="64" t="s">
        <v>109</v>
      </c>
      <c r="D27" s="218">
        <f>SUM(D28:D31)</f>
        <v>0</v>
      </c>
      <c r="E27" s="64"/>
      <c r="F27" s="218">
        <f>SUM(F28:F31)</f>
        <v>0</v>
      </c>
      <c r="G27" s="218">
        <f>SUM(G28:G31)</f>
        <v>0</v>
      </c>
      <c r="H27" s="64"/>
      <c r="I27" s="218">
        <f>SUM(I28:I31)</f>
        <v>0</v>
      </c>
      <c r="J27" s="218">
        <f>SUM(J28:J31)</f>
        <v>0</v>
      </c>
      <c r="K27" s="218">
        <f>SUM(K28:K31)</f>
        <v>0</v>
      </c>
    </row>
    <row r="28" spans="3:11" x14ac:dyDescent="0.25">
      <c r="C28" s="5" t="str">
        <f>'Informacion del AEP'!C154</f>
        <v>Costo del Capital:Servicios generales y de gestión - minoristas</v>
      </c>
      <c r="D28" s="70">
        <f>INDEX('Informacion del AEP'!$D$138:$AE$158,MATCH('Costos aguas abajo'!$C28,'Informacion del AEP'!$C$138:$C$158,0),MATCH('Costos aguas abajo'!$C$10,'Informacion del AEP'!$D$137:$AE$137,0))</f>
        <v>0</v>
      </c>
      <c r="F28" s="72">
        <f>D28*Supuestos!$C41</f>
        <v>0</v>
      </c>
      <c r="G28" s="72">
        <f>D28*(1-Supuestos!$C41)</f>
        <v>0</v>
      </c>
      <c r="I28" s="72">
        <f>+F28</f>
        <v>0</v>
      </c>
      <c r="J28" s="72">
        <f>G28*Supuestos!$C$20</f>
        <v>0</v>
      </c>
      <c r="K28" s="72">
        <f>(I28+J28)*(1/Supuestos!$C$20)</f>
        <v>0</v>
      </c>
    </row>
    <row r="29" spans="3:11" x14ac:dyDescent="0.25">
      <c r="C29" s="5" t="str">
        <f>'Informacion del AEP'!C155</f>
        <v>Costo del Capital:Servicios generales y de gestión - red</v>
      </c>
      <c r="D29" s="70">
        <f>INDEX('Informacion del AEP'!$D$138:$AE$158,MATCH('Costos aguas abajo'!$C29,'Informacion del AEP'!$C$138:$C$158,0),MATCH('Costos aguas abajo'!$C$10,'Informacion del AEP'!$D$137:$AE$137,0))</f>
        <v>0</v>
      </c>
      <c r="F29" s="72">
        <f>D29*Supuestos!$C42</f>
        <v>0</v>
      </c>
      <c r="G29" s="72">
        <f>D29*(1-Supuestos!$C42)</f>
        <v>0</v>
      </c>
      <c r="I29" s="72">
        <f>+F29</f>
        <v>0</v>
      </c>
      <c r="J29" s="72">
        <f>G29*Supuestos!$C$20</f>
        <v>0</v>
      </c>
      <c r="K29" s="72">
        <f>(I29+J29)*(1/Supuestos!$C$20)</f>
        <v>0</v>
      </c>
    </row>
    <row r="30" spans="3:11" x14ac:dyDescent="0.25">
      <c r="C30" s="5" t="str">
        <f>'Informacion del AEP'!C156</f>
        <v xml:space="preserve">Costo del Capital:Servicios generales y de gestión - negocio </v>
      </c>
      <c r="D30" s="70">
        <f>INDEX('Informacion del AEP'!$D$138:$AE$158,MATCH('Costos aguas abajo'!$C30,'Informacion del AEP'!$C$138:$C$158,0),MATCH('Costos aguas abajo'!$C$10,'Informacion del AEP'!$D$137:$AE$137,0))</f>
        <v>0</v>
      </c>
      <c r="F30" s="72">
        <f>D30*Supuestos!$C43</f>
        <v>0</v>
      </c>
      <c r="G30" s="72">
        <f>D30*(1-Supuestos!$C43)</f>
        <v>0</v>
      </c>
      <c r="I30" s="72">
        <f>+F30</f>
        <v>0</v>
      </c>
      <c r="J30" s="72">
        <f>G30*Supuestos!$C$20</f>
        <v>0</v>
      </c>
      <c r="K30" s="72">
        <f>(I30+J30)*(1/Supuestos!$C$20)</f>
        <v>0</v>
      </c>
    </row>
    <row r="31" spans="3:11" x14ac:dyDescent="0.25">
      <c r="C31" s="5" t="str">
        <f>'Informacion del AEP'!C157</f>
        <v>Costo del Capital:Equipos terminales</v>
      </c>
      <c r="D31" s="70">
        <f>INDEX('Informacion del AEP'!$D$138:$AE$158,MATCH('Costos aguas abajo'!$C31,'Informacion del AEP'!$C$138:$C$158,0),MATCH('Costos aguas abajo'!$C$10,'Informacion del AEP'!$D$137:$AE$137,0))</f>
        <v>0</v>
      </c>
      <c r="F31" s="72">
        <f>D31*Supuestos!$C44</f>
        <v>0</v>
      </c>
      <c r="G31" s="72">
        <f>D31*(1-Supuestos!$C44)</f>
        <v>0</v>
      </c>
      <c r="I31" s="72">
        <f>+F31</f>
        <v>0</v>
      </c>
      <c r="J31" s="72">
        <f>G31*Supuestos!$C$20</f>
        <v>0</v>
      </c>
      <c r="K31" s="72">
        <f>(I31+J31)*(1/Supuestos!$C$20)</f>
        <v>0</v>
      </c>
    </row>
    <row r="32" spans="3:11" x14ac:dyDescent="0.25">
      <c r="D32" s="70"/>
      <c r="F32" s="72"/>
      <c r="G32" s="72"/>
      <c r="I32" s="72"/>
      <c r="J32" s="72"/>
      <c r="K32" s="72"/>
    </row>
    <row r="33" spans="3:11" ht="13" x14ac:dyDescent="0.3">
      <c r="C33" s="73" t="s">
        <v>42</v>
      </c>
      <c r="D33" s="38" t="str">
        <f>IF(D10='Informacion del AEP'!F158,"Ok","Error")</f>
        <v>Ok</v>
      </c>
      <c r="I33" s="38" t="str">
        <f>IF(I10=F10,"Ok","Error")</f>
        <v>Ok</v>
      </c>
    </row>
    <row r="35" spans="3:11" ht="13" x14ac:dyDescent="0.3">
      <c r="C35" s="74" t="str">
        <f>Supuestos!$B$76</f>
        <v>Segmento Prepago</v>
      </c>
      <c r="D35" s="75">
        <f>SUM(D36:D52)</f>
        <v>9511600000</v>
      </c>
      <c r="E35" s="76"/>
      <c r="F35" s="75">
        <f>SUM(F36:F52)</f>
        <v>247450000</v>
      </c>
      <c r="G35" s="75">
        <f>SUM(G36:G52)</f>
        <v>9264150000</v>
      </c>
      <c r="H35" s="76"/>
      <c r="I35" s="75">
        <f>SUM(I36:I52)</f>
        <v>247450000</v>
      </c>
      <c r="J35" s="75">
        <f>SUM(J36:J52)</f>
        <v>1035763457.6877338</v>
      </c>
      <c r="K35" s="75">
        <f>SUM(K36:K52)</f>
        <v>11477410084.12929</v>
      </c>
    </row>
    <row r="36" spans="3:11" x14ac:dyDescent="0.25">
      <c r="C36" s="5" t="str">
        <f>'Informacion del AEP'!C138</f>
        <v>Acceso a Internet</v>
      </c>
      <c r="D36" s="70">
        <f>INDEX('Informacion del AEP'!$D$138:$AE$158,MATCH('Costos aguas abajo'!$C36,'Informacion del AEP'!$C$138:$C$158,0),MATCH('Costos aguas abajo'!$C$35,'Informacion del AEP'!$D$137:$AE$137,0))</f>
        <v>0</v>
      </c>
      <c r="F36" s="72">
        <f>D36*Supuestos!$C25</f>
        <v>0</v>
      </c>
      <c r="G36" s="72">
        <f>D36*(1-Supuestos!$C25)</f>
        <v>0</v>
      </c>
      <c r="I36" s="72">
        <f>+F36</f>
        <v>0</v>
      </c>
      <c r="J36" s="72">
        <f>G36*Supuestos!$C$20</f>
        <v>0</v>
      </c>
      <c r="K36" s="72">
        <f>(I36+J36)*(1/Supuestos!$C$20)</f>
        <v>0</v>
      </c>
    </row>
    <row r="37" spans="3:11" x14ac:dyDescent="0.25">
      <c r="C37" s="5" t="str">
        <f>'Informacion del AEP'!C139</f>
        <v>Servicios OTT de vídeo</v>
      </c>
      <c r="D37" s="70">
        <f>INDEX('Informacion del AEP'!$D$138:$AE$158,MATCH('Costos aguas abajo'!$C37,'Informacion del AEP'!$C$138:$C$158,0),MATCH('Costos aguas abajo'!$C$35,'Informacion del AEP'!$D$137:$AE$137,0))</f>
        <v>0</v>
      </c>
      <c r="F37" s="72">
        <f>D37*Supuestos!$C26</f>
        <v>0</v>
      </c>
      <c r="G37" s="72">
        <f>D37*(1-Supuestos!$C26)</f>
        <v>0</v>
      </c>
      <c r="I37" s="72">
        <f t="shared" ref="I37:I53" si="1">+F37</f>
        <v>0</v>
      </c>
      <c r="J37" s="72">
        <f>G37*Supuestos!$C$20</f>
        <v>0</v>
      </c>
      <c r="K37" s="72">
        <f>(I37+J37)*(1/Supuestos!$C$20)</f>
        <v>0</v>
      </c>
    </row>
    <row r="38" spans="3:11" x14ac:dyDescent="0.25">
      <c r="C38" s="5" t="str">
        <f>'Informacion del AEP'!C140</f>
        <v>Servicios OTT de audio</v>
      </c>
      <c r="D38" s="70">
        <f>INDEX('Informacion del AEP'!$D$138:$AE$158,MATCH('Costos aguas abajo'!$C38,'Informacion del AEP'!$C$138:$C$158,0),MATCH('Costos aguas abajo'!$C$35,'Informacion del AEP'!$D$137:$AE$137,0))</f>
        <v>0</v>
      </c>
      <c r="F38" s="72">
        <f>D38*Supuestos!$C27</f>
        <v>0</v>
      </c>
      <c r="G38" s="72">
        <f>D38*(1-Supuestos!$C27)</f>
        <v>0</v>
      </c>
      <c r="I38" s="72">
        <f t="shared" si="1"/>
        <v>0</v>
      </c>
      <c r="J38" s="72">
        <f>G38*Supuestos!$C$20</f>
        <v>0</v>
      </c>
      <c r="K38" s="72">
        <f>(I38+J38)*(1/Supuestos!$C$20)</f>
        <v>0</v>
      </c>
    </row>
    <row r="39" spans="3:11" x14ac:dyDescent="0.25">
      <c r="C39" s="5" t="str">
        <f>'Informacion del AEP'!C141</f>
        <v>Comerciales</v>
      </c>
      <c r="D39" s="70">
        <f>INDEX('Informacion del AEP'!$D$138:$AE$158,MATCH('Costos aguas abajo'!$C39,'Informacion del AEP'!$C$138:$C$158,0),MATCH('Costos aguas abajo'!$C$35,'Informacion del AEP'!$D$137:$AE$137,0))</f>
        <v>2099999999.9999998</v>
      </c>
      <c r="F39" s="72">
        <f>D39*Supuestos!$C28</f>
        <v>210000000</v>
      </c>
      <c r="G39" s="72">
        <f>D39*(1-Supuestos!$C28)</f>
        <v>1889999999.9999998</v>
      </c>
      <c r="I39" s="72">
        <f t="shared" si="1"/>
        <v>210000000</v>
      </c>
      <c r="J39" s="72">
        <f>G39*Supuestos!$C$20</f>
        <v>211308423.87373009</v>
      </c>
      <c r="K39" s="72">
        <f>(I39+J39)*(1/Supuestos!$C$20)</f>
        <v>3768297101.099823</v>
      </c>
    </row>
    <row r="40" spans="3:11" x14ac:dyDescent="0.25">
      <c r="C40" s="5" t="str">
        <f>'Informacion del AEP'!C142</f>
        <v>Facturación</v>
      </c>
      <c r="D40" s="70">
        <f>INDEX('Informacion del AEP'!$D$138:$AE$158,MATCH('Costos aguas abajo'!$C40,'Informacion del AEP'!$C$138:$C$158,0),MATCH('Costos aguas abajo'!$C$35,'Informacion del AEP'!$D$137:$AE$137,0))</f>
        <v>0</v>
      </c>
      <c r="F40" s="72">
        <f>D40*Supuestos!$C29</f>
        <v>0</v>
      </c>
      <c r="G40" s="72">
        <f>D40*(1-Supuestos!$C29)</f>
        <v>0</v>
      </c>
      <c r="I40" s="72">
        <f t="shared" si="1"/>
        <v>0</v>
      </c>
      <c r="J40" s="72">
        <f>G40*Supuestos!$C$20</f>
        <v>0</v>
      </c>
      <c r="K40" s="72">
        <f>(I40+J40)*(1/Supuestos!$C$20)</f>
        <v>0</v>
      </c>
    </row>
    <row r="41" spans="3:11" x14ac:dyDescent="0.25">
      <c r="C41" s="5" t="str">
        <f>'Informacion del AEP'!C143</f>
        <v>Cobranza</v>
      </c>
      <c r="D41" s="70">
        <f>INDEX('Informacion del AEP'!$D$138:$AE$158,MATCH('Costos aguas abajo'!$C41,'Informacion del AEP'!$C$138:$C$158,0),MATCH('Costos aguas abajo'!$C$35,'Informacion del AEP'!$D$137:$AE$137,0))</f>
        <v>0</v>
      </c>
      <c r="F41" s="72">
        <f>D41*Supuestos!$C30</f>
        <v>0</v>
      </c>
      <c r="G41" s="72">
        <f>D41*(1-Supuestos!$C30)</f>
        <v>0</v>
      </c>
      <c r="I41" s="72">
        <f t="shared" si="1"/>
        <v>0</v>
      </c>
      <c r="J41" s="72">
        <f>G41*Supuestos!$C$20</f>
        <v>0</v>
      </c>
      <c r="K41" s="72">
        <f>(I41+J41)*(1/Supuestos!$C$20)</f>
        <v>0</v>
      </c>
    </row>
    <row r="42" spans="3:11" x14ac:dyDescent="0.25">
      <c r="C42" s="5" t="str">
        <f>'Informacion del AEP'!C144</f>
        <v>Tasas e impuestos</v>
      </c>
      <c r="D42" s="70">
        <f>INDEX('Informacion del AEP'!$D$138:$AE$158,MATCH('Costos aguas abajo'!$C42,'Informacion del AEP'!$C$138:$C$158,0),MATCH('Costos aguas abajo'!$C$35,'Informacion del AEP'!$D$137:$AE$137,0))</f>
        <v>24500000</v>
      </c>
      <c r="F42" s="72">
        <f>D42*Supuestos!$C31</f>
        <v>2450000</v>
      </c>
      <c r="G42" s="72">
        <f>D42*(1-Supuestos!$C31)</f>
        <v>22050000</v>
      </c>
      <c r="I42" s="72">
        <f t="shared" si="1"/>
        <v>2450000</v>
      </c>
      <c r="J42" s="72">
        <f>G42*Supuestos!$C$20</f>
        <v>2465264.945193518</v>
      </c>
      <c r="K42" s="72">
        <f>(I42+J42)*(1/Supuestos!$C$20)</f>
        <v>43963466.179497942</v>
      </c>
    </row>
    <row r="43" spans="3:11" x14ac:dyDescent="0.25">
      <c r="C43" s="5" t="str">
        <f>'Informacion del AEP'!C145</f>
        <v>Programas de fidelización</v>
      </c>
      <c r="D43" s="70">
        <f>INDEX('Informacion del AEP'!$D$138:$AE$158,MATCH('Costos aguas abajo'!$C43,'Informacion del AEP'!$C$138:$C$158,0),MATCH('Costos aguas abajo'!$C$35,'Informacion del AEP'!$D$137:$AE$137,0))</f>
        <v>0</v>
      </c>
      <c r="F43" s="72">
        <f>D43*Supuestos!$C32</f>
        <v>0</v>
      </c>
      <c r="G43" s="72">
        <f>D43*(1-Supuestos!$C32)</f>
        <v>0</v>
      </c>
      <c r="I43" s="72">
        <f t="shared" si="1"/>
        <v>0</v>
      </c>
      <c r="J43" s="72">
        <f>G43*Supuestos!$C$20</f>
        <v>0</v>
      </c>
      <c r="K43" s="72">
        <f>(I43+J43)*(1/Supuestos!$C$20)</f>
        <v>0</v>
      </c>
    </row>
    <row r="44" spans="3:11" x14ac:dyDescent="0.25">
      <c r="C44" s="5" t="str">
        <f>'Informacion del AEP'!C146</f>
        <v>Acceso internet internacional</v>
      </c>
      <c r="D44" s="70">
        <f>INDEX('Informacion del AEP'!$D$138:$AE$158,MATCH('Costos aguas abajo'!$C44,'Informacion del AEP'!$C$138:$C$158,0),MATCH('Costos aguas abajo'!$C$35,'Informacion del AEP'!$D$137:$AE$137,0))</f>
        <v>26600000</v>
      </c>
      <c r="F44" s="72">
        <f>D44*Supuestos!$C33</f>
        <v>0</v>
      </c>
      <c r="G44" s="72">
        <f>D44*(1-Supuestos!$C33)</f>
        <v>26600000</v>
      </c>
      <c r="I44" s="72">
        <f t="shared" si="1"/>
        <v>0</v>
      </c>
      <c r="J44" s="72">
        <f>G44*Supuestos!$C$20</f>
        <v>2973970.4100747202</v>
      </c>
      <c r="K44" s="72">
        <f>(I44+J44)*(1/Supuestos!$C$20)</f>
        <v>26600000</v>
      </c>
    </row>
    <row r="45" spans="3:11" x14ac:dyDescent="0.25">
      <c r="C45" s="5" t="str">
        <f>'Informacion del AEP'!C147</f>
        <v>Roaming nacional</v>
      </c>
      <c r="D45" s="70">
        <f>INDEX('Informacion del AEP'!$D$138:$AE$158,MATCH('Costos aguas abajo'!$C45,'Informacion del AEP'!$C$138:$C$158,0),MATCH('Costos aguas abajo'!$C$35,'Informacion del AEP'!$D$137:$AE$137,0))</f>
        <v>10500000</v>
      </c>
      <c r="F45" s="72">
        <f>D45*Supuestos!$C34</f>
        <v>0</v>
      </c>
      <c r="G45" s="72">
        <f>D45*(1-Supuestos!$C34)</f>
        <v>10500000</v>
      </c>
      <c r="I45" s="72">
        <f t="shared" si="1"/>
        <v>0</v>
      </c>
      <c r="J45" s="72">
        <f>G45*Supuestos!$C$20</f>
        <v>1173935.6881873896</v>
      </c>
      <c r="K45" s="72">
        <f>(I45+J45)*(1/Supuestos!$C$20)</f>
        <v>10500000</v>
      </c>
    </row>
    <row r="46" spans="3:11" x14ac:dyDescent="0.25">
      <c r="C46" s="5" t="str">
        <f>'Informacion del AEP'!C148</f>
        <v>Roaming internacional</v>
      </c>
      <c r="D46" s="70">
        <f>INDEX('Informacion del AEP'!$D$138:$AE$158,MATCH('Costos aguas abajo'!$C46,'Informacion del AEP'!$C$138:$C$158,0),MATCH('Costos aguas abajo'!$C$35,'Informacion del AEP'!$D$137:$AE$137,0))</f>
        <v>0</v>
      </c>
      <c r="F46" s="72">
        <f>D46*Supuestos!$C35</f>
        <v>0</v>
      </c>
      <c r="G46" s="72">
        <f>D46*(1-Supuestos!$C35)</f>
        <v>0</v>
      </c>
      <c r="I46" s="72">
        <f t="shared" si="1"/>
        <v>0</v>
      </c>
      <c r="J46" s="72">
        <f>G46*Supuestos!$C$20</f>
        <v>0</v>
      </c>
      <c r="K46" s="72">
        <f>(I46+J46)*(1/Supuestos!$C$20)</f>
        <v>0</v>
      </c>
    </row>
    <row r="47" spans="3:11" x14ac:dyDescent="0.25">
      <c r="C47" s="5" t="str">
        <f>'Informacion del AEP'!C149</f>
        <v>Provisiones</v>
      </c>
      <c r="D47" s="70">
        <f>INDEX('Informacion del AEP'!$D$138:$AE$158,MATCH('Costos aguas abajo'!$C47,'Informacion del AEP'!$C$138:$C$158,0),MATCH('Costos aguas abajo'!$C$35,'Informacion del AEP'!$D$137:$AE$137,0))</f>
        <v>0</v>
      </c>
      <c r="F47" s="72">
        <f>D47*Supuestos!$C36</f>
        <v>0</v>
      </c>
      <c r="G47" s="72">
        <f>D47*(1-Supuestos!$C36)</f>
        <v>0</v>
      </c>
      <c r="I47" s="72">
        <f t="shared" si="1"/>
        <v>0</v>
      </c>
      <c r="J47" s="72">
        <f>G47*Supuestos!$C$20</f>
        <v>0</v>
      </c>
      <c r="K47" s="72">
        <f>(I47+J47)*(1/Supuestos!$C$20)</f>
        <v>0</v>
      </c>
    </row>
    <row r="48" spans="3:11" x14ac:dyDescent="0.25">
      <c r="C48" s="5" t="str">
        <f>'Informacion del AEP'!C150</f>
        <v>Costos directos de la venta de terminales</v>
      </c>
      <c r="D48" s="70">
        <f>INDEX('Informacion del AEP'!$D$138:$AE$158,MATCH('Costos aguas abajo'!$C48,'Informacion del AEP'!$C$138:$C$158,0),MATCH('Costos aguas abajo'!$C$35,'Informacion del AEP'!$D$137:$AE$137,0))</f>
        <v>7000000000</v>
      </c>
      <c r="F48" s="72">
        <f>D48*Supuestos!$C37</f>
        <v>0</v>
      </c>
      <c r="G48" s="72">
        <f>D48*(1-Supuestos!$C37)</f>
        <v>7000000000</v>
      </c>
      <c r="I48" s="72">
        <f t="shared" si="1"/>
        <v>0</v>
      </c>
      <c r="J48" s="72">
        <f>G48*Supuestos!$C$20</f>
        <v>782623792.12492633</v>
      </c>
      <c r="K48" s="72">
        <f>(I48+J48)*(1/Supuestos!$C$20)</f>
        <v>7000000000</v>
      </c>
    </row>
    <row r="49" spans="3:11" x14ac:dyDescent="0.25">
      <c r="C49" s="5" t="str">
        <f>'Informacion del AEP'!C151</f>
        <v>Servicios generales y de gestión - minoristas</v>
      </c>
      <c r="D49" s="70">
        <f>INDEX('Informacion del AEP'!$D$138:$AE$158,MATCH('Costos aguas abajo'!$C49,'Informacion del AEP'!$C$138:$C$158,0),MATCH('Costos aguas abajo'!$C$35,'Informacion del AEP'!$D$137:$AE$137,0))</f>
        <v>0</v>
      </c>
      <c r="F49" s="72">
        <f>D49*Supuestos!$C38</f>
        <v>0</v>
      </c>
      <c r="G49" s="72">
        <f>D49*(1-Supuestos!$C38)</f>
        <v>0</v>
      </c>
      <c r="I49" s="72">
        <f t="shared" si="1"/>
        <v>0</v>
      </c>
      <c r="J49" s="72">
        <f>G49*Supuestos!$C$20</f>
        <v>0</v>
      </c>
      <c r="K49" s="72">
        <f>(I49+J49)*(1/Supuestos!$C$20)</f>
        <v>0</v>
      </c>
    </row>
    <row r="50" spans="3:11" x14ac:dyDescent="0.25">
      <c r="C50" s="5" t="str">
        <f>'Informacion del AEP'!C152</f>
        <v>Servicios generales y de gestión - red</v>
      </c>
      <c r="D50" s="70">
        <f>INDEX('Informacion del AEP'!$D$138:$AE$158,MATCH('Costos aguas abajo'!$C50,'Informacion del AEP'!$C$138:$C$158,0),MATCH('Costos aguas abajo'!$C$35,'Informacion del AEP'!$D$137:$AE$137,0))</f>
        <v>0</v>
      </c>
      <c r="F50" s="72">
        <f>D50*Supuestos!$C39</f>
        <v>0</v>
      </c>
      <c r="G50" s="72">
        <f>D50*(1-Supuestos!$C39)</f>
        <v>0</v>
      </c>
      <c r="I50" s="72">
        <f t="shared" si="1"/>
        <v>0</v>
      </c>
      <c r="J50" s="72">
        <f>G50*Supuestos!$C$20</f>
        <v>0</v>
      </c>
      <c r="K50" s="72">
        <f>(I50+J50)*(1/Supuestos!$C$20)</f>
        <v>0</v>
      </c>
    </row>
    <row r="51" spans="3:11" x14ac:dyDescent="0.25">
      <c r="C51" s="5" t="str">
        <f>'Informacion del AEP'!C153</f>
        <v xml:space="preserve">Servicios generales y de gestión - negocio </v>
      </c>
      <c r="D51" s="70">
        <f>INDEX('Informacion del AEP'!$D$138:$AE$158,MATCH('Costos aguas abajo'!$C51,'Informacion del AEP'!$C$138:$C$158,0),MATCH('Costos aguas abajo'!$C$35,'Informacion del AEP'!$D$137:$AE$137,0))</f>
        <v>350000000</v>
      </c>
      <c r="F51" s="72">
        <f>D51*Supuestos!$C40</f>
        <v>35000000</v>
      </c>
      <c r="G51" s="72">
        <f>D51*(1-Supuestos!$C40)</f>
        <v>315000000</v>
      </c>
      <c r="I51" s="72">
        <f t="shared" si="1"/>
        <v>35000000</v>
      </c>
      <c r="J51" s="72">
        <f>G51*Supuestos!$C$20</f>
        <v>35218070.645621687</v>
      </c>
      <c r="K51" s="72">
        <f>(I51+J51)*(1/Supuestos!$C$20)</f>
        <v>628049516.84997058</v>
      </c>
    </row>
    <row r="52" spans="3:11" ht="13" x14ac:dyDescent="0.3">
      <c r="C52" s="64" t="s">
        <v>109</v>
      </c>
      <c r="D52" s="218">
        <f>SUM(D53:D56)</f>
        <v>0</v>
      </c>
      <c r="F52" s="218">
        <f>SUM(F53:F56)</f>
        <v>0</v>
      </c>
      <c r="G52" s="218">
        <f>SUM(G53:G56)</f>
        <v>0</v>
      </c>
      <c r="I52" s="218">
        <f>SUM(I53:I56)</f>
        <v>0</v>
      </c>
      <c r="J52" s="218">
        <f>SUM(J53:J56)</f>
        <v>0</v>
      </c>
      <c r="K52" s="218">
        <f>SUM(K53:K56)</f>
        <v>0</v>
      </c>
    </row>
    <row r="53" spans="3:11" x14ac:dyDescent="0.25">
      <c r="C53" s="5" t="str">
        <f>'Informacion del AEP'!C154</f>
        <v>Costo del Capital:Servicios generales y de gestión - minoristas</v>
      </c>
      <c r="D53" s="70">
        <f>INDEX('Informacion del AEP'!$D$138:$AE$158,MATCH('Costos aguas abajo'!$C53,'Informacion del AEP'!$C$138:$C$158,0),MATCH('Costos aguas abajo'!$C$35,'Informacion del AEP'!$D$137:$AE$137,0))</f>
        <v>0</v>
      </c>
      <c r="F53" s="72">
        <f>D53*Supuestos!$C41</f>
        <v>0</v>
      </c>
      <c r="G53" s="72">
        <f>D53*(1-Supuestos!$C41)</f>
        <v>0</v>
      </c>
      <c r="I53" s="72">
        <f t="shared" si="1"/>
        <v>0</v>
      </c>
      <c r="J53" s="72">
        <f>G53*Supuestos!$C$20</f>
        <v>0</v>
      </c>
      <c r="K53" s="72">
        <f>(I53+J53)*(1/Supuestos!$C$20)</f>
        <v>0</v>
      </c>
    </row>
    <row r="54" spans="3:11" x14ac:dyDescent="0.25">
      <c r="C54" s="5" t="str">
        <f>'Informacion del AEP'!C155</f>
        <v>Costo del Capital:Servicios generales y de gestión - red</v>
      </c>
      <c r="D54" s="70">
        <f>INDEX('Informacion del AEP'!$D$138:$AE$158,MATCH('Costos aguas abajo'!$C54,'Informacion del AEP'!$C$138:$C$158,0),MATCH('Costos aguas abajo'!$C$35,'Informacion del AEP'!$D$137:$AE$137,0))</f>
        <v>0</v>
      </c>
      <c r="F54" s="72">
        <f>D54*Supuestos!$C42</f>
        <v>0</v>
      </c>
      <c r="G54" s="72">
        <f>D54*(1-Supuestos!$C42)</f>
        <v>0</v>
      </c>
      <c r="I54" s="72">
        <f>+F54</f>
        <v>0</v>
      </c>
      <c r="J54" s="72">
        <f>G54*Supuestos!$C$20</f>
        <v>0</v>
      </c>
      <c r="K54" s="72">
        <f>(I54+J54)*(1/Supuestos!$C$20)</f>
        <v>0</v>
      </c>
    </row>
    <row r="55" spans="3:11" x14ac:dyDescent="0.25">
      <c r="C55" s="5" t="str">
        <f>'Informacion del AEP'!C156</f>
        <v xml:space="preserve">Costo del Capital:Servicios generales y de gestión - negocio </v>
      </c>
      <c r="D55" s="70">
        <f>INDEX('Informacion del AEP'!$D$138:$AE$158,MATCH('Costos aguas abajo'!$C55,'Informacion del AEP'!$C$138:$C$158,0),MATCH('Costos aguas abajo'!$C$35,'Informacion del AEP'!$D$137:$AE$137,0))</f>
        <v>0</v>
      </c>
      <c r="F55" s="72">
        <f>D55*Supuestos!$C43</f>
        <v>0</v>
      </c>
      <c r="G55" s="72">
        <f>D55*(1-Supuestos!$C43)</f>
        <v>0</v>
      </c>
      <c r="I55" s="72">
        <f>+F55</f>
        <v>0</v>
      </c>
      <c r="J55" s="72">
        <f>G55*Supuestos!$C$20</f>
        <v>0</v>
      </c>
      <c r="K55" s="72">
        <f>(I55+J55)*(1/Supuestos!$C$20)</f>
        <v>0</v>
      </c>
    </row>
    <row r="56" spans="3:11" x14ac:dyDescent="0.25">
      <c r="C56" s="5" t="str">
        <f>'Informacion del AEP'!C157</f>
        <v>Costo del Capital:Equipos terminales</v>
      </c>
      <c r="D56" s="70">
        <f>INDEX('Informacion del AEP'!$D$138:$AE$158,MATCH('Costos aguas abajo'!$C56,'Informacion del AEP'!$C$138:$C$158,0),MATCH('Costos aguas abajo'!$C$35,'Informacion del AEP'!$D$137:$AE$137,0))</f>
        <v>0</v>
      </c>
      <c r="F56" s="72">
        <f>D56*Supuestos!$C44</f>
        <v>0</v>
      </c>
      <c r="G56" s="72">
        <f>D56*(1-Supuestos!$C44)</f>
        <v>0</v>
      </c>
      <c r="I56" s="72">
        <f>+F56</f>
        <v>0</v>
      </c>
      <c r="J56" s="72">
        <f>G56*Supuestos!$C$20</f>
        <v>0</v>
      </c>
      <c r="K56" s="72">
        <f>(I56+J56)*(1/Supuestos!$C$20)</f>
        <v>0</v>
      </c>
    </row>
    <row r="58" spans="3:11" ht="13" x14ac:dyDescent="0.3">
      <c r="C58" s="73" t="s">
        <v>42</v>
      </c>
      <c r="D58" s="38" t="str">
        <f>IF(D35='Informacion del AEP'!G158,"Ok","Error")</f>
        <v>Ok</v>
      </c>
      <c r="I58" s="38" t="str">
        <f>IF(I35=F35,"Ok","Error")</f>
        <v>Ok</v>
      </c>
    </row>
    <row r="60" spans="3:11" ht="13" x14ac:dyDescent="0.3">
      <c r="C60" s="74" t="str">
        <f>Supuestos!$B$77</f>
        <v>Segmento Pospago</v>
      </c>
      <c r="D60" s="75">
        <f>SUM(D61:D77)</f>
        <v>4882300000</v>
      </c>
      <c r="E60" s="76"/>
      <c r="F60" s="75">
        <f>SUM(F61:F77)</f>
        <v>136095000</v>
      </c>
      <c r="G60" s="75">
        <f>SUM(G61:G77)</f>
        <v>4746205000</v>
      </c>
      <c r="H60" s="76"/>
      <c r="I60" s="75">
        <f>SUM(I61:I77)</f>
        <v>136095000</v>
      </c>
      <c r="J60" s="75">
        <f>SUM(J61:J77)</f>
        <v>530641850.75746953</v>
      </c>
      <c r="K60" s="75">
        <f>SUM(K61:K77)</f>
        <v>5963475685.5913353</v>
      </c>
    </row>
    <row r="61" spans="3:11" x14ac:dyDescent="0.25">
      <c r="C61" s="5" t="str">
        <f>'Informacion del AEP'!C138</f>
        <v>Acceso a Internet</v>
      </c>
      <c r="D61" s="70">
        <f>INDEX('Informacion del AEP'!$D$138:$AE$158,MATCH('Costos aguas abajo'!$C61,'Informacion del AEP'!$C$138:$C$158,0),MATCH('Costos aguas abajo'!$C$60,'Informacion del AEP'!$D$137:$AE$137,0))</f>
        <v>0</v>
      </c>
      <c r="F61" s="72">
        <f>D61*Supuestos!$C25</f>
        <v>0</v>
      </c>
      <c r="G61" s="72">
        <f>D61*(1-Supuestos!$C25)</f>
        <v>0</v>
      </c>
      <c r="I61" s="72">
        <f>+F61</f>
        <v>0</v>
      </c>
      <c r="J61" s="72">
        <f>G61*Supuestos!$C$20</f>
        <v>0</v>
      </c>
      <c r="K61" s="72">
        <f>(I61+J61)*(1/Supuestos!$C$20)</f>
        <v>0</v>
      </c>
    </row>
    <row r="62" spans="3:11" x14ac:dyDescent="0.25">
      <c r="C62" s="5" t="str">
        <f>'Informacion del AEP'!C139</f>
        <v>Servicios OTT de vídeo</v>
      </c>
      <c r="D62" s="70">
        <f>INDEX('Informacion del AEP'!$D$138:$AE$158,MATCH('Costos aguas abajo'!$C62,'Informacion del AEP'!$C$138:$C$158,0),MATCH('Costos aguas abajo'!$C$60,'Informacion del AEP'!$D$137:$AE$137,0))</f>
        <v>80000000</v>
      </c>
      <c r="F62" s="72">
        <f>D62*Supuestos!$C26</f>
        <v>0</v>
      </c>
      <c r="G62" s="72">
        <f>D62*(1-Supuestos!$C26)</f>
        <v>80000000</v>
      </c>
      <c r="I62" s="72">
        <f t="shared" ref="I62:I78" si="2">+F62</f>
        <v>0</v>
      </c>
      <c r="J62" s="72">
        <f>G62*Supuestos!$C$20</f>
        <v>8944271.9099991582</v>
      </c>
      <c r="K62" s="72">
        <f>(I62+J62)*(1/Supuestos!$C$20)</f>
        <v>80000000</v>
      </c>
    </row>
    <row r="63" spans="3:11" x14ac:dyDescent="0.25">
      <c r="C63" s="5" t="str">
        <f>'Informacion del AEP'!C140</f>
        <v>Servicios OTT de audio</v>
      </c>
      <c r="D63" s="70">
        <f>INDEX('Informacion del AEP'!$D$138:$AE$158,MATCH('Costos aguas abajo'!$C63,'Informacion del AEP'!$C$138:$C$158,0),MATCH('Costos aguas abajo'!$C$60,'Informacion del AEP'!$D$137:$AE$137,0))</f>
        <v>0</v>
      </c>
      <c r="F63" s="72">
        <f>D63*Supuestos!$C27</f>
        <v>0</v>
      </c>
      <c r="G63" s="72">
        <f>D63*(1-Supuestos!$C27)</f>
        <v>0</v>
      </c>
      <c r="I63" s="72">
        <f t="shared" si="2"/>
        <v>0</v>
      </c>
      <c r="J63" s="72">
        <f>G63*Supuestos!$C$20</f>
        <v>0</v>
      </c>
      <c r="K63" s="72">
        <f>(I63+J63)*(1/Supuestos!$C$20)</f>
        <v>0</v>
      </c>
    </row>
    <row r="64" spans="3:11" x14ac:dyDescent="0.25">
      <c r="C64" s="5" t="str">
        <f>'Informacion del AEP'!C141</f>
        <v>Comerciales</v>
      </c>
      <c r="D64" s="70">
        <f>INDEX('Informacion del AEP'!$D$138:$AE$158,MATCH('Costos aguas abajo'!$C64,'Informacion del AEP'!$C$138:$C$158,0),MATCH('Costos aguas abajo'!$C$60,'Informacion del AEP'!$D$137:$AE$137,0))</f>
        <v>900000000</v>
      </c>
      <c r="F64" s="72">
        <f>D64*Supuestos!$C28</f>
        <v>90000000</v>
      </c>
      <c r="G64" s="72">
        <f>D64*(1-Supuestos!$C28)</f>
        <v>810000000</v>
      </c>
      <c r="I64" s="72">
        <f t="shared" si="2"/>
        <v>90000000</v>
      </c>
      <c r="J64" s="72">
        <f>G64*Supuestos!$C$20</f>
        <v>90560753.088741481</v>
      </c>
      <c r="K64" s="72">
        <f>(I64+J64)*(1/Supuestos!$C$20)</f>
        <v>1614984471.8999243</v>
      </c>
    </row>
    <row r="65" spans="3:11" x14ac:dyDescent="0.25">
      <c r="C65" s="5" t="str">
        <f>'Informacion del AEP'!C142</f>
        <v>Facturación</v>
      </c>
      <c r="D65" s="70">
        <f>INDEX('Informacion del AEP'!$D$138:$AE$158,MATCH('Costos aguas abajo'!$C65,'Informacion del AEP'!$C$138:$C$158,0),MATCH('Costos aguas abajo'!$C$60,'Informacion del AEP'!$D$137:$AE$137,0))</f>
        <v>900000</v>
      </c>
      <c r="F65" s="72">
        <f>D65*Supuestos!$C29</f>
        <v>45000</v>
      </c>
      <c r="G65" s="72">
        <f>D65*(1-Supuestos!$C29)</f>
        <v>855000</v>
      </c>
      <c r="I65" s="72">
        <f t="shared" si="2"/>
        <v>45000</v>
      </c>
      <c r="J65" s="72">
        <f>G65*Supuestos!$C$20</f>
        <v>95591.906038116009</v>
      </c>
      <c r="K65" s="72">
        <f>(I65+J65)*(1/Supuestos!$C$20)</f>
        <v>1257492.2359499624</v>
      </c>
    </row>
    <row r="66" spans="3:11" x14ac:dyDescent="0.25">
      <c r="C66" s="5" t="str">
        <f>'Informacion del AEP'!C143</f>
        <v>Cobranza</v>
      </c>
      <c r="D66" s="70">
        <f>INDEX('Informacion del AEP'!$D$138:$AE$158,MATCH('Costos aguas abajo'!$C66,'Informacion del AEP'!$C$138:$C$158,0),MATCH('Costos aguas abajo'!$C$60,'Informacion del AEP'!$D$137:$AE$137,0))</f>
        <v>35000000</v>
      </c>
      <c r="F66" s="72">
        <f>D66*Supuestos!$C30</f>
        <v>0</v>
      </c>
      <c r="G66" s="72">
        <f>D66*(1-Supuestos!$C30)</f>
        <v>35000000</v>
      </c>
      <c r="I66" s="72">
        <f t="shared" si="2"/>
        <v>0</v>
      </c>
      <c r="J66" s="72">
        <f>G66*Supuestos!$C$20</f>
        <v>3913118.960624632</v>
      </c>
      <c r="K66" s="72">
        <f>(I66+J66)*(1/Supuestos!$C$20)</f>
        <v>35000000</v>
      </c>
    </row>
    <row r="67" spans="3:11" x14ac:dyDescent="0.25">
      <c r="C67" s="5" t="str">
        <f>'Informacion del AEP'!C144</f>
        <v>Tasas e impuestos</v>
      </c>
      <c r="D67" s="70">
        <f>INDEX('Informacion del AEP'!$D$138:$AE$158,MATCH('Costos aguas abajo'!$C67,'Informacion del AEP'!$C$138:$C$158,0),MATCH('Costos aguas abajo'!$C$60,'Informacion del AEP'!$D$137:$AE$137,0))</f>
        <v>10500000</v>
      </c>
      <c r="F67" s="72">
        <f>D67*Supuestos!$C31</f>
        <v>1050000</v>
      </c>
      <c r="G67" s="72">
        <f>D67*(1-Supuestos!$C31)</f>
        <v>9450000</v>
      </c>
      <c r="I67" s="72">
        <f t="shared" si="2"/>
        <v>1050000</v>
      </c>
      <c r="J67" s="72">
        <f>G67*Supuestos!$C$20</f>
        <v>1056542.1193686507</v>
      </c>
      <c r="K67" s="72">
        <f>(I67+J67)*(1/Supuestos!$C$20)</f>
        <v>18841485.505499121</v>
      </c>
    </row>
    <row r="68" spans="3:11" x14ac:dyDescent="0.25">
      <c r="C68" s="5" t="str">
        <f>'Informacion del AEP'!C145</f>
        <v>Programas de fidelización</v>
      </c>
      <c r="D68" s="70">
        <f>INDEX('Informacion del AEP'!$D$138:$AE$158,MATCH('Costos aguas abajo'!$C68,'Informacion del AEP'!$C$138:$C$158,0),MATCH('Costos aguas abajo'!$C$60,'Informacion del AEP'!$D$137:$AE$137,0))</f>
        <v>40000000</v>
      </c>
      <c r="F68" s="72">
        <f>D68*Supuestos!$C32</f>
        <v>0</v>
      </c>
      <c r="G68" s="72">
        <f>D68*(1-Supuestos!$C32)</f>
        <v>40000000</v>
      </c>
      <c r="I68" s="72">
        <f t="shared" si="2"/>
        <v>0</v>
      </c>
      <c r="J68" s="72">
        <f>G68*Supuestos!$C$20</f>
        <v>4472135.9549995791</v>
      </c>
      <c r="K68" s="72">
        <f>(I68+J68)*(1/Supuestos!$C$20)</f>
        <v>40000000</v>
      </c>
    </row>
    <row r="69" spans="3:11" x14ac:dyDescent="0.25">
      <c r="C69" s="5" t="str">
        <f>'Informacion del AEP'!C146</f>
        <v>Acceso internet internacional</v>
      </c>
      <c r="D69" s="70">
        <f>INDEX('Informacion del AEP'!$D$138:$AE$158,MATCH('Costos aguas abajo'!$C69,'Informacion del AEP'!$C$138:$C$158,0),MATCH('Costos aguas abajo'!$C$60,'Informacion del AEP'!$D$137:$AE$137,0))</f>
        <v>11400000</v>
      </c>
      <c r="F69" s="72">
        <f>D69*Supuestos!$C33</f>
        <v>0</v>
      </c>
      <c r="G69" s="72">
        <f>D69*(1-Supuestos!$C33)</f>
        <v>11400000</v>
      </c>
      <c r="I69" s="72">
        <f t="shared" si="2"/>
        <v>0</v>
      </c>
      <c r="J69" s="72">
        <f>G69*Supuestos!$C$20</f>
        <v>1274558.74717488</v>
      </c>
      <c r="K69" s="72">
        <f>(I69+J69)*(1/Supuestos!$C$20)</f>
        <v>11400000</v>
      </c>
    </row>
    <row r="70" spans="3:11" x14ac:dyDescent="0.25">
      <c r="C70" s="5" t="str">
        <f>'Informacion del AEP'!C147</f>
        <v>Roaming nacional</v>
      </c>
      <c r="D70" s="70">
        <f>INDEX('Informacion del AEP'!$D$138:$AE$158,MATCH('Costos aguas abajo'!$C70,'Informacion del AEP'!$C$138:$C$158,0),MATCH('Costos aguas abajo'!$C$60,'Informacion del AEP'!$D$137:$AE$137,0))</f>
        <v>4500000</v>
      </c>
      <c r="F70" s="72">
        <f>D70*Supuestos!$C34</f>
        <v>0</v>
      </c>
      <c r="G70" s="72">
        <f>D70*(1-Supuestos!$C34)</f>
        <v>4500000</v>
      </c>
      <c r="I70" s="72">
        <f t="shared" si="2"/>
        <v>0</v>
      </c>
      <c r="J70" s="72">
        <f>G70*Supuestos!$C$20</f>
        <v>503115.29493745265</v>
      </c>
      <c r="K70" s="72">
        <f>(I70+J70)*(1/Supuestos!$C$20)</f>
        <v>4500000</v>
      </c>
    </row>
    <row r="71" spans="3:11" x14ac:dyDescent="0.25">
      <c r="C71" s="5" t="str">
        <f>'Informacion del AEP'!C148</f>
        <v>Roaming internacional</v>
      </c>
      <c r="D71" s="70">
        <f>INDEX('Informacion del AEP'!$D$138:$AE$158,MATCH('Costos aguas abajo'!$C71,'Informacion del AEP'!$C$138:$C$158,0),MATCH('Costos aguas abajo'!$C$60,'Informacion del AEP'!$D$137:$AE$137,0))</f>
        <v>0</v>
      </c>
      <c r="F71" s="72">
        <f>D71*Supuestos!$C35</f>
        <v>0</v>
      </c>
      <c r="G71" s="72">
        <f>D71*(1-Supuestos!$C35)</f>
        <v>0</v>
      </c>
      <c r="I71" s="72">
        <f t="shared" si="2"/>
        <v>0</v>
      </c>
      <c r="J71" s="72">
        <f>G71*Supuestos!$C$20</f>
        <v>0</v>
      </c>
      <c r="K71" s="72">
        <f>(I71+J71)*(1/Supuestos!$C$20)</f>
        <v>0</v>
      </c>
    </row>
    <row r="72" spans="3:11" x14ac:dyDescent="0.25">
      <c r="C72" s="5" t="str">
        <f>'Informacion del AEP'!C149</f>
        <v>Provisiones</v>
      </c>
      <c r="D72" s="70">
        <f>INDEX('Informacion del AEP'!$D$138:$AE$158,MATCH('Costos aguas abajo'!$C72,'Informacion del AEP'!$C$138:$C$158,0),MATCH('Costos aguas abajo'!$C$60,'Informacion del AEP'!$D$137:$AE$137,0))</f>
        <v>50000000</v>
      </c>
      <c r="F72" s="72">
        <f>D72*Supuestos!$C36</f>
        <v>0</v>
      </c>
      <c r="G72" s="72">
        <f>D72*(1-Supuestos!$C36)</f>
        <v>50000000</v>
      </c>
      <c r="I72" s="72">
        <f t="shared" si="2"/>
        <v>0</v>
      </c>
      <c r="J72" s="72">
        <f>G72*Supuestos!$C$20</f>
        <v>5590169.9437494744</v>
      </c>
      <c r="K72" s="72">
        <f>(I72+J72)*(1/Supuestos!$C$20)</f>
        <v>50000000</v>
      </c>
    </row>
    <row r="73" spans="3:11" x14ac:dyDescent="0.25">
      <c r="C73" s="5" t="str">
        <f>'Informacion del AEP'!C150</f>
        <v>Costos directos de la venta de terminales</v>
      </c>
      <c r="D73" s="70">
        <f>INDEX('Informacion del AEP'!$D$138:$AE$158,MATCH('Costos aguas abajo'!$C73,'Informacion del AEP'!$C$138:$C$158,0),MATCH('Costos aguas abajo'!$C$60,'Informacion del AEP'!$D$137:$AE$137,0))</f>
        <v>3000000000</v>
      </c>
      <c r="F73" s="72">
        <f>D73*Supuestos!$C37</f>
        <v>0</v>
      </c>
      <c r="G73" s="72">
        <f>D73*(1-Supuestos!$C37)</f>
        <v>3000000000</v>
      </c>
      <c r="I73" s="72">
        <f t="shared" si="2"/>
        <v>0</v>
      </c>
      <c r="J73" s="72">
        <f>G73*Supuestos!$C$20</f>
        <v>335410196.62496847</v>
      </c>
      <c r="K73" s="72">
        <f>(I73+J73)*(1/Supuestos!$C$20)</f>
        <v>3000000000.0000005</v>
      </c>
    </row>
    <row r="74" spans="3:11" x14ac:dyDescent="0.25">
      <c r="C74" s="5" t="str">
        <f>'Informacion del AEP'!C151</f>
        <v>Servicios generales y de gestión - minoristas</v>
      </c>
      <c r="D74" s="70">
        <f>INDEX('Informacion del AEP'!$D$138:$AE$158,MATCH('Costos aguas abajo'!$C74,'Informacion del AEP'!$C$138:$C$158,0),MATCH('Costos aguas abajo'!$C$60,'Informacion del AEP'!$D$137:$AE$137,0))</f>
        <v>600000000</v>
      </c>
      <c r="F74" s="72">
        <f>D74*Supuestos!$C38</f>
        <v>30000000</v>
      </c>
      <c r="G74" s="72">
        <f>D74*(1-Supuestos!$C38)</f>
        <v>570000000</v>
      </c>
      <c r="I74" s="72">
        <f t="shared" si="2"/>
        <v>30000000</v>
      </c>
      <c r="J74" s="72">
        <f>G74*Supuestos!$C$20</f>
        <v>63727937.358744003</v>
      </c>
      <c r="K74" s="72">
        <f>(I74+J74)*(1/Supuestos!$C$20)</f>
        <v>838328157.29997468</v>
      </c>
    </row>
    <row r="75" spans="3:11" x14ac:dyDescent="0.25">
      <c r="C75" s="5" t="str">
        <f>'Informacion del AEP'!C152</f>
        <v>Servicios generales y de gestión - red</v>
      </c>
      <c r="D75" s="70">
        <f>INDEX('Informacion del AEP'!$D$138:$AE$158,MATCH('Costos aguas abajo'!$C75,'Informacion del AEP'!$C$138:$C$158,0),MATCH('Costos aguas abajo'!$C$60,'Informacion del AEP'!$D$137:$AE$137,0))</f>
        <v>0</v>
      </c>
      <c r="F75" s="72">
        <f>D75*Supuestos!$C39</f>
        <v>0</v>
      </c>
      <c r="G75" s="72">
        <f>D75*(1-Supuestos!$C39)</f>
        <v>0</v>
      </c>
      <c r="I75" s="72">
        <f t="shared" si="2"/>
        <v>0</v>
      </c>
      <c r="J75" s="72">
        <f>G75*Supuestos!$C$20</f>
        <v>0</v>
      </c>
      <c r="K75" s="72">
        <f>(I75+J75)*(1/Supuestos!$C$20)</f>
        <v>0</v>
      </c>
    </row>
    <row r="76" spans="3:11" x14ac:dyDescent="0.25">
      <c r="C76" s="5" t="str">
        <f>'Informacion del AEP'!C153</f>
        <v xml:space="preserve">Servicios generales y de gestión - negocio </v>
      </c>
      <c r="D76" s="70">
        <f>INDEX('Informacion del AEP'!$D$138:$AE$158,MATCH('Costos aguas abajo'!$C76,'Informacion del AEP'!$C$138:$C$158,0),MATCH('Costos aguas abajo'!$C$60,'Informacion del AEP'!$D$137:$AE$137,0))</f>
        <v>150000000</v>
      </c>
      <c r="F76" s="72">
        <f>D76*Supuestos!$C40</f>
        <v>15000000</v>
      </c>
      <c r="G76" s="72">
        <f>D76*(1-Supuestos!$C40)</f>
        <v>135000000</v>
      </c>
      <c r="I76" s="72">
        <f t="shared" si="2"/>
        <v>15000000</v>
      </c>
      <c r="J76" s="72">
        <f>G76*Supuestos!$C$20</f>
        <v>15093458.84812358</v>
      </c>
      <c r="K76" s="72">
        <f>(I76+J76)*(1/Supuestos!$C$20)</f>
        <v>269164078.6499874</v>
      </c>
    </row>
    <row r="77" spans="3:11" ht="13" x14ac:dyDescent="0.3">
      <c r="C77" s="64" t="s">
        <v>109</v>
      </c>
      <c r="D77" s="218">
        <f>SUM(D78:D81)</f>
        <v>0</v>
      </c>
      <c r="F77" s="218">
        <f>SUM(F78:F81)</f>
        <v>0</v>
      </c>
      <c r="G77" s="218">
        <f>SUM(G78:G81)</f>
        <v>0</v>
      </c>
      <c r="I77" s="218">
        <f>SUM(I78:I81)</f>
        <v>0</v>
      </c>
      <c r="J77" s="218">
        <f>SUM(J78:J81)</f>
        <v>0</v>
      </c>
      <c r="K77" s="218">
        <f>SUM(K78:K81)</f>
        <v>0</v>
      </c>
    </row>
    <row r="78" spans="3:11" x14ac:dyDescent="0.25">
      <c r="C78" s="5" t="str">
        <f>'Informacion del AEP'!C154</f>
        <v>Costo del Capital:Servicios generales y de gestión - minoristas</v>
      </c>
      <c r="D78" s="70">
        <f>INDEX('Informacion del AEP'!$D$138:$AE$158,MATCH('Costos aguas abajo'!$C78,'Informacion del AEP'!$C$138:$C$158,0),MATCH('Costos aguas abajo'!$C$60,'Informacion del AEP'!$D$137:$AE$137,0))</f>
        <v>0</v>
      </c>
      <c r="F78" s="72">
        <f>D78*Supuestos!$C41</f>
        <v>0</v>
      </c>
      <c r="G78" s="72">
        <f>D78*(1-Supuestos!$C41)</f>
        <v>0</v>
      </c>
      <c r="I78" s="72">
        <f t="shared" si="2"/>
        <v>0</v>
      </c>
      <c r="J78" s="72">
        <f>G78*Supuestos!$C$20</f>
        <v>0</v>
      </c>
      <c r="K78" s="72">
        <f>(I78+J78)*(1/Supuestos!$C$20)</f>
        <v>0</v>
      </c>
    </row>
    <row r="79" spans="3:11" x14ac:dyDescent="0.25">
      <c r="C79" s="5" t="str">
        <f>'Informacion del AEP'!C155</f>
        <v>Costo del Capital:Servicios generales y de gestión - red</v>
      </c>
      <c r="D79" s="70">
        <f>INDEX('Informacion del AEP'!$D$138:$AE$158,MATCH('Costos aguas abajo'!$C79,'Informacion del AEP'!$C$138:$C$158,0),MATCH('Costos aguas abajo'!$C$60,'Informacion del AEP'!$D$137:$AE$137,0))</f>
        <v>0</v>
      </c>
      <c r="F79" s="72">
        <f>D79*Supuestos!$C42</f>
        <v>0</v>
      </c>
      <c r="G79" s="72">
        <f>D79*(1-Supuestos!$C42)</f>
        <v>0</v>
      </c>
      <c r="I79" s="72">
        <f>+F79</f>
        <v>0</v>
      </c>
      <c r="J79" s="72">
        <f>G79*Supuestos!$C$20</f>
        <v>0</v>
      </c>
      <c r="K79" s="72">
        <f>(I79+J79)*(1/Supuestos!$C$20)</f>
        <v>0</v>
      </c>
    </row>
    <row r="80" spans="3:11" x14ac:dyDescent="0.25">
      <c r="C80" s="5" t="str">
        <f>'Informacion del AEP'!C156</f>
        <v xml:space="preserve">Costo del Capital:Servicios generales y de gestión - negocio </v>
      </c>
      <c r="D80" s="70">
        <f>INDEX('Informacion del AEP'!$D$138:$AE$158,MATCH('Costos aguas abajo'!$C80,'Informacion del AEP'!$C$138:$C$158,0),MATCH('Costos aguas abajo'!$C$60,'Informacion del AEP'!$D$137:$AE$137,0))</f>
        <v>0</v>
      </c>
      <c r="F80" s="72">
        <f>D80*Supuestos!$C43</f>
        <v>0</v>
      </c>
      <c r="G80" s="72">
        <f>D80*(1-Supuestos!$C43)</f>
        <v>0</v>
      </c>
      <c r="I80" s="72">
        <f>+F80</f>
        <v>0</v>
      </c>
      <c r="J80" s="72">
        <f>G80*Supuestos!$C$20</f>
        <v>0</v>
      </c>
      <c r="K80" s="72">
        <f>(I80+J80)*(1/Supuestos!$C$20)</f>
        <v>0</v>
      </c>
    </row>
    <row r="81" spans="3:11" x14ac:dyDescent="0.25">
      <c r="C81" s="5" t="str">
        <f>'Informacion del AEP'!C157</f>
        <v>Costo del Capital:Equipos terminales</v>
      </c>
      <c r="D81" s="70">
        <f>INDEX('Informacion del AEP'!$D$138:$AE$158,MATCH('Costos aguas abajo'!$C81,'Informacion del AEP'!$C$138:$C$158,0),MATCH('Costos aguas abajo'!$C$60,'Informacion del AEP'!$D$137:$AE$137,0))</f>
        <v>0</v>
      </c>
      <c r="F81" s="72">
        <f>D81*Supuestos!$C44</f>
        <v>0</v>
      </c>
      <c r="G81" s="72">
        <f>D81*(1-Supuestos!$C44)</f>
        <v>0</v>
      </c>
      <c r="I81" s="72">
        <f>+F81</f>
        <v>0</v>
      </c>
      <c r="J81" s="72">
        <f>G81*Supuestos!$C$20</f>
        <v>0</v>
      </c>
      <c r="K81" s="72">
        <f>(I81+J81)*(1/Supuestos!$C$20)</f>
        <v>0</v>
      </c>
    </row>
    <row r="82" spans="3:11" x14ac:dyDescent="0.25">
      <c r="D82" s="70"/>
      <c r="F82" s="72"/>
      <c r="G82" s="72"/>
      <c r="I82" s="72"/>
      <c r="J82" s="72"/>
      <c r="K82" s="72"/>
    </row>
    <row r="83" spans="3:11" ht="13" x14ac:dyDescent="0.3">
      <c r="C83" s="73" t="s">
        <v>42</v>
      </c>
      <c r="D83" s="38" t="str">
        <f>IF(D60='Informacion del AEP'!H158,"Ok","Error")</f>
        <v>Ok</v>
      </c>
      <c r="I83" s="38" t="str">
        <f>IF(I60=F60,"Ok","Error")</f>
        <v>Ok</v>
      </c>
    </row>
    <row r="85" spans="3:11" ht="13" x14ac:dyDescent="0.3">
      <c r="C85" s="74" t="str">
        <f>Supuestos!$B$78</f>
        <v>Telcel Prepago 1</v>
      </c>
      <c r="D85" s="75">
        <f>SUM(D86:D102)</f>
        <v>3170533318.3333302</v>
      </c>
      <c r="E85" s="76"/>
      <c r="F85" s="75">
        <f>SUM(F86:F102)</f>
        <v>82483332.433333382</v>
      </c>
      <c r="G85" s="75">
        <f>SUM(G86:G102)</f>
        <v>3088049985.8999972</v>
      </c>
      <c r="H85" s="76"/>
      <c r="I85" s="75">
        <f>SUM(I86:I102)</f>
        <v>82483332.433333382</v>
      </c>
      <c r="J85" s="75">
        <f>SUM(J86:J102)</f>
        <v>345254484.31948298</v>
      </c>
      <c r="K85" s="75">
        <f>SUM(K86:K102)</f>
        <v>3825803339.2265835</v>
      </c>
    </row>
    <row r="86" spans="3:11" x14ac:dyDescent="0.25">
      <c r="C86" s="5" t="str">
        <f>'Informacion del AEP'!C138</f>
        <v>Acceso a Internet</v>
      </c>
      <c r="D86" s="70">
        <f>INDEX('Informacion del AEP'!$D$138:$AE$158,MATCH('Costos aguas abajo'!$C86,'Informacion del AEP'!$C$138:$C$158,0),MATCH('Costos aguas abajo'!$C$85,'Informacion del AEP'!$D$137:$AE$137,0))</f>
        <v>0</v>
      </c>
      <c r="F86" s="72">
        <f>D86*Supuestos!$C25</f>
        <v>0</v>
      </c>
      <c r="G86" s="72">
        <f>D86*(1-Supuestos!$C25)</f>
        <v>0</v>
      </c>
      <c r="I86" s="72">
        <f>+F86</f>
        <v>0</v>
      </c>
      <c r="J86" s="72">
        <f>G86*Supuestos!$C$20</f>
        <v>0</v>
      </c>
      <c r="K86" s="72">
        <f>(I86+J86)*(1/Supuestos!$C$20)</f>
        <v>0</v>
      </c>
    </row>
    <row r="87" spans="3:11" x14ac:dyDescent="0.25">
      <c r="C87" s="5" t="str">
        <f>'Informacion del AEP'!C139</f>
        <v>Servicios OTT de vídeo</v>
      </c>
      <c r="D87" s="70">
        <f>INDEX('Informacion del AEP'!$D$138:$AE$158,MATCH('Costos aguas abajo'!$C87,'Informacion del AEP'!$C$138:$C$158,0),MATCH('Costos aguas abajo'!$C$85,'Informacion del AEP'!$D$137:$AE$137,0))</f>
        <v>0</v>
      </c>
      <c r="F87" s="72">
        <f>D87*Supuestos!$C26</f>
        <v>0</v>
      </c>
      <c r="G87" s="72">
        <f>D87*(1-Supuestos!$C26)</f>
        <v>0</v>
      </c>
      <c r="I87" s="72">
        <f t="shared" ref="I87:I103" si="3">+F87</f>
        <v>0</v>
      </c>
      <c r="J87" s="72">
        <f>G87*Supuestos!$C$20</f>
        <v>0</v>
      </c>
      <c r="K87" s="72">
        <f>(I87+J87)*(1/Supuestos!$C$20)</f>
        <v>0</v>
      </c>
    </row>
    <row r="88" spans="3:11" x14ac:dyDescent="0.25">
      <c r="C88" s="5" t="str">
        <f>'Informacion del AEP'!C140</f>
        <v>Servicios OTT de audio</v>
      </c>
      <c r="D88" s="70">
        <f>INDEX('Informacion del AEP'!$D$138:$AE$158,MATCH('Costos aguas abajo'!$C88,'Informacion del AEP'!$C$138:$C$158,0),MATCH('Costos aguas abajo'!$C$85,'Informacion del AEP'!$D$137:$AE$137,0))</f>
        <v>0</v>
      </c>
      <c r="F88" s="72">
        <f>D88*Supuestos!$C27</f>
        <v>0</v>
      </c>
      <c r="G88" s="72">
        <f>D88*(1-Supuestos!$C27)</f>
        <v>0</v>
      </c>
      <c r="I88" s="72">
        <f t="shared" si="3"/>
        <v>0</v>
      </c>
      <c r="J88" s="72">
        <f>G88*Supuestos!$C$20</f>
        <v>0</v>
      </c>
      <c r="K88" s="72">
        <f>(I88+J88)*(1/Supuestos!$C$20)</f>
        <v>0</v>
      </c>
    </row>
    <row r="89" spans="3:11" x14ac:dyDescent="0.25">
      <c r="C89" s="5" t="str">
        <f>'Informacion del AEP'!C141</f>
        <v>Comerciales</v>
      </c>
      <c r="D89" s="70">
        <f>INDEX('Informacion del AEP'!$D$138:$AE$158,MATCH('Costos aguas abajo'!$C89,'Informacion del AEP'!$C$138:$C$158,0),MATCH('Costos aguas abajo'!$C$85,'Informacion del AEP'!$D$137:$AE$137,0))</f>
        <v>700000001</v>
      </c>
      <c r="F89" s="72">
        <f>D89*Supuestos!$C28</f>
        <v>70000000.100000009</v>
      </c>
      <c r="G89" s="72">
        <f>D89*(1-Supuestos!$C28)</f>
        <v>630000000.89999998</v>
      </c>
      <c r="I89" s="72">
        <f t="shared" si="3"/>
        <v>70000000.100000009</v>
      </c>
      <c r="J89" s="72">
        <f>G89*Supuestos!$C$20</f>
        <v>70436141.391866431</v>
      </c>
      <c r="K89" s="72">
        <f>(I89+J89)*(1/Supuestos!$C$20)</f>
        <v>1256099035.4943683</v>
      </c>
    </row>
    <row r="90" spans="3:11" x14ac:dyDescent="0.25">
      <c r="C90" s="5" t="str">
        <f>'Informacion del AEP'!C142</f>
        <v>Facturación</v>
      </c>
      <c r="D90" s="70">
        <f>INDEX('Informacion del AEP'!$D$138:$AE$158,MATCH('Costos aguas abajo'!$C90,'Informacion del AEP'!$C$138:$C$158,0),MATCH('Costos aguas abajo'!$C$85,'Informacion del AEP'!$D$137:$AE$137,0))</f>
        <v>0</v>
      </c>
      <c r="F90" s="72">
        <f>D90*Supuestos!$C29</f>
        <v>0</v>
      </c>
      <c r="G90" s="72">
        <f>D90*(1-Supuestos!$C29)</f>
        <v>0</v>
      </c>
      <c r="I90" s="72">
        <f t="shared" si="3"/>
        <v>0</v>
      </c>
      <c r="J90" s="72">
        <f>G90*Supuestos!$C$20</f>
        <v>0</v>
      </c>
      <c r="K90" s="72">
        <f>(I90+J90)*(1/Supuestos!$C$20)</f>
        <v>0</v>
      </c>
    </row>
    <row r="91" spans="3:11" x14ac:dyDescent="0.25">
      <c r="C91" s="5" t="str">
        <f>'Informacion del AEP'!C143</f>
        <v>Cobranza</v>
      </c>
      <c r="D91" s="70">
        <f>INDEX('Informacion del AEP'!$D$138:$AE$158,MATCH('Costos aguas abajo'!$C91,'Informacion del AEP'!$C$138:$C$158,0),MATCH('Costos aguas abajo'!$C$85,'Informacion del AEP'!$D$137:$AE$137,0))</f>
        <v>0</v>
      </c>
      <c r="F91" s="72">
        <f>D91*Supuestos!$C30</f>
        <v>0</v>
      </c>
      <c r="G91" s="72">
        <f>D91*(1-Supuestos!$C30)</f>
        <v>0</v>
      </c>
      <c r="I91" s="72">
        <f t="shared" si="3"/>
        <v>0</v>
      </c>
      <c r="J91" s="72">
        <f>G91*Supuestos!$C$20</f>
        <v>0</v>
      </c>
      <c r="K91" s="72">
        <f>(I91+J91)*(1/Supuestos!$C$20)</f>
        <v>0</v>
      </c>
    </row>
    <row r="92" spans="3:11" x14ac:dyDescent="0.25">
      <c r="C92" s="5" t="str">
        <f>'Informacion del AEP'!C144</f>
        <v>Tasas e impuestos</v>
      </c>
      <c r="D92" s="70">
        <f>INDEX('Informacion del AEP'!$D$138:$AE$158,MATCH('Costos aguas abajo'!$C92,'Informacion del AEP'!$C$138:$C$158,0),MATCH('Costos aguas abajo'!$C$85,'Informacion del AEP'!$D$137:$AE$137,0))</f>
        <v>8166661.6666666698</v>
      </c>
      <c r="F92" s="72">
        <f>D92*Supuestos!$C31</f>
        <v>816666.16666666698</v>
      </c>
      <c r="G92" s="72">
        <f>D92*(1-Supuestos!$C31)</f>
        <v>7349995.5000000028</v>
      </c>
      <c r="I92" s="72">
        <f t="shared" si="3"/>
        <v>816666.16666666698</v>
      </c>
      <c r="J92" s="72">
        <f>G92*Supuestos!$C$20</f>
        <v>821754.47861587803</v>
      </c>
      <c r="K92" s="72">
        <f>(I92+J92)*(1/Supuestos!$C$20)</f>
        <v>14654479.754363365</v>
      </c>
    </row>
    <row r="93" spans="3:11" x14ac:dyDescent="0.25">
      <c r="C93" s="5" t="str">
        <f>'Informacion del AEP'!C145</f>
        <v>Programas de fidelización</v>
      </c>
      <c r="D93" s="70">
        <f>INDEX('Informacion del AEP'!$D$138:$AE$158,MATCH('Costos aguas abajo'!$C93,'Informacion del AEP'!$C$138:$C$158,0),MATCH('Costos aguas abajo'!$C$85,'Informacion del AEP'!$D$137:$AE$137,0))</f>
        <v>0</v>
      </c>
      <c r="F93" s="72">
        <f>D93*Supuestos!$C32</f>
        <v>0</v>
      </c>
      <c r="G93" s="72">
        <f>D93*(1-Supuestos!$C32)</f>
        <v>0</v>
      </c>
      <c r="I93" s="72">
        <f t="shared" si="3"/>
        <v>0</v>
      </c>
      <c r="J93" s="72">
        <f>G93*Supuestos!$C$20</f>
        <v>0</v>
      </c>
      <c r="K93" s="72">
        <f>(I93+J93)*(1/Supuestos!$C$20)</f>
        <v>0</v>
      </c>
    </row>
    <row r="94" spans="3:11" x14ac:dyDescent="0.25">
      <c r="C94" s="5" t="str">
        <f>'Informacion del AEP'!C146</f>
        <v>Acceso internet internacional</v>
      </c>
      <c r="D94" s="70">
        <f>INDEX('Informacion del AEP'!$D$138:$AE$158,MATCH('Costos aguas abajo'!$C94,'Informacion del AEP'!$C$138:$C$158,0),MATCH('Costos aguas abajo'!$C$85,'Informacion del AEP'!$D$137:$AE$137,0))</f>
        <v>8866661.6666666698</v>
      </c>
      <c r="F94" s="72">
        <f>D94*Supuestos!$C33</f>
        <v>0</v>
      </c>
      <c r="G94" s="72">
        <f>D94*(1-Supuestos!$C33)</f>
        <v>8866661.6666666698</v>
      </c>
      <c r="I94" s="72">
        <f t="shared" si="3"/>
        <v>0</v>
      </c>
      <c r="J94" s="72">
        <f>G94*Supuestos!$C$20</f>
        <v>991322.91100791271</v>
      </c>
      <c r="K94" s="72">
        <f>(I94+J94)*(1/Supuestos!$C$20)</f>
        <v>8866661.6666666698</v>
      </c>
    </row>
    <row r="95" spans="3:11" x14ac:dyDescent="0.25">
      <c r="C95" s="5" t="str">
        <f>'Informacion del AEP'!C147</f>
        <v>Roaming nacional</v>
      </c>
      <c r="D95" s="70">
        <f>INDEX('Informacion del AEP'!$D$138:$AE$158,MATCH('Costos aguas abajo'!$C95,'Informacion del AEP'!$C$138:$C$158,0),MATCH('Costos aguas abajo'!$C$85,'Informacion del AEP'!$D$137:$AE$137,0))</f>
        <v>3500001</v>
      </c>
      <c r="F95" s="72">
        <f>D95*Supuestos!$C34</f>
        <v>0</v>
      </c>
      <c r="G95" s="72">
        <f>D95*(1-Supuestos!$C34)</f>
        <v>3500001</v>
      </c>
      <c r="I95" s="72">
        <f t="shared" si="3"/>
        <v>0</v>
      </c>
      <c r="J95" s="72">
        <f>G95*Supuestos!$C$20</f>
        <v>391312.00786586205</v>
      </c>
      <c r="K95" s="72">
        <f>(I95+J95)*(1/Supuestos!$C$20)</f>
        <v>3500001</v>
      </c>
    </row>
    <row r="96" spans="3:11" x14ac:dyDescent="0.25">
      <c r="C96" s="5" t="str">
        <f>'Informacion del AEP'!C148</f>
        <v>Roaming internacional</v>
      </c>
      <c r="D96" s="70">
        <f>INDEX('Informacion del AEP'!$D$138:$AE$158,MATCH('Costos aguas abajo'!$C96,'Informacion del AEP'!$C$138:$C$158,0),MATCH('Costos aguas abajo'!$C$85,'Informacion del AEP'!$D$137:$AE$137,0))</f>
        <v>0</v>
      </c>
      <c r="F96" s="72">
        <f>D96*Supuestos!$C35</f>
        <v>0</v>
      </c>
      <c r="G96" s="72">
        <f>D96*(1-Supuestos!$C35)</f>
        <v>0</v>
      </c>
      <c r="I96" s="72">
        <f t="shared" si="3"/>
        <v>0</v>
      </c>
      <c r="J96" s="72">
        <f>G96*Supuestos!$C$20</f>
        <v>0</v>
      </c>
      <c r="K96" s="72">
        <f>(I96+J96)*(1/Supuestos!$C$20)</f>
        <v>0</v>
      </c>
    </row>
    <row r="97" spans="3:11" x14ac:dyDescent="0.25">
      <c r="C97" s="5" t="str">
        <f>'Informacion del AEP'!C149</f>
        <v>Provisiones</v>
      </c>
      <c r="D97" s="70">
        <f>INDEX('Informacion del AEP'!$D$138:$AE$158,MATCH('Costos aguas abajo'!$C97,'Informacion del AEP'!$C$138:$C$158,0),MATCH('Costos aguas abajo'!$C$85,'Informacion del AEP'!$D$137:$AE$137,0))</f>
        <v>0</v>
      </c>
      <c r="F97" s="72">
        <f>D97*Supuestos!$C36</f>
        <v>0</v>
      </c>
      <c r="G97" s="72">
        <f>D97*(1-Supuestos!$C36)</f>
        <v>0</v>
      </c>
      <c r="I97" s="72">
        <f t="shared" si="3"/>
        <v>0</v>
      </c>
      <c r="J97" s="72">
        <f>G97*Supuestos!$C$20</f>
        <v>0</v>
      </c>
      <c r="K97" s="72">
        <f>(I97+J97)*(1/Supuestos!$C$20)</f>
        <v>0</v>
      </c>
    </row>
    <row r="98" spans="3:11" x14ac:dyDescent="0.25">
      <c r="C98" s="5" t="str">
        <f>'Informacion del AEP'!C150</f>
        <v>Costos directos de la venta de terminales</v>
      </c>
      <c r="D98" s="70">
        <f>INDEX('Informacion del AEP'!$D$138:$AE$158,MATCH('Costos aguas abajo'!$C98,'Informacion del AEP'!$C$138:$C$158,0),MATCH('Costos aguas abajo'!$C$85,'Informacion del AEP'!$D$137:$AE$137,0))</f>
        <v>2333333331.3333302</v>
      </c>
      <c r="F98" s="72">
        <f>D98*Supuestos!$C37</f>
        <v>0</v>
      </c>
      <c r="G98" s="72">
        <f>D98*(1-Supuestos!$C37)</f>
        <v>2333333331.3333302</v>
      </c>
      <c r="I98" s="72">
        <f t="shared" si="3"/>
        <v>0</v>
      </c>
      <c r="J98" s="72">
        <f>G98*Supuestos!$C$20</f>
        <v>260874597.15136829</v>
      </c>
      <c r="K98" s="72">
        <f>(I98+J98)*(1/Supuestos!$C$20)</f>
        <v>2333333331.3333302</v>
      </c>
    </row>
    <row r="99" spans="3:11" x14ac:dyDescent="0.25">
      <c r="C99" s="5" t="str">
        <f>'Informacion del AEP'!C151</f>
        <v>Servicios generales y de gestión - minoristas</v>
      </c>
      <c r="D99" s="70">
        <f>INDEX('Informacion del AEP'!$D$138:$AE$158,MATCH('Costos aguas abajo'!$C99,'Informacion del AEP'!$C$138:$C$158,0),MATCH('Costos aguas abajo'!$C$85,'Informacion del AEP'!$D$137:$AE$137,0))</f>
        <v>0</v>
      </c>
      <c r="F99" s="72">
        <f>D99*Supuestos!$C38</f>
        <v>0</v>
      </c>
      <c r="G99" s="72">
        <f>D99*(1-Supuestos!$C38)</f>
        <v>0</v>
      </c>
      <c r="I99" s="72">
        <f t="shared" si="3"/>
        <v>0</v>
      </c>
      <c r="J99" s="72">
        <f>G99*Supuestos!$C$20</f>
        <v>0</v>
      </c>
      <c r="K99" s="72">
        <f>(I99+J99)*(1/Supuestos!$C$20)</f>
        <v>0</v>
      </c>
    </row>
    <row r="100" spans="3:11" x14ac:dyDescent="0.25">
      <c r="C100" s="5" t="str">
        <f>'Informacion del AEP'!C152</f>
        <v>Servicios generales y de gestión - red</v>
      </c>
      <c r="D100" s="70">
        <f>INDEX('Informacion del AEP'!$D$138:$AE$158,MATCH('Costos aguas abajo'!$C100,'Informacion del AEP'!$C$138:$C$158,0),MATCH('Costos aguas abajo'!$C$85,'Informacion del AEP'!$D$137:$AE$137,0))</f>
        <v>0</v>
      </c>
      <c r="F100" s="72">
        <f>D100*Supuestos!$C39</f>
        <v>0</v>
      </c>
      <c r="G100" s="72">
        <f>D100*(1-Supuestos!$C39)</f>
        <v>0</v>
      </c>
      <c r="I100" s="72">
        <f t="shared" si="3"/>
        <v>0</v>
      </c>
      <c r="J100" s="72">
        <f>G100*Supuestos!$C$20</f>
        <v>0</v>
      </c>
      <c r="K100" s="72">
        <f>(I100+J100)*(1/Supuestos!$C$20)</f>
        <v>0</v>
      </c>
    </row>
    <row r="101" spans="3:11" x14ac:dyDescent="0.25">
      <c r="C101" s="5" t="str">
        <f>'Informacion del AEP'!C153</f>
        <v xml:space="preserve">Servicios generales y de gestión - negocio </v>
      </c>
      <c r="D101" s="70">
        <f>INDEX('Informacion del AEP'!$D$138:$AE$158,MATCH('Costos aguas abajo'!$C101,'Informacion del AEP'!$C$138:$C$158,0),MATCH('Costos aguas abajo'!$C$85,'Informacion del AEP'!$D$137:$AE$137,0))</f>
        <v>116666661.666667</v>
      </c>
      <c r="F101" s="72">
        <f>D101*Supuestos!$C40</f>
        <v>11666666.166666701</v>
      </c>
      <c r="G101" s="72">
        <f>D101*(1-Supuestos!$C40)</f>
        <v>104999995.5000003</v>
      </c>
      <c r="I101" s="72">
        <f t="shared" si="3"/>
        <v>11666666.166666701</v>
      </c>
      <c r="J101" s="72">
        <f>G101*Supuestos!$C$20</f>
        <v>11739356.378758634</v>
      </c>
      <c r="K101" s="72">
        <f>(I101+J101)*(1/Supuestos!$C$20)</f>
        <v>209349829.97785482</v>
      </c>
    </row>
    <row r="102" spans="3:11" ht="13" x14ac:dyDescent="0.3">
      <c r="C102" s="64" t="s">
        <v>109</v>
      </c>
      <c r="D102" s="218">
        <f>SUM(D103:D106)</f>
        <v>0</v>
      </c>
      <c r="F102" s="218">
        <f>SUM(F103:F106)</f>
        <v>0</v>
      </c>
      <c r="G102" s="218">
        <f>SUM(G103:G106)</f>
        <v>0</v>
      </c>
      <c r="I102" s="218">
        <f>SUM(I103:I106)</f>
        <v>0</v>
      </c>
      <c r="J102" s="218">
        <f>SUM(J103:J106)</f>
        <v>0</v>
      </c>
      <c r="K102" s="218">
        <f>SUM(K103:K106)</f>
        <v>0</v>
      </c>
    </row>
    <row r="103" spans="3:11" x14ac:dyDescent="0.25">
      <c r="C103" s="5" t="str">
        <f>'Informacion del AEP'!C154</f>
        <v>Costo del Capital:Servicios generales y de gestión - minoristas</v>
      </c>
      <c r="D103" s="70">
        <f>INDEX('Informacion del AEP'!$D$138:$AE$158,MATCH('Costos aguas abajo'!$C103,'Informacion del AEP'!$C$138:$C$158,0),MATCH('Costos aguas abajo'!$C$85,'Informacion del AEP'!$D$137:$AE$137,0))</f>
        <v>0</v>
      </c>
      <c r="F103" s="72">
        <f>D103*Supuestos!$C41</f>
        <v>0</v>
      </c>
      <c r="G103" s="72">
        <f>D103*(1-Supuestos!$C41)</f>
        <v>0</v>
      </c>
      <c r="I103" s="72">
        <f t="shared" si="3"/>
        <v>0</v>
      </c>
      <c r="J103" s="72">
        <f>G103*Supuestos!$C$20</f>
        <v>0</v>
      </c>
      <c r="K103" s="72">
        <f>(I103+J103)*(1/Supuestos!$C$20)</f>
        <v>0</v>
      </c>
    </row>
    <row r="104" spans="3:11" x14ac:dyDescent="0.25">
      <c r="C104" s="5" t="str">
        <f>'Informacion del AEP'!C155</f>
        <v>Costo del Capital:Servicios generales y de gestión - red</v>
      </c>
      <c r="D104" s="70">
        <f>INDEX('Informacion del AEP'!$D$138:$AE$158,MATCH('Costos aguas abajo'!$C104,'Informacion del AEP'!$C$138:$C$158,0),MATCH('Costos aguas abajo'!$C$85,'Informacion del AEP'!$D$137:$AE$137,0))</f>
        <v>0</v>
      </c>
      <c r="F104" s="72">
        <f>D104*Supuestos!$C42</f>
        <v>0</v>
      </c>
      <c r="G104" s="72">
        <f>D104*(1-Supuestos!$C42)</f>
        <v>0</v>
      </c>
      <c r="I104" s="72">
        <f>+F104</f>
        <v>0</v>
      </c>
      <c r="J104" s="72">
        <f>G104*Supuestos!$C$20</f>
        <v>0</v>
      </c>
      <c r="K104" s="72">
        <f>(I104+J104)*(1/Supuestos!$C$20)</f>
        <v>0</v>
      </c>
    </row>
    <row r="105" spans="3:11" x14ac:dyDescent="0.25">
      <c r="C105" s="5" t="str">
        <f>'Informacion del AEP'!C156</f>
        <v xml:space="preserve">Costo del Capital:Servicios generales y de gestión - negocio </v>
      </c>
      <c r="D105" s="70">
        <f>INDEX('Informacion del AEP'!$D$138:$AE$158,MATCH('Costos aguas abajo'!$C105,'Informacion del AEP'!$C$138:$C$158,0),MATCH('Costos aguas abajo'!$C$85,'Informacion del AEP'!$D$137:$AE$137,0))</f>
        <v>0</v>
      </c>
      <c r="F105" s="72">
        <f>D105*Supuestos!$C43</f>
        <v>0</v>
      </c>
      <c r="G105" s="72">
        <f>D105*(1-Supuestos!$C43)</f>
        <v>0</v>
      </c>
      <c r="I105" s="72">
        <f>+F105</f>
        <v>0</v>
      </c>
      <c r="J105" s="72">
        <f>G105*Supuestos!$C$20</f>
        <v>0</v>
      </c>
      <c r="K105" s="72">
        <f>(I105+J105)*(1/Supuestos!$C$20)</f>
        <v>0</v>
      </c>
    </row>
    <row r="106" spans="3:11" x14ac:dyDescent="0.25">
      <c r="C106" s="5" t="str">
        <f>'Informacion del AEP'!C157</f>
        <v>Costo del Capital:Equipos terminales</v>
      </c>
      <c r="D106" s="70">
        <f>INDEX('Informacion del AEP'!$D$138:$AE$158,MATCH('Costos aguas abajo'!$C106,'Informacion del AEP'!$C$138:$C$158,0),MATCH('Costos aguas abajo'!$C$85,'Informacion del AEP'!$D$137:$AE$137,0))</f>
        <v>0</v>
      </c>
      <c r="F106" s="72">
        <f>D106*Supuestos!$C44</f>
        <v>0</v>
      </c>
      <c r="G106" s="72">
        <f>D106*(1-Supuestos!$C44)</f>
        <v>0</v>
      </c>
      <c r="I106" s="72">
        <f>+F106</f>
        <v>0</v>
      </c>
      <c r="J106" s="72">
        <f>G106*Supuestos!$C$20</f>
        <v>0</v>
      </c>
      <c r="K106" s="72">
        <f>(I106+J106)*(1/Supuestos!$C$20)</f>
        <v>0</v>
      </c>
    </row>
    <row r="107" spans="3:11" x14ac:dyDescent="0.25">
      <c r="D107" s="70"/>
    </row>
    <row r="108" spans="3:11" ht="13" x14ac:dyDescent="0.3">
      <c r="C108" s="73" t="s">
        <v>42</v>
      </c>
      <c r="D108" s="38" t="str">
        <f>IF(D85='Informacion del AEP'!I158,"Ok","Error")</f>
        <v>Ok</v>
      </c>
      <c r="I108" s="38" t="str">
        <f>IF(I85=F85,"Ok","Error")</f>
        <v>Ok</v>
      </c>
    </row>
    <row r="109" spans="3:11" x14ac:dyDescent="0.25">
      <c r="D109" s="70"/>
    </row>
    <row r="110" spans="3:11" ht="13" x14ac:dyDescent="0.3">
      <c r="C110" s="74" t="str">
        <f>Supuestos!$B$79</f>
        <v>Telcel Prepago 2</v>
      </c>
      <c r="D110" s="75">
        <f>SUM(D111:D127)</f>
        <v>1627433336.3333335</v>
      </c>
      <c r="E110" s="75"/>
      <c r="F110" s="75">
        <f>SUM(F111:F127)</f>
        <v>45365000.800000004</v>
      </c>
      <c r="G110" s="75">
        <f>SUM(G111:G127)</f>
        <v>1582068335.5333335</v>
      </c>
      <c r="H110" s="76"/>
      <c r="I110" s="75">
        <f>SUM(I111:I127)</f>
        <v>45365000.800000004</v>
      </c>
      <c r="J110" s="75">
        <f>SUM(J111:J127)</f>
        <v>176880617.16512397</v>
      </c>
      <c r="K110" s="75">
        <f>SUM(K111:K127)</f>
        <v>1987825237.8858628</v>
      </c>
    </row>
    <row r="111" spans="3:11" x14ac:dyDescent="0.25">
      <c r="C111" s="5" t="str">
        <f>'Informacion del AEP'!C138</f>
        <v>Acceso a Internet</v>
      </c>
      <c r="D111" s="70">
        <f>INDEX('Informacion del AEP'!$D$138:$AE$158,MATCH('Costos aguas abajo'!$C111,'Informacion del AEP'!$C$138:$C$158,0),MATCH('Costos aguas abajo'!$C$110,'Informacion del AEP'!$D$137:$AE$137,0))</f>
        <v>0</v>
      </c>
      <c r="F111" s="72">
        <f>D111*Supuestos!$C25</f>
        <v>0</v>
      </c>
      <c r="G111" s="72">
        <f>D111*(1-Supuestos!$C25)</f>
        <v>0</v>
      </c>
      <c r="I111" s="72">
        <f>+F111</f>
        <v>0</v>
      </c>
      <c r="J111" s="72">
        <f>G111*Supuestos!$C$20</f>
        <v>0</v>
      </c>
      <c r="K111" s="72">
        <f>(I111+J111)*(1/Supuestos!$C$20)</f>
        <v>0</v>
      </c>
    </row>
    <row r="112" spans="3:11" x14ac:dyDescent="0.25">
      <c r="C112" s="5" t="str">
        <f>'Informacion del AEP'!C139</f>
        <v>Servicios OTT de vídeo</v>
      </c>
      <c r="D112" s="70">
        <f>INDEX('Informacion del AEP'!$D$138:$AE$158,MATCH('Costos aguas abajo'!$C112,'Informacion del AEP'!$C$138:$C$158,0),MATCH('Costos aguas abajo'!$C$110,'Informacion del AEP'!$D$137:$AE$137,0))</f>
        <v>26666662.666666701</v>
      </c>
      <c r="F112" s="72">
        <f>D112*Supuestos!$C26</f>
        <v>0</v>
      </c>
      <c r="G112" s="72">
        <f>D112*(1-Supuestos!$C26)</f>
        <v>26666662.666666701</v>
      </c>
      <c r="I112" s="72">
        <f t="shared" ref="I112:I128" si="4">+F112</f>
        <v>0</v>
      </c>
      <c r="J112" s="72">
        <f>G112*Supuestos!$C$20</f>
        <v>2981423.5227861279</v>
      </c>
      <c r="K112" s="72">
        <f>(I112+J112)*(1/Supuestos!$C$20)</f>
        <v>26666662.666666701</v>
      </c>
    </row>
    <row r="113" spans="3:11" x14ac:dyDescent="0.25">
      <c r="C113" s="5" t="str">
        <f>'Informacion del AEP'!C140</f>
        <v>Servicios OTT de audio</v>
      </c>
      <c r="D113" s="70">
        <f>INDEX('Informacion del AEP'!$D$138:$AE$158,MATCH('Costos aguas abajo'!$C113,'Informacion del AEP'!$C$138:$C$158,0),MATCH('Costos aguas abajo'!$C$110,'Informacion del AEP'!$D$137:$AE$137,0))</f>
        <v>0</v>
      </c>
      <c r="F113" s="72">
        <f>D113*Supuestos!$C27</f>
        <v>0</v>
      </c>
      <c r="G113" s="72">
        <f>D113*(1-Supuestos!$C27)</f>
        <v>0</v>
      </c>
      <c r="I113" s="72">
        <f t="shared" si="4"/>
        <v>0</v>
      </c>
      <c r="J113" s="72">
        <f>G113*Supuestos!$C$20</f>
        <v>0</v>
      </c>
      <c r="K113" s="72">
        <f>(I113+J113)*(1/Supuestos!$C$20)</f>
        <v>0</v>
      </c>
    </row>
    <row r="114" spans="3:11" x14ac:dyDescent="0.25">
      <c r="C114" s="5" t="str">
        <f>'Informacion del AEP'!C141</f>
        <v>Comerciales</v>
      </c>
      <c r="D114" s="70">
        <f>INDEX('Informacion del AEP'!$D$138:$AE$158,MATCH('Costos aguas abajo'!$C114,'Informacion del AEP'!$C$138:$C$158,0),MATCH('Costos aguas abajo'!$C$110,'Informacion del AEP'!$D$137:$AE$137,0))</f>
        <v>300000002</v>
      </c>
      <c r="F114" s="72">
        <f>D114*Supuestos!$C28</f>
        <v>30000000.200000003</v>
      </c>
      <c r="G114" s="72">
        <f>D114*(1-Supuestos!$C28)</f>
        <v>270000001.80000001</v>
      </c>
      <c r="I114" s="72">
        <f t="shared" si="4"/>
        <v>30000000.200000003</v>
      </c>
      <c r="J114" s="72">
        <f>G114*Supuestos!$C$20</f>
        <v>30186917.89749328</v>
      </c>
      <c r="K114" s="72">
        <f>(I114+J114)*(1/Supuestos!$C$20)</f>
        <v>538328160.88882923</v>
      </c>
    </row>
    <row r="115" spans="3:11" x14ac:dyDescent="0.25">
      <c r="C115" s="5" t="str">
        <f>'Informacion del AEP'!C142</f>
        <v>Facturación</v>
      </c>
      <c r="D115" s="70">
        <f>INDEX('Informacion del AEP'!$D$138:$AE$158,MATCH('Costos aguas abajo'!$C115,'Informacion del AEP'!$C$138:$C$158,0),MATCH('Costos aguas abajo'!$C$110,'Informacion del AEP'!$D$137:$AE$137,0))</f>
        <v>300002</v>
      </c>
      <c r="F115" s="72">
        <f>D115*Supuestos!$C29</f>
        <v>15000.1</v>
      </c>
      <c r="G115" s="72">
        <f>D115*(1-Supuestos!$C29)</f>
        <v>285001.89999999997</v>
      </c>
      <c r="I115" s="72">
        <f t="shared" si="4"/>
        <v>15000.1</v>
      </c>
      <c r="J115" s="72">
        <f>G115*Supuestos!$C$20</f>
        <v>31864.181105829863</v>
      </c>
      <c r="K115" s="72">
        <f>(I115+J115)*(1/Supuestos!$C$20)</f>
        <v>419166.87307717837</v>
      </c>
    </row>
    <row r="116" spans="3:11" x14ac:dyDescent="0.25">
      <c r="C116" s="5" t="str">
        <f>'Informacion del AEP'!C143</f>
        <v>Cobranza</v>
      </c>
      <c r="D116" s="70">
        <f>INDEX('Informacion del AEP'!$D$138:$AE$158,MATCH('Costos aguas abajo'!$C116,'Informacion del AEP'!$C$138:$C$158,0),MATCH('Costos aguas abajo'!$C$110,'Informacion del AEP'!$D$137:$AE$137,0))</f>
        <v>11666662.6666667</v>
      </c>
      <c r="F116" s="72">
        <f>D116*Supuestos!$C30</f>
        <v>0</v>
      </c>
      <c r="G116" s="72">
        <f>D116*(1-Supuestos!$C30)</f>
        <v>11666662.6666667</v>
      </c>
      <c r="I116" s="72">
        <f t="shared" si="4"/>
        <v>0</v>
      </c>
      <c r="J116" s="72">
        <f>G116*Supuestos!$C$20</f>
        <v>1304372.5396612855</v>
      </c>
      <c r="K116" s="72">
        <f>(I116+J116)*(1/Supuestos!$C$20)</f>
        <v>11666662.6666667</v>
      </c>
    </row>
    <row r="117" spans="3:11" x14ac:dyDescent="0.25">
      <c r="C117" s="5" t="str">
        <f>'Informacion del AEP'!C144</f>
        <v>Tasas e impuestos</v>
      </c>
      <c r="D117" s="70">
        <f>INDEX('Informacion del AEP'!$D$138:$AE$158,MATCH('Costos aguas abajo'!$C117,'Informacion del AEP'!$C$138:$C$158,0),MATCH('Costos aguas abajo'!$C$110,'Informacion del AEP'!$D$137:$AE$137,0))</f>
        <v>3500002</v>
      </c>
      <c r="F117" s="72">
        <f>D117*Supuestos!$C31</f>
        <v>350000.2</v>
      </c>
      <c r="G117" s="72">
        <f>D117*(1-Supuestos!$C31)</f>
        <v>3150001.8000000003</v>
      </c>
      <c r="I117" s="72">
        <f t="shared" si="4"/>
        <v>350000.2</v>
      </c>
      <c r="J117" s="72">
        <f>G117*Supuestos!$C$20</f>
        <v>352180.90770233487</v>
      </c>
      <c r="K117" s="72">
        <f>(I117+J117)*(1/Supuestos!$C$20)</f>
        <v>6280498.7573540881</v>
      </c>
    </row>
    <row r="118" spans="3:11" x14ac:dyDescent="0.25">
      <c r="C118" s="5" t="str">
        <f>'Informacion del AEP'!C145</f>
        <v>Programas de fidelización</v>
      </c>
      <c r="D118" s="70">
        <f>INDEX('Informacion del AEP'!$D$138:$AE$158,MATCH('Costos aguas abajo'!$C118,'Informacion del AEP'!$C$138:$C$158,0),MATCH('Costos aguas abajo'!$C$110,'Informacion del AEP'!$D$137:$AE$137,0))</f>
        <v>13333332.3333333</v>
      </c>
      <c r="F118" s="72">
        <f>D118*Supuestos!$C32</f>
        <v>0</v>
      </c>
      <c r="G118" s="72">
        <f>D118*(1-Supuestos!$C32)</f>
        <v>13333332.3333333</v>
      </c>
      <c r="I118" s="72">
        <f t="shared" si="4"/>
        <v>0</v>
      </c>
      <c r="J118" s="72">
        <f>G118*Supuestos!$C$20</f>
        <v>1490711.8731964573</v>
      </c>
      <c r="K118" s="72">
        <f>(I118+J118)*(1/Supuestos!$C$20)</f>
        <v>13333332.333333302</v>
      </c>
    </row>
    <row r="119" spans="3:11" x14ac:dyDescent="0.25">
      <c r="C119" s="5" t="str">
        <f>'Informacion del AEP'!C146</f>
        <v>Acceso internet internacional</v>
      </c>
      <c r="D119" s="70">
        <f>INDEX('Informacion del AEP'!$D$138:$AE$158,MATCH('Costos aguas abajo'!$C119,'Informacion del AEP'!$C$138:$C$158,0),MATCH('Costos aguas abajo'!$C$110,'Informacion del AEP'!$D$137:$AE$137,0))</f>
        <v>3800002</v>
      </c>
      <c r="F119" s="72">
        <f>D119*Supuestos!$C33</f>
        <v>0</v>
      </c>
      <c r="G119" s="72">
        <f>D119*(1-Supuestos!$C33)</f>
        <v>3800002</v>
      </c>
      <c r="I119" s="72">
        <f t="shared" si="4"/>
        <v>0</v>
      </c>
      <c r="J119" s="72">
        <f>G119*Supuestos!$C$20</f>
        <v>424853.13933175779</v>
      </c>
      <c r="K119" s="72">
        <f>(I119+J119)*(1/Supuestos!$C$20)</f>
        <v>3800002</v>
      </c>
    </row>
    <row r="120" spans="3:11" x14ac:dyDescent="0.25">
      <c r="C120" s="5" t="str">
        <f>'Informacion del AEP'!C147</f>
        <v>Roaming nacional</v>
      </c>
      <c r="D120" s="70">
        <f>INDEX('Informacion del AEP'!$D$138:$AE$158,MATCH('Costos aguas abajo'!$C120,'Informacion del AEP'!$C$138:$C$158,0),MATCH('Costos aguas abajo'!$C$110,'Informacion del AEP'!$D$137:$AE$137,0))</f>
        <v>1500002</v>
      </c>
      <c r="F120" s="72">
        <f>D120*Supuestos!$C34</f>
        <v>0</v>
      </c>
      <c r="G120" s="72">
        <f>D120*(1-Supuestos!$C34)</f>
        <v>1500002</v>
      </c>
      <c r="I120" s="72">
        <f t="shared" si="4"/>
        <v>0</v>
      </c>
      <c r="J120" s="72">
        <f>G120*Supuestos!$C$20</f>
        <v>167705.32191928197</v>
      </c>
      <c r="K120" s="72">
        <f>(I120+J120)*(1/Supuestos!$C$20)</f>
        <v>1500002</v>
      </c>
    </row>
    <row r="121" spans="3:11" x14ac:dyDescent="0.25">
      <c r="C121" s="5" t="str">
        <f>'Informacion del AEP'!C148</f>
        <v>Roaming internacional</v>
      </c>
      <c r="D121" s="70">
        <f>INDEX('Informacion del AEP'!$D$138:$AE$158,MATCH('Costos aguas abajo'!$C121,'Informacion del AEP'!$C$138:$C$158,0),MATCH('Costos aguas abajo'!$C$110,'Informacion del AEP'!$D$137:$AE$137,0))</f>
        <v>0</v>
      </c>
      <c r="F121" s="72">
        <f>D121*Supuestos!$C35</f>
        <v>0</v>
      </c>
      <c r="G121" s="72">
        <f>D121*(1-Supuestos!$C35)</f>
        <v>0</v>
      </c>
      <c r="I121" s="72">
        <f t="shared" si="4"/>
        <v>0</v>
      </c>
      <c r="J121" s="72">
        <f>G121*Supuestos!$C$20</f>
        <v>0</v>
      </c>
      <c r="K121" s="72">
        <f>(I121+J121)*(1/Supuestos!$C$20)</f>
        <v>0</v>
      </c>
    </row>
    <row r="122" spans="3:11" x14ac:dyDescent="0.25">
      <c r="C122" s="5" t="str">
        <f>'Informacion del AEP'!C149</f>
        <v>Provisiones</v>
      </c>
      <c r="D122" s="70">
        <f>INDEX('Informacion del AEP'!$D$138:$AE$158,MATCH('Costos aguas abajo'!$C122,'Informacion del AEP'!$C$138:$C$158,0),MATCH('Costos aguas abajo'!$C$110,'Informacion del AEP'!$D$137:$AE$137,0))</f>
        <v>16666662.6666667</v>
      </c>
      <c r="F122" s="72">
        <f>D122*Supuestos!$C36</f>
        <v>0</v>
      </c>
      <c r="G122" s="72">
        <f>D122*(1-Supuestos!$C36)</f>
        <v>16666662.6666667</v>
      </c>
      <c r="I122" s="72">
        <f t="shared" si="4"/>
        <v>0</v>
      </c>
      <c r="J122" s="72">
        <f>G122*Supuestos!$C$20</f>
        <v>1863389.5340362329</v>
      </c>
      <c r="K122" s="72">
        <f>(I122+J122)*(1/Supuestos!$C$20)</f>
        <v>16666662.6666667</v>
      </c>
    </row>
    <row r="123" spans="3:11" x14ac:dyDescent="0.25">
      <c r="C123" s="5" t="str">
        <f>'Informacion del AEP'!C150</f>
        <v>Costos directos de la venta de terminales</v>
      </c>
      <c r="D123" s="70">
        <f>INDEX('Informacion del AEP'!$D$138:$AE$158,MATCH('Costos aguas abajo'!$C123,'Informacion del AEP'!$C$138:$C$158,0),MATCH('Costos aguas abajo'!$C$110,'Informacion del AEP'!$D$137:$AE$137,0))</f>
        <v>1000000002</v>
      </c>
      <c r="F123" s="72">
        <f>D123*Supuestos!$C37</f>
        <v>0</v>
      </c>
      <c r="G123" s="72">
        <f>D123*(1-Supuestos!$C37)</f>
        <v>1000000002</v>
      </c>
      <c r="I123" s="72">
        <f t="shared" si="4"/>
        <v>0</v>
      </c>
      <c r="J123" s="72">
        <f>G123*Supuestos!$C$20</f>
        <v>111803399.09859627</v>
      </c>
      <c r="K123" s="72">
        <f>(I123+J123)*(1/Supuestos!$C$20)</f>
        <v>1000000002</v>
      </c>
    </row>
    <row r="124" spans="3:11" x14ac:dyDescent="0.25">
      <c r="C124" s="5" t="str">
        <f>'Informacion del AEP'!C151</f>
        <v>Servicios generales y de gestión - minoristas</v>
      </c>
      <c r="D124" s="70">
        <f>INDEX('Informacion del AEP'!$D$138:$AE$158,MATCH('Costos aguas abajo'!$C124,'Informacion del AEP'!$C$138:$C$158,0),MATCH('Costos aguas abajo'!$C$110,'Informacion del AEP'!$D$137:$AE$137,0))</f>
        <v>200000002</v>
      </c>
      <c r="F124" s="72">
        <f>D124*Supuestos!$C38</f>
        <v>10000000.1</v>
      </c>
      <c r="G124" s="72">
        <f>D124*(1-Supuestos!$C38)</f>
        <v>190000001.90000001</v>
      </c>
      <c r="I124" s="72">
        <f t="shared" si="4"/>
        <v>10000000.1</v>
      </c>
      <c r="J124" s="72">
        <f>G124*Supuestos!$C$20</f>
        <v>21242645.99867446</v>
      </c>
      <c r="K124" s="72">
        <f>(I124+J124)*(1/Supuestos!$C$20)</f>
        <v>279442721.89441878</v>
      </c>
    </row>
    <row r="125" spans="3:11" x14ac:dyDescent="0.25">
      <c r="C125" s="5" t="str">
        <f>'Informacion del AEP'!C152</f>
        <v>Servicios generales y de gestión - red</v>
      </c>
      <c r="D125" s="70">
        <f>INDEX('Informacion del AEP'!$D$138:$AE$158,MATCH('Costos aguas abajo'!$C125,'Informacion del AEP'!$C$138:$C$158,0),MATCH('Costos aguas abajo'!$C$110,'Informacion del AEP'!$D$137:$AE$137,0))</f>
        <v>0</v>
      </c>
      <c r="F125" s="72">
        <f>D125*Supuestos!$C39</f>
        <v>0</v>
      </c>
      <c r="G125" s="72">
        <f>D125*(1-Supuestos!$C39)</f>
        <v>0</v>
      </c>
      <c r="I125" s="72">
        <f t="shared" si="4"/>
        <v>0</v>
      </c>
      <c r="J125" s="72">
        <f>G125*Supuestos!$C$20</f>
        <v>0</v>
      </c>
      <c r="K125" s="72">
        <f>(I125+J125)*(1/Supuestos!$C$20)</f>
        <v>0</v>
      </c>
    </row>
    <row r="126" spans="3:11" x14ac:dyDescent="0.25">
      <c r="C126" s="5" t="str">
        <f>'Informacion del AEP'!C153</f>
        <v xml:space="preserve">Servicios generales y de gestión - negocio </v>
      </c>
      <c r="D126" s="70">
        <f>INDEX('Informacion del AEP'!$D$138:$AE$158,MATCH('Costos aguas abajo'!$C126,'Informacion del AEP'!$C$138:$C$158,0),MATCH('Costos aguas abajo'!$C$110,'Informacion del AEP'!$D$137:$AE$137,0))</f>
        <v>50000002</v>
      </c>
      <c r="F126" s="72">
        <f>D126*Supuestos!$C40</f>
        <v>5000000.2</v>
      </c>
      <c r="G126" s="72">
        <f>D126*(1-Supuestos!$C40)</f>
        <v>45000001.800000004</v>
      </c>
      <c r="I126" s="72">
        <f t="shared" si="4"/>
        <v>5000000.2</v>
      </c>
      <c r="J126" s="72">
        <f>G126*Supuestos!$C$20</f>
        <v>5031153.1506206449</v>
      </c>
      <c r="K126" s="72">
        <f>(I126+J126)*(1/Supuestos!$C$20)</f>
        <v>89721363.138850197</v>
      </c>
    </row>
    <row r="127" spans="3:11" ht="13" x14ac:dyDescent="0.3">
      <c r="C127" s="64" t="s">
        <v>109</v>
      </c>
      <c r="D127" s="218">
        <f>SUM(D128:D131)</f>
        <v>0</v>
      </c>
      <c r="F127" s="218">
        <f>SUM(F128:F131)</f>
        <v>0</v>
      </c>
      <c r="G127" s="218">
        <f>SUM(G128:G131)</f>
        <v>0</v>
      </c>
      <c r="I127" s="218">
        <f>SUM(I128:I131)</f>
        <v>0</v>
      </c>
      <c r="J127" s="218">
        <f>SUM(J128:J131)</f>
        <v>0</v>
      </c>
      <c r="K127" s="218">
        <f>SUM(K128:K131)</f>
        <v>0</v>
      </c>
    </row>
    <row r="128" spans="3:11" x14ac:dyDescent="0.25">
      <c r="C128" s="5" t="str">
        <f>'Informacion del AEP'!C154</f>
        <v>Costo del Capital:Servicios generales y de gestión - minoristas</v>
      </c>
      <c r="D128" s="70">
        <f>INDEX('Informacion del AEP'!$D$138:$AE$158,MATCH('Costos aguas abajo'!$C128,'Informacion del AEP'!$C$138:$C$158,0),MATCH('Costos aguas abajo'!$C$110,'Informacion del AEP'!$D$137:$AE$137,0))</f>
        <v>0</v>
      </c>
      <c r="F128" s="72">
        <f>D128*Supuestos!$C41</f>
        <v>0</v>
      </c>
      <c r="G128" s="72">
        <f>D128*(1-Supuestos!$C41)</f>
        <v>0</v>
      </c>
      <c r="I128" s="72">
        <f t="shared" si="4"/>
        <v>0</v>
      </c>
      <c r="J128" s="72">
        <f>G128*Supuestos!$C$20</f>
        <v>0</v>
      </c>
      <c r="K128" s="72">
        <f>(I128+J128)*(1/Supuestos!$C$20)</f>
        <v>0</v>
      </c>
    </row>
    <row r="129" spans="3:11" x14ac:dyDescent="0.25">
      <c r="C129" s="5" t="str">
        <f>'Informacion del AEP'!C155</f>
        <v>Costo del Capital:Servicios generales y de gestión - red</v>
      </c>
      <c r="D129" s="70">
        <f>INDEX('Informacion del AEP'!$D$138:$AE$158,MATCH('Costos aguas abajo'!$C129,'Informacion del AEP'!$C$138:$C$158,0),MATCH('Costos aguas abajo'!$C$110,'Informacion del AEP'!$D$137:$AE$137,0))</f>
        <v>0</v>
      </c>
      <c r="F129" s="72">
        <f>D129*Supuestos!$C42</f>
        <v>0</v>
      </c>
      <c r="G129" s="72">
        <f>D129*(1-Supuestos!$C42)</f>
        <v>0</v>
      </c>
      <c r="I129" s="72">
        <f>+F129</f>
        <v>0</v>
      </c>
      <c r="J129" s="72">
        <f>G129*Supuestos!$C$20</f>
        <v>0</v>
      </c>
      <c r="K129" s="72">
        <f>(I129+J129)*(1/Supuestos!$C$20)</f>
        <v>0</v>
      </c>
    </row>
    <row r="130" spans="3:11" x14ac:dyDescent="0.25">
      <c r="C130" s="5" t="str">
        <f>'Informacion del AEP'!C156</f>
        <v xml:space="preserve">Costo del Capital:Servicios generales y de gestión - negocio </v>
      </c>
      <c r="D130" s="70">
        <f>INDEX('Informacion del AEP'!$D$138:$AE$158,MATCH('Costos aguas abajo'!$C130,'Informacion del AEP'!$C$138:$C$158,0),MATCH('Costos aguas abajo'!$C$110,'Informacion del AEP'!$D$137:$AE$137,0))</f>
        <v>0</v>
      </c>
      <c r="F130" s="72">
        <f>D130*Supuestos!$C43</f>
        <v>0</v>
      </c>
      <c r="G130" s="72">
        <f>D130*(1-Supuestos!$C43)</f>
        <v>0</v>
      </c>
      <c r="I130" s="72">
        <f>+F130</f>
        <v>0</v>
      </c>
      <c r="J130" s="72">
        <f>G130*Supuestos!$C$20</f>
        <v>0</v>
      </c>
      <c r="K130" s="72">
        <f>(I130+J130)*(1/Supuestos!$C$20)</f>
        <v>0</v>
      </c>
    </row>
    <row r="131" spans="3:11" x14ac:dyDescent="0.25">
      <c r="C131" s="5" t="str">
        <f>'Informacion del AEP'!C157</f>
        <v>Costo del Capital:Equipos terminales</v>
      </c>
      <c r="D131" s="70">
        <f>INDEX('Informacion del AEP'!$D$138:$AE$158,MATCH('Costos aguas abajo'!$C131,'Informacion del AEP'!$C$138:$C$158,0),MATCH('Costos aguas abajo'!$C$110,'Informacion del AEP'!$D$137:$AE$137,0))</f>
        <v>0</v>
      </c>
      <c r="F131" s="72">
        <f>D131*Supuestos!$C44</f>
        <v>0</v>
      </c>
      <c r="G131" s="72">
        <f>D131*(1-Supuestos!$C44)</f>
        <v>0</v>
      </c>
      <c r="I131" s="72">
        <f>+F131</f>
        <v>0</v>
      </c>
      <c r="J131" s="72">
        <f>G131*Supuestos!$C$20</f>
        <v>0</v>
      </c>
      <c r="K131" s="72">
        <f>(I131+J131)*(1/Supuestos!$C$20)</f>
        <v>0</v>
      </c>
    </row>
    <row r="133" spans="3:11" ht="13" x14ac:dyDescent="0.3">
      <c r="C133" s="73" t="s">
        <v>42</v>
      </c>
      <c r="D133" s="38" t="str">
        <f>IF(D110='Informacion del AEP'!J158,"Ok","Error")</f>
        <v>Ok</v>
      </c>
      <c r="I133" s="38" t="str">
        <f>IF(I110=F110,"Ok","Error")</f>
        <v>Ok</v>
      </c>
    </row>
    <row r="135" spans="3:11" ht="13" x14ac:dyDescent="0.3">
      <c r="C135" s="74" t="str">
        <f>Supuestos!$B$80</f>
        <v>Telcel Prepago 3</v>
      </c>
      <c r="D135" s="75">
        <f>SUM(D136:D152)</f>
        <v>3170533330.3333302</v>
      </c>
      <c r="E135" s="76"/>
      <c r="F135" s="75">
        <f>SUM(F136:F152)</f>
        <v>82483333.033333361</v>
      </c>
      <c r="G135" s="75">
        <f>SUM(G136:G152)</f>
        <v>3088049997.2999969</v>
      </c>
      <c r="H135" s="76"/>
      <c r="I135" s="75">
        <f>SUM(I136:I152)</f>
        <v>82483333.033333361</v>
      </c>
      <c r="J135" s="75">
        <f>SUM(J136:J152)</f>
        <v>345254485.59404176</v>
      </c>
      <c r="K135" s="75">
        <f>SUM(K136:K152)</f>
        <v>3825803355.9931464</v>
      </c>
    </row>
    <row r="136" spans="3:11" x14ac:dyDescent="0.25">
      <c r="C136" s="5" t="str">
        <f>'Informacion del AEP'!C138</f>
        <v>Acceso a Internet</v>
      </c>
      <c r="D136" s="70">
        <f>INDEX('Informacion del AEP'!$D$138:$AE$158,MATCH('Costos aguas abajo'!$C136,'Informacion del AEP'!$C$138:$C$158,0),MATCH('Costos aguas abajo'!$C$135,'Informacion del AEP'!$D$137:$AE$137,0))</f>
        <v>0</v>
      </c>
      <c r="F136" s="72">
        <f>D136*Supuestos!$C25</f>
        <v>0</v>
      </c>
      <c r="G136" s="72">
        <f>D136*(1-Supuestos!$C25)</f>
        <v>0</v>
      </c>
      <c r="I136" s="72">
        <f>+F136</f>
        <v>0</v>
      </c>
      <c r="J136" s="72">
        <f>G136*Supuestos!$C$20</f>
        <v>0</v>
      </c>
      <c r="K136" s="72">
        <f>(I136+J136)*(1/Supuestos!$C$20)</f>
        <v>0</v>
      </c>
    </row>
    <row r="137" spans="3:11" x14ac:dyDescent="0.25">
      <c r="C137" s="5" t="str">
        <f>'Informacion del AEP'!C139</f>
        <v>Servicios OTT de vídeo</v>
      </c>
      <c r="D137" s="70">
        <f>INDEX('Informacion del AEP'!$D$138:$AE$158,MATCH('Costos aguas abajo'!$C137,'Informacion del AEP'!$C$138:$C$158,0),MATCH('Costos aguas abajo'!$C$135,'Informacion del AEP'!$D$137:$AE$137,0))</f>
        <v>0</v>
      </c>
      <c r="F137" s="72">
        <f>D137*Supuestos!$C26</f>
        <v>0</v>
      </c>
      <c r="G137" s="72">
        <f>D137*(1-Supuestos!$C26)</f>
        <v>0</v>
      </c>
      <c r="I137" s="72">
        <f t="shared" ref="I137:I153" si="5">+F137</f>
        <v>0</v>
      </c>
      <c r="J137" s="72">
        <f>G137*Supuestos!$C$20</f>
        <v>0</v>
      </c>
      <c r="K137" s="72">
        <f>(I137+J137)*(1/Supuestos!$C$20)</f>
        <v>0</v>
      </c>
    </row>
    <row r="138" spans="3:11" x14ac:dyDescent="0.25">
      <c r="C138" s="5" t="str">
        <f>'Informacion del AEP'!C140</f>
        <v>Servicios OTT de audio</v>
      </c>
      <c r="D138" s="70">
        <f>INDEX('Informacion del AEP'!$D$138:$AE$158,MATCH('Costos aguas abajo'!$C138,'Informacion del AEP'!$C$138:$C$158,0),MATCH('Costos aguas abajo'!$C$135,'Informacion del AEP'!$D$137:$AE$137,0))</f>
        <v>0</v>
      </c>
      <c r="F138" s="72">
        <f>D138*Supuestos!$C27</f>
        <v>0</v>
      </c>
      <c r="G138" s="72">
        <f>D138*(1-Supuestos!$C27)</f>
        <v>0</v>
      </c>
      <c r="I138" s="72">
        <f t="shared" si="5"/>
        <v>0</v>
      </c>
      <c r="J138" s="72">
        <f>G138*Supuestos!$C$20</f>
        <v>0</v>
      </c>
      <c r="K138" s="72">
        <f>(I138+J138)*(1/Supuestos!$C$20)</f>
        <v>0</v>
      </c>
    </row>
    <row r="139" spans="3:11" x14ac:dyDescent="0.25">
      <c r="C139" s="5" t="str">
        <f>'Informacion del AEP'!C141</f>
        <v>Comerciales</v>
      </c>
      <c r="D139" s="70">
        <f>INDEX('Informacion del AEP'!$D$138:$AE$158,MATCH('Costos aguas abajo'!$C139,'Informacion del AEP'!$C$138:$C$158,0),MATCH('Costos aguas abajo'!$C$135,'Informacion del AEP'!$D$137:$AE$137,0))</f>
        <v>700000003</v>
      </c>
      <c r="F139" s="72">
        <f>D139*Supuestos!$C28</f>
        <v>70000000.299999997</v>
      </c>
      <c r="G139" s="72">
        <f>D139*(1-Supuestos!$C28)</f>
        <v>630000002.70000005</v>
      </c>
      <c r="I139" s="72">
        <f t="shared" si="5"/>
        <v>70000000.299999997</v>
      </c>
      <c r="J139" s="72">
        <f>G139*Supuestos!$C$20</f>
        <v>70436141.593112558</v>
      </c>
      <c r="K139" s="72">
        <f>(I139+J139)*(1/Supuestos!$C$20)</f>
        <v>1256099039.0832226</v>
      </c>
    </row>
    <row r="140" spans="3:11" x14ac:dyDescent="0.25">
      <c r="C140" s="5" t="str">
        <f>'Informacion del AEP'!C142</f>
        <v>Facturación</v>
      </c>
      <c r="D140" s="70">
        <f>INDEX('Informacion del AEP'!$D$138:$AE$158,MATCH('Costos aguas abajo'!$C140,'Informacion del AEP'!$C$138:$C$158,0),MATCH('Costos aguas abajo'!$C$135,'Informacion del AEP'!$D$137:$AE$137,0))</f>
        <v>0</v>
      </c>
      <c r="F140" s="72">
        <f>D140*Supuestos!$C29</f>
        <v>0</v>
      </c>
      <c r="G140" s="72">
        <f>D140*(1-Supuestos!$C29)</f>
        <v>0</v>
      </c>
      <c r="I140" s="72">
        <f t="shared" si="5"/>
        <v>0</v>
      </c>
      <c r="J140" s="72">
        <f>G140*Supuestos!$C$20</f>
        <v>0</v>
      </c>
      <c r="K140" s="72">
        <f>(I140+J140)*(1/Supuestos!$C$20)</f>
        <v>0</v>
      </c>
    </row>
    <row r="141" spans="3:11" x14ac:dyDescent="0.25">
      <c r="C141" s="5" t="str">
        <f>'Informacion del AEP'!C143</f>
        <v>Cobranza</v>
      </c>
      <c r="D141" s="70">
        <f>INDEX('Informacion del AEP'!$D$138:$AE$158,MATCH('Costos aguas abajo'!$C141,'Informacion del AEP'!$C$138:$C$158,0),MATCH('Costos aguas abajo'!$C$135,'Informacion del AEP'!$D$137:$AE$137,0))</f>
        <v>0</v>
      </c>
      <c r="F141" s="72">
        <f>D141*Supuestos!$C30</f>
        <v>0</v>
      </c>
      <c r="G141" s="72">
        <f>D141*(1-Supuestos!$C30)</f>
        <v>0</v>
      </c>
      <c r="I141" s="72">
        <f t="shared" si="5"/>
        <v>0</v>
      </c>
      <c r="J141" s="72">
        <f>G141*Supuestos!$C$20</f>
        <v>0</v>
      </c>
      <c r="K141" s="72">
        <f>(I141+J141)*(1/Supuestos!$C$20)</f>
        <v>0</v>
      </c>
    </row>
    <row r="142" spans="3:11" x14ac:dyDescent="0.25">
      <c r="C142" s="5" t="str">
        <f>'Informacion del AEP'!C144</f>
        <v>Tasas e impuestos</v>
      </c>
      <c r="D142" s="70">
        <f>INDEX('Informacion del AEP'!$D$138:$AE$158,MATCH('Costos aguas abajo'!$C142,'Informacion del AEP'!$C$138:$C$158,0),MATCH('Costos aguas abajo'!$C$135,'Informacion del AEP'!$D$137:$AE$137,0))</f>
        <v>8166663.6666666698</v>
      </c>
      <c r="F142" s="72">
        <f>D142*Supuestos!$C31</f>
        <v>816666.36666666705</v>
      </c>
      <c r="G142" s="72">
        <f>D142*(1-Supuestos!$C31)</f>
        <v>7349997.3000000026</v>
      </c>
      <c r="I142" s="72">
        <f t="shared" si="5"/>
        <v>816666.36666666705</v>
      </c>
      <c r="J142" s="72">
        <f>G142*Supuestos!$C$20</f>
        <v>821754.67986199597</v>
      </c>
      <c r="K142" s="72">
        <f>(I142+J142)*(1/Supuestos!$C$20)</f>
        <v>14654483.343217745</v>
      </c>
    </row>
    <row r="143" spans="3:11" x14ac:dyDescent="0.25">
      <c r="C143" s="5" t="str">
        <f>'Informacion del AEP'!C145</f>
        <v>Programas de fidelización</v>
      </c>
      <c r="D143" s="70">
        <f>INDEX('Informacion del AEP'!$D$138:$AE$158,MATCH('Costos aguas abajo'!$C143,'Informacion del AEP'!$C$138:$C$158,0),MATCH('Costos aguas abajo'!$C$135,'Informacion del AEP'!$D$137:$AE$137,0))</f>
        <v>0</v>
      </c>
      <c r="F143" s="72">
        <f>D143*Supuestos!$C32</f>
        <v>0</v>
      </c>
      <c r="G143" s="72">
        <f>D143*(1-Supuestos!$C32)</f>
        <v>0</v>
      </c>
      <c r="I143" s="72">
        <f t="shared" si="5"/>
        <v>0</v>
      </c>
      <c r="J143" s="72">
        <f>G143*Supuestos!$C$20</f>
        <v>0</v>
      </c>
      <c r="K143" s="72">
        <f>(I143+J143)*(1/Supuestos!$C$20)</f>
        <v>0</v>
      </c>
    </row>
    <row r="144" spans="3:11" x14ac:dyDescent="0.25">
      <c r="C144" s="5" t="str">
        <f>'Informacion del AEP'!C146</f>
        <v>Acceso internet internacional</v>
      </c>
      <c r="D144" s="70">
        <f>INDEX('Informacion del AEP'!$D$138:$AE$158,MATCH('Costos aguas abajo'!$C144,'Informacion del AEP'!$C$138:$C$158,0),MATCH('Costos aguas abajo'!$C$135,'Informacion del AEP'!$D$137:$AE$137,0))</f>
        <v>8866663.6666666698</v>
      </c>
      <c r="F144" s="72">
        <f>D144*Supuestos!$C33</f>
        <v>0</v>
      </c>
      <c r="G144" s="72">
        <f>D144*(1-Supuestos!$C33)</f>
        <v>8866663.6666666698</v>
      </c>
      <c r="I144" s="72">
        <f t="shared" si="5"/>
        <v>0</v>
      </c>
      <c r="J144" s="72">
        <f>G144*Supuestos!$C$20</f>
        <v>991323.13461471046</v>
      </c>
      <c r="K144" s="72">
        <f>(I144+J144)*(1/Supuestos!$C$20)</f>
        <v>8866663.6666666698</v>
      </c>
    </row>
    <row r="145" spans="3:11" x14ac:dyDescent="0.25">
      <c r="C145" s="5" t="str">
        <f>'Informacion del AEP'!C147</f>
        <v>Roaming nacional</v>
      </c>
      <c r="D145" s="70">
        <f>INDEX('Informacion del AEP'!$D$138:$AE$158,MATCH('Costos aguas abajo'!$C145,'Informacion del AEP'!$C$138:$C$158,0),MATCH('Costos aguas abajo'!$C$135,'Informacion del AEP'!$D$137:$AE$137,0))</f>
        <v>3500003</v>
      </c>
      <c r="F145" s="72">
        <f>D145*Supuestos!$C34</f>
        <v>0</v>
      </c>
      <c r="G145" s="72">
        <f>D145*(1-Supuestos!$C34)</f>
        <v>3500003</v>
      </c>
      <c r="I145" s="72">
        <f t="shared" si="5"/>
        <v>0</v>
      </c>
      <c r="J145" s="72">
        <f>G145*Supuestos!$C$20</f>
        <v>391312.2314726598</v>
      </c>
      <c r="K145" s="72">
        <f>(I145+J145)*(1/Supuestos!$C$20)</f>
        <v>3500003</v>
      </c>
    </row>
    <row r="146" spans="3:11" x14ac:dyDescent="0.25">
      <c r="C146" s="5" t="str">
        <f>'Informacion del AEP'!C148</f>
        <v>Roaming internacional</v>
      </c>
      <c r="D146" s="70">
        <f>INDEX('Informacion del AEP'!$D$138:$AE$158,MATCH('Costos aguas abajo'!$C146,'Informacion del AEP'!$C$138:$C$158,0),MATCH('Costos aguas abajo'!$C$135,'Informacion del AEP'!$D$137:$AE$137,0))</f>
        <v>0</v>
      </c>
      <c r="F146" s="72">
        <f>D146*Supuestos!$C35</f>
        <v>0</v>
      </c>
      <c r="G146" s="72">
        <f>D146*(1-Supuestos!$C35)</f>
        <v>0</v>
      </c>
      <c r="I146" s="72">
        <f t="shared" si="5"/>
        <v>0</v>
      </c>
      <c r="J146" s="72">
        <f>G146*Supuestos!$C$20</f>
        <v>0</v>
      </c>
      <c r="K146" s="72">
        <f>(I146+J146)*(1/Supuestos!$C$20)</f>
        <v>0</v>
      </c>
    </row>
    <row r="147" spans="3:11" x14ac:dyDescent="0.25">
      <c r="C147" s="5" t="str">
        <f>'Informacion del AEP'!C149</f>
        <v>Provisiones</v>
      </c>
      <c r="D147" s="70">
        <f>INDEX('Informacion del AEP'!$D$138:$AE$158,MATCH('Costos aguas abajo'!$C147,'Informacion del AEP'!$C$138:$C$158,0),MATCH('Costos aguas abajo'!$C$135,'Informacion del AEP'!$D$137:$AE$137,0))</f>
        <v>0</v>
      </c>
      <c r="F147" s="72">
        <f>D147*Supuestos!$C36</f>
        <v>0</v>
      </c>
      <c r="G147" s="72">
        <f>D147*(1-Supuestos!$C36)</f>
        <v>0</v>
      </c>
      <c r="I147" s="72">
        <f t="shared" si="5"/>
        <v>0</v>
      </c>
      <c r="J147" s="72">
        <f>G147*Supuestos!$C$20</f>
        <v>0</v>
      </c>
      <c r="K147" s="72">
        <f>(I147+J147)*(1/Supuestos!$C$20)</f>
        <v>0</v>
      </c>
    </row>
    <row r="148" spans="3:11" x14ac:dyDescent="0.25">
      <c r="C148" s="5" t="str">
        <f>'Informacion del AEP'!C150</f>
        <v>Costos directos de la venta de terminales</v>
      </c>
      <c r="D148" s="70">
        <f>INDEX('Informacion del AEP'!$D$138:$AE$158,MATCH('Costos aguas abajo'!$C148,'Informacion del AEP'!$C$138:$C$158,0),MATCH('Costos aguas abajo'!$C$135,'Informacion del AEP'!$D$137:$AE$137,0))</f>
        <v>2333333333.3333302</v>
      </c>
      <c r="F148" s="72">
        <f>D148*Supuestos!$C37</f>
        <v>0</v>
      </c>
      <c r="G148" s="72">
        <f>D148*(1-Supuestos!$C37)</f>
        <v>2333333333.3333302</v>
      </c>
      <c r="I148" s="72">
        <f t="shared" si="5"/>
        <v>0</v>
      </c>
      <c r="J148" s="72">
        <f>G148*Supuestos!$C$20</f>
        <v>260874597.37497512</v>
      </c>
      <c r="K148" s="72">
        <f>(I148+J148)*(1/Supuestos!$C$20)</f>
        <v>2333333333.3333302</v>
      </c>
    </row>
    <row r="149" spans="3:11" x14ac:dyDescent="0.25">
      <c r="C149" s="5" t="str">
        <f>'Informacion del AEP'!C151</f>
        <v>Servicios generales y de gestión - minoristas</v>
      </c>
      <c r="D149" s="70">
        <f>INDEX('Informacion del AEP'!$D$138:$AE$158,MATCH('Costos aguas abajo'!$C149,'Informacion del AEP'!$C$138:$C$158,0),MATCH('Costos aguas abajo'!$C$135,'Informacion del AEP'!$D$137:$AE$137,0))</f>
        <v>0</v>
      </c>
      <c r="F149" s="72">
        <f>D149*Supuestos!$C38</f>
        <v>0</v>
      </c>
      <c r="G149" s="72">
        <f>D149*(1-Supuestos!$C38)</f>
        <v>0</v>
      </c>
      <c r="I149" s="72">
        <f t="shared" si="5"/>
        <v>0</v>
      </c>
      <c r="J149" s="72">
        <f>G149*Supuestos!$C$20</f>
        <v>0</v>
      </c>
      <c r="K149" s="72">
        <f>(I149+J149)*(1/Supuestos!$C$20)</f>
        <v>0</v>
      </c>
    </row>
    <row r="150" spans="3:11" x14ac:dyDescent="0.25">
      <c r="C150" s="5" t="str">
        <f>'Informacion del AEP'!C152</f>
        <v>Servicios generales y de gestión - red</v>
      </c>
      <c r="D150" s="70">
        <f>INDEX('Informacion del AEP'!$D$138:$AE$158,MATCH('Costos aguas abajo'!$C150,'Informacion del AEP'!$C$138:$C$158,0),MATCH('Costos aguas abajo'!$C$135,'Informacion del AEP'!$D$137:$AE$137,0))</f>
        <v>0</v>
      </c>
      <c r="F150" s="72">
        <f>D150*Supuestos!$C39</f>
        <v>0</v>
      </c>
      <c r="G150" s="72">
        <f>D150*(1-Supuestos!$C39)</f>
        <v>0</v>
      </c>
      <c r="I150" s="72">
        <f t="shared" si="5"/>
        <v>0</v>
      </c>
      <c r="J150" s="72">
        <f>G150*Supuestos!$C$20</f>
        <v>0</v>
      </c>
      <c r="K150" s="72">
        <f>(I150+J150)*(1/Supuestos!$C$20)</f>
        <v>0</v>
      </c>
    </row>
    <row r="151" spans="3:11" x14ac:dyDescent="0.25">
      <c r="C151" s="5" t="str">
        <f>'Informacion del AEP'!C153</f>
        <v xml:space="preserve">Servicios generales y de gestión - negocio </v>
      </c>
      <c r="D151" s="70">
        <f>INDEX('Informacion del AEP'!$D$138:$AE$158,MATCH('Costos aguas abajo'!$C151,'Informacion del AEP'!$C$138:$C$158,0),MATCH('Costos aguas abajo'!$C$135,'Informacion del AEP'!$D$137:$AE$137,0))</f>
        <v>116666663.666667</v>
      </c>
      <c r="F151" s="72">
        <f>D151*Supuestos!$C40</f>
        <v>11666666.366666701</v>
      </c>
      <c r="G151" s="72">
        <f>D151*(1-Supuestos!$C40)</f>
        <v>104999997.3000003</v>
      </c>
      <c r="I151" s="72">
        <f t="shared" si="5"/>
        <v>11666666.366666701</v>
      </c>
      <c r="J151" s="72">
        <f>G151*Supuestos!$C$20</f>
        <v>11739356.580004752</v>
      </c>
      <c r="K151" s="72">
        <f>(I151+J151)*(1/Supuestos!$C$20)</f>
        <v>209349833.56670922</v>
      </c>
    </row>
    <row r="152" spans="3:11" ht="13" x14ac:dyDescent="0.3">
      <c r="C152" s="64" t="s">
        <v>109</v>
      </c>
      <c r="D152" s="218">
        <f>SUM(D153:D156)</f>
        <v>0</v>
      </c>
      <c r="F152" s="218">
        <f>SUM(F153:F156)</f>
        <v>0</v>
      </c>
      <c r="G152" s="218">
        <f>SUM(G153:G156)</f>
        <v>0</v>
      </c>
      <c r="I152" s="218">
        <f>SUM(I153:I156)</f>
        <v>0</v>
      </c>
      <c r="J152" s="218">
        <f>SUM(J153:J156)</f>
        <v>0</v>
      </c>
      <c r="K152" s="218">
        <f>SUM(K153:K156)</f>
        <v>0</v>
      </c>
    </row>
    <row r="153" spans="3:11" x14ac:dyDescent="0.25">
      <c r="C153" s="5" t="str">
        <f>'Informacion del AEP'!C154</f>
        <v>Costo del Capital:Servicios generales y de gestión - minoristas</v>
      </c>
      <c r="D153" s="70">
        <f>INDEX('Informacion del AEP'!$D$138:$AE$158,MATCH('Costos aguas abajo'!$C153,'Informacion del AEP'!$C$138:$C$158,0),MATCH('Costos aguas abajo'!$C$135,'Informacion del AEP'!$D$137:$AE$137,0))</f>
        <v>0</v>
      </c>
      <c r="F153" s="72">
        <f>D153*Supuestos!$C41</f>
        <v>0</v>
      </c>
      <c r="G153" s="72">
        <f>D153*(1-Supuestos!$C41)</f>
        <v>0</v>
      </c>
      <c r="I153" s="72">
        <f t="shared" si="5"/>
        <v>0</v>
      </c>
      <c r="J153" s="72">
        <f>G153*Supuestos!$C$20</f>
        <v>0</v>
      </c>
      <c r="K153" s="72">
        <f>(I153+J153)*(1/Supuestos!$C$20)</f>
        <v>0</v>
      </c>
    </row>
    <row r="154" spans="3:11" x14ac:dyDescent="0.25">
      <c r="C154" s="5" t="str">
        <f>'Informacion del AEP'!C155</f>
        <v>Costo del Capital:Servicios generales y de gestión - red</v>
      </c>
      <c r="D154" s="70">
        <f>INDEX('Informacion del AEP'!$D$138:$AE$158,MATCH('Costos aguas abajo'!$C154,'Informacion del AEP'!$C$138:$C$158,0),MATCH('Costos aguas abajo'!$C$135,'Informacion del AEP'!$D$137:$AE$137,0))</f>
        <v>0</v>
      </c>
      <c r="F154" s="72">
        <f>D154*Supuestos!$C42</f>
        <v>0</v>
      </c>
      <c r="G154" s="72">
        <f>D154*(1-Supuestos!$C42)</f>
        <v>0</v>
      </c>
      <c r="I154" s="72">
        <f>+F154</f>
        <v>0</v>
      </c>
      <c r="J154" s="72">
        <f>G154*Supuestos!$C$20</f>
        <v>0</v>
      </c>
      <c r="K154" s="72">
        <f>(I154+J154)*(1/Supuestos!$C$20)</f>
        <v>0</v>
      </c>
    </row>
    <row r="155" spans="3:11" x14ac:dyDescent="0.25">
      <c r="C155" s="5" t="str">
        <f>'Informacion del AEP'!C156</f>
        <v xml:space="preserve">Costo del Capital:Servicios generales y de gestión - negocio </v>
      </c>
      <c r="D155" s="70">
        <f>INDEX('Informacion del AEP'!$D$138:$AE$158,MATCH('Costos aguas abajo'!$C155,'Informacion del AEP'!$C$138:$C$158,0),MATCH('Costos aguas abajo'!$C$135,'Informacion del AEP'!$D$137:$AE$137,0))</f>
        <v>0</v>
      </c>
      <c r="F155" s="72">
        <f>D155*Supuestos!$C43</f>
        <v>0</v>
      </c>
      <c r="G155" s="72">
        <f>D155*(1-Supuestos!$C43)</f>
        <v>0</v>
      </c>
      <c r="I155" s="72">
        <f>+F155</f>
        <v>0</v>
      </c>
      <c r="J155" s="72">
        <f>G155*Supuestos!$C$20</f>
        <v>0</v>
      </c>
      <c r="K155" s="72">
        <f>(I155+J155)*(1/Supuestos!$C$20)</f>
        <v>0</v>
      </c>
    </row>
    <row r="156" spans="3:11" x14ac:dyDescent="0.25">
      <c r="C156" s="5" t="str">
        <f>'Informacion del AEP'!C157</f>
        <v>Costo del Capital:Equipos terminales</v>
      </c>
      <c r="D156" s="70">
        <f>INDEX('Informacion del AEP'!$D$138:$AE$158,MATCH('Costos aguas abajo'!$C156,'Informacion del AEP'!$C$138:$C$158,0),MATCH('Costos aguas abajo'!$C$135,'Informacion del AEP'!$D$137:$AE$137,0))</f>
        <v>0</v>
      </c>
      <c r="F156" s="72">
        <f>D156*Supuestos!$C44</f>
        <v>0</v>
      </c>
      <c r="G156" s="72">
        <f>D156*(1-Supuestos!$C44)</f>
        <v>0</v>
      </c>
      <c r="I156" s="72">
        <f>+F156</f>
        <v>0</v>
      </c>
      <c r="J156" s="72">
        <f>G156*Supuestos!$C$20</f>
        <v>0</v>
      </c>
      <c r="K156" s="72">
        <f>(I156+J156)*(1/Supuestos!$C$20)</f>
        <v>0</v>
      </c>
    </row>
    <row r="158" spans="3:11" ht="13" x14ac:dyDescent="0.3">
      <c r="C158" s="73" t="s">
        <v>42</v>
      </c>
      <c r="D158" s="38" t="str">
        <f>IF(D135='Informacion del AEP'!K158,"Ok","Error")</f>
        <v>Ok</v>
      </c>
      <c r="I158" s="38" t="str">
        <f>IF(I135=F135,"Ok","Error")</f>
        <v>Ok</v>
      </c>
    </row>
    <row r="160" spans="3:11" ht="13" x14ac:dyDescent="0.3">
      <c r="C160" s="74" t="str">
        <f>Supuestos!B91</f>
        <v>Monto 1</v>
      </c>
      <c r="D160" s="75">
        <f>SUM(D161:D177)</f>
        <v>1627433360.3333335</v>
      </c>
      <c r="E160" s="76"/>
      <c r="F160" s="75">
        <f>SUM(F161:F177)</f>
        <v>45365001.600000001</v>
      </c>
      <c r="G160" s="75">
        <f>SUM(G161:G177)</f>
        <v>1582068358.7333333</v>
      </c>
      <c r="H160" s="76"/>
      <c r="I160" s="75">
        <f>SUM(I161:I177)</f>
        <v>45365001.600000001</v>
      </c>
      <c r="J160" s="75">
        <f>SUM(J161:J177)</f>
        <v>176880619.75896281</v>
      </c>
      <c r="K160" s="75">
        <f>SUM(K161:K177)</f>
        <v>1987825268.2412806</v>
      </c>
    </row>
    <row r="161" spans="3:11" x14ac:dyDescent="0.25">
      <c r="C161" s="5" t="str">
        <f>'Informacion del AEP'!$C$138</f>
        <v>Acceso a Internet</v>
      </c>
      <c r="D161" s="70">
        <f>INDEX('Informacion del AEP'!$D$138:$AE$158,MATCH('Costos aguas abajo'!$C161,'Informacion del AEP'!$C$138:$C$158,0),MATCH('Costos aguas abajo'!$C$160,'Informacion del AEP'!$D$137:$AE$137,0))</f>
        <v>0</v>
      </c>
      <c r="F161" s="72">
        <f>D161*Supuestos!$C$25</f>
        <v>0</v>
      </c>
      <c r="G161" s="72">
        <f>D161*(1-Supuestos!$C$25)</f>
        <v>0</v>
      </c>
      <c r="I161" s="72">
        <f>+F161</f>
        <v>0</v>
      </c>
      <c r="J161" s="72">
        <f>G161*Supuestos!$C$20</f>
        <v>0</v>
      </c>
      <c r="K161" s="72">
        <f>(I161+J161)*(1/Supuestos!$C$20)</f>
        <v>0</v>
      </c>
    </row>
    <row r="162" spans="3:11" x14ac:dyDescent="0.25">
      <c r="C162" s="5" t="str">
        <f>'Informacion del AEP'!$C$139</f>
        <v>Servicios OTT de vídeo</v>
      </c>
      <c r="D162" s="70">
        <f>INDEX('Informacion del AEP'!$D$138:$AE$158,MATCH('Costos aguas abajo'!$C162,'Informacion del AEP'!$C$138:$C$158,0),MATCH('Costos aguas abajo'!$C$160,'Informacion del AEP'!$D$137:$AE$137,0))</f>
        <v>26666664.666666701</v>
      </c>
      <c r="F162" s="72">
        <f>D162*Supuestos!$C$26</f>
        <v>0</v>
      </c>
      <c r="G162" s="72">
        <f>D162*(1-Supuestos!$C$26)</f>
        <v>26666664.666666701</v>
      </c>
      <c r="I162" s="72">
        <f t="shared" ref="I162:I176" si="6">+F162</f>
        <v>0</v>
      </c>
      <c r="J162" s="72">
        <f>G162*Supuestos!$C$20</f>
        <v>2981423.7463929257</v>
      </c>
      <c r="K162" s="72">
        <f>(I162+J162)*(1/Supuestos!$C$20)</f>
        <v>26666664.666666701</v>
      </c>
    </row>
    <row r="163" spans="3:11" x14ac:dyDescent="0.25">
      <c r="C163" s="5" t="str">
        <f>'Informacion del AEP'!$C$140</f>
        <v>Servicios OTT de audio</v>
      </c>
      <c r="D163" s="70">
        <f>INDEX('Informacion del AEP'!$D$138:$AE$158,MATCH('Costos aguas abajo'!$C163,'Informacion del AEP'!$C$138:$C$158,0),MATCH('Costos aguas abajo'!$C$160,'Informacion del AEP'!$D$137:$AE$137,0))</f>
        <v>0</v>
      </c>
      <c r="F163" s="72">
        <f>D163*Supuestos!$C$27</f>
        <v>0</v>
      </c>
      <c r="G163" s="72">
        <f>D163*(1-Supuestos!$C$27)</f>
        <v>0</v>
      </c>
      <c r="I163" s="72">
        <f t="shared" si="6"/>
        <v>0</v>
      </c>
      <c r="J163" s="72">
        <f>G163*Supuestos!$C$20</f>
        <v>0</v>
      </c>
      <c r="K163" s="72">
        <f>(I163+J163)*(1/Supuestos!$C$20)</f>
        <v>0</v>
      </c>
    </row>
    <row r="164" spans="3:11" x14ac:dyDescent="0.25">
      <c r="C164" s="5" t="str">
        <f>'Informacion del AEP'!$C$141</f>
        <v>Comerciales</v>
      </c>
      <c r="D164" s="70">
        <f>INDEX('Informacion del AEP'!$D$138:$AE$158,MATCH('Costos aguas abajo'!$C164,'Informacion del AEP'!$C$138:$C$158,0),MATCH('Costos aguas abajo'!$C$160,'Informacion del AEP'!$D$137:$AE$137,0))</f>
        <v>300000004</v>
      </c>
      <c r="F164" s="72">
        <f>D164*Supuestos!$C$28</f>
        <v>30000000.400000002</v>
      </c>
      <c r="G164" s="72">
        <f>D164*(1-Supuestos!$C$28)</f>
        <v>270000003.60000002</v>
      </c>
      <c r="I164" s="72">
        <f t="shared" si="6"/>
        <v>30000000.400000002</v>
      </c>
      <c r="J164" s="72">
        <f>G164*Supuestos!$C$20</f>
        <v>30186918.098739401</v>
      </c>
      <c r="K164" s="72">
        <f>(I164+J164)*(1/Supuestos!$C$20)</f>
        <v>538328164.47768366</v>
      </c>
    </row>
    <row r="165" spans="3:11" x14ac:dyDescent="0.25">
      <c r="C165" s="5" t="str">
        <f>'Informacion del AEP'!$C$142</f>
        <v>Facturación</v>
      </c>
      <c r="D165" s="70">
        <f>INDEX('Informacion del AEP'!$D$138:$AE$158,MATCH('Costos aguas abajo'!$C165,'Informacion del AEP'!$C$138:$C$158,0),MATCH('Costos aguas abajo'!$C$160,'Informacion del AEP'!$D$137:$AE$137,0))</f>
        <v>300004</v>
      </c>
      <c r="F165" s="72">
        <f>D165*Supuestos!$C$29</f>
        <v>15000.2</v>
      </c>
      <c r="G165" s="72">
        <f>D165*(1-Supuestos!$C$29)</f>
        <v>285003.8</v>
      </c>
      <c r="I165" s="72">
        <f t="shared" si="6"/>
        <v>15000.2</v>
      </c>
      <c r="J165" s="72">
        <f>G165*Supuestos!$C$20</f>
        <v>31864.393532287726</v>
      </c>
      <c r="K165" s="72">
        <f>(I165+J165)*(1/Supuestos!$C$20)</f>
        <v>419169.6675043694</v>
      </c>
    </row>
    <row r="166" spans="3:11" x14ac:dyDescent="0.25">
      <c r="C166" s="5" t="str">
        <f>'Informacion del AEP'!$C$143</f>
        <v>Cobranza</v>
      </c>
      <c r="D166" s="70">
        <f>INDEX('Informacion del AEP'!$D$138:$AE$158,MATCH('Costos aguas abajo'!$C166,'Informacion del AEP'!$C$138:$C$158,0),MATCH('Costos aguas abajo'!$C$160,'Informacion del AEP'!$D$137:$AE$137,0))</f>
        <v>11666664.6666667</v>
      </c>
      <c r="F166" s="72">
        <f>D166*Supuestos!$C$30</f>
        <v>0</v>
      </c>
      <c r="G166" s="72">
        <f>D166*(1-Supuestos!$C$30)</f>
        <v>11666664.6666667</v>
      </c>
      <c r="I166" s="72">
        <f t="shared" si="6"/>
        <v>0</v>
      </c>
      <c r="J166" s="72">
        <f>G166*Supuestos!$C$20</f>
        <v>1304372.7632680833</v>
      </c>
      <c r="K166" s="72">
        <f>(I166+J166)*(1/Supuestos!$C$20)</f>
        <v>11666664.666666701</v>
      </c>
    </row>
    <row r="167" spans="3:11" x14ac:dyDescent="0.25">
      <c r="C167" s="5" t="str">
        <f>'Informacion del AEP'!$C$144</f>
        <v>Tasas e impuestos</v>
      </c>
      <c r="D167" s="70">
        <f>INDEX('Informacion del AEP'!$D$138:$AE$158,MATCH('Costos aguas abajo'!$C167,'Informacion del AEP'!$C$138:$C$158,0),MATCH('Costos aguas abajo'!$C$160,'Informacion del AEP'!$D$137:$AE$137,0))</f>
        <v>3500004</v>
      </c>
      <c r="F167" s="72">
        <f>D167*Supuestos!$C$31</f>
        <v>350000.4</v>
      </c>
      <c r="G167" s="72">
        <f>D167*(1-Supuestos!$C$31)</f>
        <v>3150003.6</v>
      </c>
      <c r="I167" s="72">
        <f t="shared" si="6"/>
        <v>350000.4</v>
      </c>
      <c r="J167" s="72">
        <f>G167*Supuestos!$C$20</f>
        <v>352181.10894845281</v>
      </c>
      <c r="K167" s="72">
        <f>(I167+J167)*(1/Supuestos!$C$20)</f>
        <v>6280502.346208469</v>
      </c>
    </row>
    <row r="168" spans="3:11" x14ac:dyDescent="0.25">
      <c r="C168" s="5" t="str">
        <f>'Informacion del AEP'!$C$145</f>
        <v>Programas de fidelización</v>
      </c>
      <c r="D168" s="70">
        <f>INDEX('Informacion del AEP'!$D$138:$AE$158,MATCH('Costos aguas abajo'!$C168,'Informacion del AEP'!$C$138:$C$158,0),MATCH('Costos aguas abajo'!$C$160,'Informacion del AEP'!$D$137:$AE$137,0))</f>
        <v>13333334.3333333</v>
      </c>
      <c r="F168" s="72">
        <f>D168*Supuestos!$C$32</f>
        <v>0</v>
      </c>
      <c r="G168" s="72">
        <f>D168*(1-Supuestos!$C$32)</f>
        <v>13333334.3333333</v>
      </c>
      <c r="I168" s="72">
        <f t="shared" si="6"/>
        <v>0</v>
      </c>
      <c r="J168" s="72">
        <f>G168*Supuestos!$C$20</f>
        <v>1490712.0968032549</v>
      </c>
      <c r="K168" s="72">
        <f>(I168+J168)*(1/Supuestos!$C$20)</f>
        <v>13333334.3333333</v>
      </c>
    </row>
    <row r="169" spans="3:11" x14ac:dyDescent="0.25">
      <c r="C169" s="5" t="str">
        <f>'Informacion del AEP'!$C$146</f>
        <v>Acceso internet internacional</v>
      </c>
      <c r="D169" s="70">
        <f>INDEX('Informacion del AEP'!$D$138:$AE$158,MATCH('Costos aguas abajo'!$C169,'Informacion del AEP'!$C$138:$C$158,0),MATCH('Costos aguas abajo'!$C$160,'Informacion del AEP'!$D$137:$AE$137,0))</f>
        <v>3800004</v>
      </c>
      <c r="F169" s="72">
        <f>D169*Supuestos!$C$33</f>
        <v>0</v>
      </c>
      <c r="G169" s="72">
        <f>D169*(1-Supuestos!$C$33)</f>
        <v>3800004</v>
      </c>
      <c r="I169" s="72">
        <f t="shared" si="6"/>
        <v>0</v>
      </c>
      <c r="J169" s="72">
        <f>G169*Supuestos!$C$20</f>
        <v>424853.36293855554</v>
      </c>
      <c r="K169" s="72">
        <f>(I169+J169)*(1/Supuestos!$C$20)</f>
        <v>3800004</v>
      </c>
    </row>
    <row r="170" spans="3:11" x14ac:dyDescent="0.25">
      <c r="C170" s="5" t="str">
        <f>'Informacion del AEP'!$C$147</f>
        <v>Roaming nacional</v>
      </c>
      <c r="D170" s="70">
        <f>INDEX('Informacion del AEP'!$D$138:$AE$158,MATCH('Costos aguas abajo'!$C170,'Informacion del AEP'!$C$138:$C$158,0),MATCH('Costos aguas abajo'!$C$160,'Informacion del AEP'!$D$137:$AE$137,0))</f>
        <v>1500004</v>
      </c>
      <c r="F170" s="72">
        <f>D170*Supuestos!$C$34</f>
        <v>0</v>
      </c>
      <c r="G170" s="72">
        <f>D170*(1-Supuestos!$C$34)</f>
        <v>1500004</v>
      </c>
      <c r="I170" s="72">
        <f t="shared" si="6"/>
        <v>0</v>
      </c>
      <c r="J170" s="72">
        <f>G170*Supuestos!$C$20</f>
        <v>167705.54552607972</v>
      </c>
      <c r="K170" s="72">
        <f>(I170+J170)*(1/Supuestos!$C$20)</f>
        <v>1500004</v>
      </c>
    </row>
    <row r="171" spans="3:11" x14ac:dyDescent="0.25">
      <c r="C171" s="5" t="str">
        <f>'Informacion del AEP'!$C$148</f>
        <v>Roaming internacional</v>
      </c>
      <c r="D171" s="70">
        <f>INDEX('Informacion del AEP'!$D$138:$AE$158,MATCH('Costos aguas abajo'!$C171,'Informacion del AEP'!$C$138:$C$158,0),MATCH('Costos aguas abajo'!$C$160,'Informacion del AEP'!$D$137:$AE$137,0))</f>
        <v>0</v>
      </c>
      <c r="F171" s="72">
        <f>D171*Supuestos!$C$35</f>
        <v>0</v>
      </c>
      <c r="G171" s="72">
        <f>D171*(1-Supuestos!$C$35)</f>
        <v>0</v>
      </c>
      <c r="I171" s="72">
        <f t="shared" si="6"/>
        <v>0</v>
      </c>
      <c r="J171" s="72">
        <f>G171*Supuestos!$C$20</f>
        <v>0</v>
      </c>
      <c r="K171" s="72">
        <f>(I171+J171)*(1/Supuestos!$C$20)</f>
        <v>0</v>
      </c>
    </row>
    <row r="172" spans="3:11" x14ac:dyDescent="0.25">
      <c r="C172" s="5" t="str">
        <f>'Informacion del AEP'!$C$149</f>
        <v>Provisiones</v>
      </c>
      <c r="D172" s="70">
        <f>INDEX('Informacion del AEP'!$D$138:$AE$158,MATCH('Costos aguas abajo'!$C172,'Informacion del AEP'!$C$138:$C$158,0),MATCH('Costos aguas abajo'!$C$160,'Informacion del AEP'!$D$137:$AE$137,0))</f>
        <v>16666664.6666667</v>
      </c>
      <c r="F172" s="72">
        <f>D172*Supuestos!$C$36</f>
        <v>0</v>
      </c>
      <c r="G172" s="72">
        <f>D172*(1-Supuestos!$C$36)</f>
        <v>16666664.6666667</v>
      </c>
      <c r="I172" s="72">
        <f t="shared" si="6"/>
        <v>0</v>
      </c>
      <c r="J172" s="72">
        <f>G172*Supuestos!$C$20</f>
        <v>1863389.7576430307</v>
      </c>
      <c r="K172" s="72">
        <f>(I172+J172)*(1/Supuestos!$C$20)</f>
        <v>16666664.666666701</v>
      </c>
    </row>
    <row r="173" spans="3:11" x14ac:dyDescent="0.25">
      <c r="C173" s="5" t="str">
        <f>'Informacion del AEP'!$C$150</f>
        <v>Costos directos de la venta de terminales</v>
      </c>
      <c r="D173" s="70">
        <f>INDEX('Informacion del AEP'!$D$138:$AE$158,MATCH('Costos aguas abajo'!$C173,'Informacion del AEP'!$C$138:$C$158,0),MATCH('Costos aguas abajo'!$C$160,'Informacion del AEP'!$D$137:$AE$137,0))</f>
        <v>1000000004</v>
      </c>
      <c r="F173" s="72">
        <f>D173*Supuestos!$C$37</f>
        <v>0</v>
      </c>
      <c r="G173" s="72">
        <f>D173*(1-Supuestos!$C$37)</f>
        <v>1000000004</v>
      </c>
      <c r="I173" s="72">
        <f t="shared" si="6"/>
        <v>0</v>
      </c>
      <c r="J173" s="72">
        <f>G173*Supuestos!$C$20</f>
        <v>111803399.32220308</v>
      </c>
      <c r="K173" s="72">
        <f>(I173+J173)*(1/Supuestos!$C$20)</f>
        <v>1000000004.0000001</v>
      </c>
    </row>
    <row r="174" spans="3:11" x14ac:dyDescent="0.25">
      <c r="C174" s="5" t="str">
        <f>'Informacion del AEP'!$C$151</f>
        <v>Servicios generales y de gestión - minoristas</v>
      </c>
      <c r="D174" s="70">
        <f>INDEX('Informacion del AEP'!$D$138:$AE$158,MATCH('Costos aguas abajo'!$C174,'Informacion del AEP'!$C$138:$C$158,0),MATCH('Costos aguas abajo'!$C$160,'Informacion del AEP'!$D$137:$AE$137,0))</f>
        <v>200000004</v>
      </c>
      <c r="F174" s="72">
        <f>D174*Supuestos!$C$38</f>
        <v>10000000.200000001</v>
      </c>
      <c r="G174" s="72">
        <f>D174*(1-Supuestos!$C$38)</f>
        <v>190000003.79999998</v>
      </c>
      <c r="I174" s="72">
        <f t="shared" si="6"/>
        <v>10000000.200000001</v>
      </c>
      <c r="J174" s="72">
        <f>G174*Supuestos!$C$20</f>
        <v>21242646.211100914</v>
      </c>
      <c r="K174" s="72">
        <f>(I174+J174)*(1/Supuestos!$C$20)</f>
        <v>279442724.68884599</v>
      </c>
    </row>
    <row r="175" spans="3:11" x14ac:dyDescent="0.25">
      <c r="C175" s="5" t="str">
        <f>'Informacion del AEP'!$C$152</f>
        <v>Servicios generales y de gestión - red</v>
      </c>
      <c r="D175" s="70">
        <f>INDEX('Informacion del AEP'!$D$138:$AE$158,MATCH('Costos aguas abajo'!$C175,'Informacion del AEP'!$C$138:$C$158,0),MATCH('Costos aguas abajo'!$C$160,'Informacion del AEP'!$D$137:$AE$137,0))</f>
        <v>0</v>
      </c>
      <c r="F175" s="72">
        <f>D175*Supuestos!$C$39</f>
        <v>0</v>
      </c>
      <c r="G175" s="72">
        <f>D175*(1-Supuestos!$C$30)</f>
        <v>0</v>
      </c>
      <c r="I175" s="72">
        <f t="shared" si="6"/>
        <v>0</v>
      </c>
      <c r="J175" s="72">
        <f>G175*Supuestos!$C$20</f>
        <v>0</v>
      </c>
      <c r="K175" s="72">
        <f>(I175+J175)*(1/Supuestos!$C$20)</f>
        <v>0</v>
      </c>
    </row>
    <row r="176" spans="3:11" x14ac:dyDescent="0.25">
      <c r="C176" s="5" t="str">
        <f>'Informacion del AEP'!$C$153</f>
        <v xml:space="preserve">Servicios generales y de gestión - negocio </v>
      </c>
      <c r="D176" s="70">
        <f>INDEX('Informacion del AEP'!$D$138:$AE$158,MATCH('Costos aguas abajo'!$C176,'Informacion del AEP'!$C$138:$C$158,0),MATCH('Costos aguas abajo'!$C$160,'Informacion del AEP'!$D$137:$AE$137,0))</f>
        <v>50000004</v>
      </c>
      <c r="F176" s="72">
        <f>D176*Supuestos!$C$40</f>
        <v>5000000.4000000004</v>
      </c>
      <c r="G176" s="72">
        <f>D176*(1-Supuestos!$C$40)</f>
        <v>45000003.600000001</v>
      </c>
      <c r="I176" s="72">
        <f t="shared" si="6"/>
        <v>5000000.4000000004</v>
      </c>
      <c r="J176" s="72">
        <f>G176*Supuestos!$C$20</f>
        <v>5031153.3518667631</v>
      </c>
      <c r="K176" s="72">
        <f>(I176+J176)*(1/Supuestos!$C$20)</f>
        <v>89721366.72770457</v>
      </c>
    </row>
    <row r="177" spans="3:11" ht="13" x14ac:dyDescent="0.3">
      <c r="C177" s="64" t="s">
        <v>109</v>
      </c>
      <c r="D177" s="218">
        <f>SUM(D178:D181)</f>
        <v>0</v>
      </c>
      <c r="F177" s="218">
        <f>SUM(F178:F181)</f>
        <v>0</v>
      </c>
      <c r="G177" s="218">
        <f>SUM(G178:G181)</f>
        <v>0</v>
      </c>
      <c r="I177" s="218">
        <f>SUM(I178:I181)</f>
        <v>0</v>
      </c>
      <c r="J177" s="218">
        <f>SUM(J178:J181)</f>
        <v>0</v>
      </c>
      <c r="K177" s="218">
        <f>SUM(K178:K181)</f>
        <v>0</v>
      </c>
    </row>
    <row r="178" spans="3:11" x14ac:dyDescent="0.25">
      <c r="C178" s="5" t="str">
        <f>'Informacion del AEP'!$C$154</f>
        <v>Costo del Capital:Servicios generales y de gestión - minoristas</v>
      </c>
      <c r="D178" s="70">
        <f>INDEX('Informacion del AEP'!$D$138:$AE$158,MATCH('Costos aguas abajo'!$C178,'Informacion del AEP'!$C$138:$C$158,0),MATCH('Costos aguas abajo'!$C$160,'Informacion del AEP'!$D$137:$AE$137,0))</f>
        <v>0</v>
      </c>
      <c r="F178" s="72">
        <f>D178*Supuestos!$C$42</f>
        <v>0</v>
      </c>
      <c r="G178" s="72">
        <f>D178*(1-Supuestos!$C$42)</f>
        <v>0</v>
      </c>
      <c r="I178" s="72">
        <f t="shared" ref="I178" si="7">+F178</f>
        <v>0</v>
      </c>
      <c r="J178" s="72">
        <f>G178*Supuestos!$C$20</f>
        <v>0</v>
      </c>
      <c r="K178" s="72">
        <f>(I178+J178)*(1/Supuestos!$C$20)</f>
        <v>0</v>
      </c>
    </row>
    <row r="179" spans="3:11" x14ac:dyDescent="0.25">
      <c r="C179" s="5" t="str">
        <f>'Informacion del AEP'!$C$155</f>
        <v>Costo del Capital:Servicios generales y de gestión - red</v>
      </c>
      <c r="D179" s="70">
        <f>INDEX('Informacion del AEP'!$D$138:$AE$158,MATCH('Costos aguas abajo'!$C179,'Informacion del AEP'!$C$138:$C$158,0),MATCH('Costos aguas abajo'!$C$160,'Informacion del AEP'!$D$137:$AE$137,0))</f>
        <v>0</v>
      </c>
      <c r="F179" s="72">
        <f>D179*Supuestos!$C$43</f>
        <v>0</v>
      </c>
      <c r="G179" s="72">
        <f>D179*(1-Supuestos!$C$43)</f>
        <v>0</v>
      </c>
      <c r="I179" s="72">
        <f>+F179</f>
        <v>0</v>
      </c>
      <c r="J179" s="72">
        <f>G179*Supuestos!$C$20</f>
        <v>0</v>
      </c>
      <c r="K179" s="72">
        <f>(I179+J179)*(1/Supuestos!$C$20)</f>
        <v>0</v>
      </c>
    </row>
    <row r="180" spans="3:11" x14ac:dyDescent="0.25">
      <c r="C180" s="5" t="str">
        <f>'Informacion del AEP'!$C$156</f>
        <v xml:space="preserve">Costo del Capital:Servicios generales y de gestión - negocio </v>
      </c>
      <c r="D180" s="70">
        <f>INDEX('Informacion del AEP'!$D$138:$AE$158,MATCH('Costos aguas abajo'!$C180,'Informacion del AEP'!$C$138:$C$158,0),MATCH('Costos aguas abajo'!$C$160,'Informacion del AEP'!$D$137:$AE$137,0))</f>
        <v>0</v>
      </c>
      <c r="F180" s="72">
        <f>D180*Supuestos!$C$44</f>
        <v>0</v>
      </c>
      <c r="G180" s="72">
        <f>D180*(1-Supuestos!$C$44)</f>
        <v>0</v>
      </c>
      <c r="I180" s="72">
        <f>+F180</f>
        <v>0</v>
      </c>
      <c r="J180" s="72">
        <f>G180*Supuestos!$C$20</f>
        <v>0</v>
      </c>
      <c r="K180" s="72">
        <f>(I180+J180)*(1/Supuestos!$C$20)</f>
        <v>0</v>
      </c>
    </row>
    <row r="181" spans="3:11" x14ac:dyDescent="0.25">
      <c r="C181" s="5" t="str">
        <f>'Informacion del AEP'!$C$157</f>
        <v>Costo del Capital:Equipos terminales</v>
      </c>
      <c r="D181" s="70">
        <f>INDEX('Informacion del AEP'!$D$138:$AE$158,MATCH('Costos aguas abajo'!$C181,'Informacion del AEP'!$C$138:$C$158,0),MATCH('Costos aguas abajo'!$C$160,'Informacion del AEP'!$D$137:$AE$137,0))</f>
        <v>0</v>
      </c>
      <c r="F181" s="72">
        <f>D181*Supuestos!$C$45</f>
        <v>0</v>
      </c>
      <c r="G181" s="72">
        <f>D181*(1-Supuestos!$C$45)</f>
        <v>0</v>
      </c>
      <c r="I181" s="72">
        <f>+F181</f>
        <v>0</v>
      </c>
      <c r="J181" s="72">
        <f>G181*Supuestos!$C$20</f>
        <v>0</v>
      </c>
      <c r="K181" s="72">
        <f>(I181+J181)*(1/Supuestos!$C$20)</f>
        <v>0</v>
      </c>
    </row>
    <row r="183" spans="3:11" ht="13" x14ac:dyDescent="0.3">
      <c r="C183" s="73" t="s">
        <v>42</v>
      </c>
      <c r="D183" s="38" t="str">
        <f>IF(D160='Informacion del AEP'!L158,"Ok","Error")</f>
        <v>Ok</v>
      </c>
      <c r="I183" s="38" t="str">
        <f>IF(I160=F160,"Ok","Error")</f>
        <v>Ok</v>
      </c>
    </row>
    <row r="185" spans="3:11" ht="13" x14ac:dyDescent="0.3">
      <c r="C185" s="74" t="str">
        <f>Supuestos!B92</f>
        <v>Monto 2</v>
      </c>
      <c r="D185" s="75">
        <f>SUM(D186:D202)</f>
        <v>1627433372.3333335</v>
      </c>
      <c r="E185" s="76"/>
      <c r="F185" s="75">
        <f>SUM(F186:F202)</f>
        <v>45365002</v>
      </c>
      <c r="G185" s="75">
        <f>SUM(G186:G202)</f>
        <v>1582068370.3333335</v>
      </c>
      <c r="H185" s="76"/>
      <c r="I185" s="75">
        <f>SUM(I186:I202)</f>
        <v>45365002</v>
      </c>
      <c r="J185" s="75">
        <f>SUM(J186:J202)</f>
        <v>176880621.05588225</v>
      </c>
      <c r="K185" s="75">
        <f>SUM(K186:K202)</f>
        <v>1987825283.4189892</v>
      </c>
    </row>
    <row r="186" spans="3:11" x14ac:dyDescent="0.25">
      <c r="C186" s="5" t="str">
        <f>'Informacion del AEP'!$C$138</f>
        <v>Acceso a Internet</v>
      </c>
      <c r="D186" s="70">
        <f>INDEX('Informacion del AEP'!$D$138:$AE$158,MATCH('Costos aguas abajo'!$C186,'Informacion del AEP'!$C$138:$C$158,0),MATCH('Costos aguas abajo'!$C$185,'Informacion del AEP'!$D$137:$AE$137,0))</f>
        <v>0</v>
      </c>
      <c r="F186" s="72">
        <f>D186*Supuestos!$C$25</f>
        <v>0</v>
      </c>
      <c r="G186" s="72">
        <f>D186*(1-Supuestos!$C$25)</f>
        <v>0</v>
      </c>
      <c r="I186" s="72">
        <f>+F186</f>
        <v>0</v>
      </c>
      <c r="J186" s="72">
        <f>G186*Supuestos!$C$20</f>
        <v>0</v>
      </c>
      <c r="K186" s="72">
        <f>(I186+J186)*(1/Supuestos!$C$20)</f>
        <v>0</v>
      </c>
    </row>
    <row r="187" spans="3:11" x14ac:dyDescent="0.25">
      <c r="C187" s="5" t="str">
        <f>'Informacion del AEP'!$C$139</f>
        <v>Servicios OTT de vídeo</v>
      </c>
      <c r="D187" s="70">
        <f>INDEX('Informacion del AEP'!$D$138:$AE$158,MATCH('Costos aguas abajo'!$C187,'Informacion del AEP'!$C$138:$C$158,0),MATCH('Costos aguas abajo'!$C$185,'Informacion del AEP'!$D$137:$AE$137,0))</f>
        <v>26666665.666666701</v>
      </c>
      <c r="F187" s="72">
        <f>D187*Supuestos!$C$26</f>
        <v>0</v>
      </c>
      <c r="G187" s="72">
        <f>D187*(1-Supuestos!$C$26)</f>
        <v>26666665.666666701</v>
      </c>
      <c r="I187" s="72">
        <f>+F187</f>
        <v>0</v>
      </c>
      <c r="J187" s="72">
        <f>G187*Supuestos!$C$20</f>
        <v>2981423.8581963247</v>
      </c>
      <c r="K187" s="72">
        <f>(I187+J187)*(1/Supuestos!$C$20)</f>
        <v>26666665.666666701</v>
      </c>
    </row>
    <row r="188" spans="3:11" x14ac:dyDescent="0.25">
      <c r="C188" s="5" t="str">
        <f>'Informacion del AEP'!$C$140</f>
        <v>Servicios OTT de audio</v>
      </c>
      <c r="D188" s="70">
        <f>INDEX('Informacion del AEP'!$D$138:$AE$158,MATCH('Costos aguas abajo'!$C188,'Informacion del AEP'!$C$138:$C$158,0),MATCH('Costos aguas abajo'!$C$185,'Informacion del AEP'!$D$137:$AE$137,0))</f>
        <v>0</v>
      </c>
      <c r="F188" s="72">
        <f>D188*Supuestos!$C$27</f>
        <v>0</v>
      </c>
      <c r="G188" s="72">
        <f>D188*(1-Supuestos!$C$27)</f>
        <v>0</v>
      </c>
      <c r="I188" s="72">
        <f t="shared" ref="I188:I201" si="8">+F188</f>
        <v>0</v>
      </c>
      <c r="J188" s="72">
        <f>G188*Supuestos!$C$20</f>
        <v>0</v>
      </c>
      <c r="K188" s="72">
        <f>(I188+J188)*(1/Supuestos!$C$20)</f>
        <v>0</v>
      </c>
    </row>
    <row r="189" spans="3:11" x14ac:dyDescent="0.25">
      <c r="C189" s="5" t="str">
        <f>'Informacion del AEP'!$C$141</f>
        <v>Comerciales</v>
      </c>
      <c r="D189" s="70">
        <f>INDEX('Informacion del AEP'!$D$138:$AE$158,MATCH('Costos aguas abajo'!$C189,'Informacion del AEP'!$C$138:$C$158,0),MATCH('Costos aguas abajo'!$C$185,'Informacion del AEP'!$D$137:$AE$137,0))</f>
        <v>300000005</v>
      </c>
      <c r="F189" s="72">
        <f>D189*Supuestos!$C$28</f>
        <v>30000000.5</v>
      </c>
      <c r="G189" s="72">
        <f>D189*(1-Supuestos!$C$28)</f>
        <v>270000004.5</v>
      </c>
      <c r="I189" s="72">
        <f t="shared" si="8"/>
        <v>30000000.5</v>
      </c>
      <c r="J189" s="72">
        <f>G189*Supuestos!$C$20</f>
        <v>30186918.199362457</v>
      </c>
      <c r="K189" s="72">
        <f>(I189+J189)*(1/Supuestos!$C$20)</f>
        <v>538328166.2721107</v>
      </c>
    </row>
    <row r="190" spans="3:11" x14ac:dyDescent="0.25">
      <c r="C190" s="5" t="str">
        <f>'Informacion del AEP'!$C$142</f>
        <v>Facturación</v>
      </c>
      <c r="D190" s="70">
        <f>INDEX('Informacion del AEP'!$D$138:$AE$158,MATCH('Costos aguas abajo'!$C190,'Informacion del AEP'!$C$138:$C$158,0),MATCH('Costos aguas abajo'!$C$185,'Informacion del AEP'!$D$137:$AE$137,0))</f>
        <v>300005</v>
      </c>
      <c r="F190" s="72">
        <f>D190*Supuestos!$C$29</f>
        <v>15000.25</v>
      </c>
      <c r="G190" s="72">
        <f>D190*(1-Supuestos!$C$29)</f>
        <v>285004.75</v>
      </c>
      <c r="I190" s="72">
        <f t="shared" si="8"/>
        <v>15000.25</v>
      </c>
      <c r="J190" s="72">
        <f>G190*Supuestos!$C$20</f>
        <v>31864.499745516659</v>
      </c>
      <c r="K190" s="72">
        <f>(I190+J190)*(1/Supuestos!$C$20)</f>
        <v>419171.06471796491</v>
      </c>
    </row>
    <row r="191" spans="3:11" x14ac:dyDescent="0.25">
      <c r="C191" s="5" t="str">
        <f>'Informacion del AEP'!$C$143</f>
        <v>Cobranza</v>
      </c>
      <c r="D191" s="70">
        <f>INDEX('Informacion del AEP'!$D$138:$AE$158,MATCH('Costos aguas abajo'!$C191,'Informacion del AEP'!$C$138:$C$158,0),MATCH('Costos aguas abajo'!$C$185,'Informacion del AEP'!$D$137:$AE$137,0))</f>
        <v>11666665.6666667</v>
      </c>
      <c r="F191" s="72">
        <f>D191*Supuestos!$C$30</f>
        <v>0</v>
      </c>
      <c r="G191" s="72">
        <f>D191*(1-Supuestos!$C$30)</f>
        <v>11666665.6666667</v>
      </c>
      <c r="I191" s="72">
        <f t="shared" si="8"/>
        <v>0</v>
      </c>
      <c r="J191" s="72">
        <f>G191*Supuestos!$C$20</f>
        <v>1304372.875071482</v>
      </c>
      <c r="K191" s="72">
        <f>(I191+J191)*(1/Supuestos!$C$20)</f>
        <v>11666665.6666667</v>
      </c>
    </row>
    <row r="192" spans="3:11" x14ac:dyDescent="0.25">
      <c r="C192" s="5" t="str">
        <f>'Informacion del AEP'!$C$144</f>
        <v>Tasas e impuestos</v>
      </c>
      <c r="D192" s="70">
        <f>INDEX('Informacion del AEP'!$D$138:$AE$158,MATCH('Costos aguas abajo'!$C192,'Informacion del AEP'!$C$138:$C$158,0),MATCH('Costos aguas abajo'!$C$185,'Informacion del AEP'!$D$137:$AE$137,0))</f>
        <v>3500005</v>
      </c>
      <c r="F192" s="72">
        <f>D192*Supuestos!$C$31</f>
        <v>350000.5</v>
      </c>
      <c r="G192" s="72">
        <f>D192*(1-Supuestos!$C$31)</f>
        <v>3150004.5</v>
      </c>
      <c r="I192" s="72">
        <f t="shared" si="8"/>
        <v>350000.5</v>
      </c>
      <c r="J192" s="72">
        <f>G192*Supuestos!$C$20</f>
        <v>352181.20957151183</v>
      </c>
      <c r="K192" s="72">
        <f>(I192+J192)*(1/Supuestos!$C$20)</f>
        <v>6280504.1406356608</v>
      </c>
    </row>
    <row r="193" spans="3:11" x14ac:dyDescent="0.25">
      <c r="C193" s="5" t="str">
        <f>'Informacion del AEP'!$C$145</f>
        <v>Programas de fidelización</v>
      </c>
      <c r="D193" s="70">
        <f>INDEX('Informacion del AEP'!$D$138:$AE$158,MATCH('Costos aguas abajo'!$C193,'Informacion del AEP'!$C$138:$C$158,0),MATCH('Costos aguas abajo'!$C$185,'Informacion del AEP'!$D$137:$AE$137,0))</f>
        <v>13333335.3333333</v>
      </c>
      <c r="F193" s="72">
        <f>D193*Supuestos!$C$32</f>
        <v>0</v>
      </c>
      <c r="G193" s="72">
        <f>D193*(1-Supuestos!$C$32)</f>
        <v>13333335.3333333</v>
      </c>
      <c r="I193" s="72">
        <f t="shared" si="8"/>
        <v>0</v>
      </c>
      <c r="J193" s="72">
        <f>G193*Supuestos!$C$20</f>
        <v>1490712.2086066538</v>
      </c>
      <c r="K193" s="72">
        <f>(I193+J193)*(1/Supuestos!$C$20)</f>
        <v>13333335.3333333</v>
      </c>
    </row>
    <row r="194" spans="3:11" x14ac:dyDescent="0.25">
      <c r="C194" s="5" t="str">
        <f>'Informacion del AEP'!$C$146</f>
        <v>Acceso internet internacional</v>
      </c>
      <c r="D194" s="70">
        <f>INDEX('Informacion del AEP'!$D$138:$AE$158,MATCH('Costos aguas abajo'!$C194,'Informacion del AEP'!$C$138:$C$158,0),MATCH('Costos aguas abajo'!$C$185,'Informacion del AEP'!$D$137:$AE$137,0))</f>
        <v>3800005</v>
      </c>
      <c r="F194" s="72">
        <f>D194*Supuestos!$C$33</f>
        <v>0</v>
      </c>
      <c r="G194" s="72">
        <f>D194*(1-Supuestos!$C$33)</f>
        <v>3800005</v>
      </c>
      <c r="I194" s="72">
        <f t="shared" si="8"/>
        <v>0</v>
      </c>
      <c r="J194" s="72">
        <f>G194*Supuestos!$C$20</f>
        <v>424853.47474195441</v>
      </c>
      <c r="K194" s="72">
        <f>(I194+J194)*(1/Supuestos!$C$20)</f>
        <v>3800005</v>
      </c>
    </row>
    <row r="195" spans="3:11" x14ac:dyDescent="0.25">
      <c r="C195" s="5" t="str">
        <f>'Informacion del AEP'!$C$147</f>
        <v>Roaming nacional</v>
      </c>
      <c r="D195" s="70">
        <f>INDEX('Informacion del AEP'!$D$138:$AE$158,MATCH('Costos aguas abajo'!$C195,'Informacion del AEP'!$C$138:$C$158,0),MATCH('Costos aguas abajo'!$C$185,'Informacion del AEP'!$D$137:$AE$137,0))</f>
        <v>1500005</v>
      </c>
      <c r="F195" s="72">
        <f>D195*Supuestos!$C$34</f>
        <v>0</v>
      </c>
      <c r="G195" s="72">
        <f>D195*(1-Supuestos!$C$34)</f>
        <v>1500005</v>
      </c>
      <c r="I195" s="72">
        <f t="shared" si="8"/>
        <v>0</v>
      </c>
      <c r="J195" s="72">
        <f>G195*Supuestos!$C$20</f>
        <v>167705.65732947859</v>
      </c>
      <c r="K195" s="72">
        <f>(I195+J195)*(1/Supuestos!$C$20)</f>
        <v>1500005</v>
      </c>
    </row>
    <row r="196" spans="3:11" x14ac:dyDescent="0.25">
      <c r="C196" s="5" t="str">
        <f>'Informacion del AEP'!$C$148</f>
        <v>Roaming internacional</v>
      </c>
      <c r="D196" s="70">
        <f>INDEX('Informacion del AEP'!$D$138:$AE$158,MATCH('Costos aguas abajo'!$C196,'Informacion del AEP'!$C$138:$C$158,0),MATCH('Costos aguas abajo'!$C$185,'Informacion del AEP'!$D$137:$AE$137,0))</f>
        <v>0</v>
      </c>
      <c r="F196" s="72">
        <f>D196*Supuestos!$C$35</f>
        <v>0</v>
      </c>
      <c r="G196" s="72">
        <f>D196*(1-Supuestos!$C$35)</f>
        <v>0</v>
      </c>
      <c r="I196" s="72">
        <f t="shared" si="8"/>
        <v>0</v>
      </c>
      <c r="J196" s="72">
        <f>G196*Supuestos!$C$20</f>
        <v>0</v>
      </c>
      <c r="K196" s="72">
        <f>(I196+J196)*(1/Supuestos!$C$20)</f>
        <v>0</v>
      </c>
    </row>
    <row r="197" spans="3:11" x14ac:dyDescent="0.25">
      <c r="C197" s="5" t="str">
        <f>'Informacion del AEP'!$C$149</f>
        <v>Provisiones</v>
      </c>
      <c r="D197" s="70">
        <f>INDEX('Informacion del AEP'!$D$138:$AE$158,MATCH('Costos aguas abajo'!$C197,'Informacion del AEP'!$C$138:$C$158,0),MATCH('Costos aguas abajo'!$C$185,'Informacion del AEP'!$D$137:$AE$137,0))</f>
        <v>16666665.6666667</v>
      </c>
      <c r="F197" s="72">
        <f>D197*Supuestos!$C$36</f>
        <v>0</v>
      </c>
      <c r="G197" s="72">
        <f>D197*(1-Supuestos!$C$36)</f>
        <v>16666665.6666667</v>
      </c>
      <c r="I197" s="72">
        <f t="shared" si="8"/>
        <v>0</v>
      </c>
      <c r="J197" s="72">
        <f>G197*Supuestos!$C$20</f>
        <v>1863389.8694464294</v>
      </c>
      <c r="K197" s="72">
        <f>(I197+J197)*(1/Supuestos!$C$20)</f>
        <v>16666665.6666667</v>
      </c>
    </row>
    <row r="198" spans="3:11" x14ac:dyDescent="0.25">
      <c r="C198" s="5" t="str">
        <f>'Informacion del AEP'!$C$150</f>
        <v>Costos directos de la venta de terminales</v>
      </c>
      <c r="D198" s="70">
        <f>INDEX('Informacion del AEP'!$D$138:$AE$158,MATCH('Costos aguas abajo'!$C198,'Informacion del AEP'!$C$138:$C$158,0),MATCH('Costos aguas abajo'!$C$185,'Informacion del AEP'!$D$137:$AE$137,0))</f>
        <v>1000000005</v>
      </c>
      <c r="F198" s="72">
        <f>D198*Supuestos!$C$37</f>
        <v>0</v>
      </c>
      <c r="G198" s="72">
        <f>D198*(1-Supuestos!$C$37)</f>
        <v>1000000005</v>
      </c>
      <c r="I198" s="72">
        <f t="shared" si="8"/>
        <v>0</v>
      </c>
      <c r="J198" s="72">
        <f>G198*Supuestos!$C$20</f>
        <v>111803399.43400648</v>
      </c>
      <c r="K198" s="72">
        <f>(I198+J198)*(1/Supuestos!$C$20)</f>
        <v>1000000005.0000001</v>
      </c>
    </row>
    <row r="199" spans="3:11" x14ac:dyDescent="0.25">
      <c r="C199" s="5" t="str">
        <f>'Informacion del AEP'!$C$151</f>
        <v>Servicios generales y de gestión - minoristas</v>
      </c>
      <c r="D199" s="70">
        <f>INDEX('Informacion del AEP'!$D$138:$AE$158,MATCH('Costos aguas abajo'!$C199,'Informacion del AEP'!$C$138:$C$158,0),MATCH('Costos aguas abajo'!$C$185,'Informacion del AEP'!$D$137:$AE$137,0))</f>
        <v>200000005</v>
      </c>
      <c r="F199" s="72">
        <f>D199*Supuestos!$C$38</f>
        <v>10000000.25</v>
      </c>
      <c r="G199" s="72">
        <f>D199*(1-Supuestos!$C$38)</f>
        <v>190000004.75</v>
      </c>
      <c r="I199" s="72">
        <f t="shared" si="8"/>
        <v>10000000.25</v>
      </c>
      <c r="J199" s="72">
        <f>G199*Supuestos!$C$20</f>
        <v>21242646.317314148</v>
      </c>
      <c r="K199" s="72">
        <f>(I199+J199)*(1/Supuestos!$C$20)</f>
        <v>279442726.08605957</v>
      </c>
    </row>
    <row r="200" spans="3:11" x14ac:dyDescent="0.25">
      <c r="C200" s="5" t="str">
        <f>'Informacion del AEP'!$C$152</f>
        <v>Servicios generales y de gestión - red</v>
      </c>
      <c r="D200" s="70">
        <f>INDEX('Informacion del AEP'!$D$138:$AE$158,MATCH('Costos aguas abajo'!$C200,'Informacion del AEP'!$C$138:$C$158,0),MATCH('Costos aguas abajo'!$C$185,'Informacion del AEP'!$D$137:$AE$137,0))</f>
        <v>0</v>
      </c>
      <c r="F200" s="72">
        <f>D200*Supuestos!$C$39</f>
        <v>0</v>
      </c>
      <c r="G200" s="72">
        <f>D200*(1-Supuestos!$C$30)</f>
        <v>0</v>
      </c>
      <c r="I200" s="72">
        <f t="shared" si="8"/>
        <v>0</v>
      </c>
      <c r="J200" s="72">
        <f>G200*Supuestos!$C$20</f>
        <v>0</v>
      </c>
      <c r="K200" s="72">
        <f>(I200+J200)*(1/Supuestos!$C$20)</f>
        <v>0</v>
      </c>
    </row>
    <row r="201" spans="3:11" x14ac:dyDescent="0.25">
      <c r="C201" s="5" t="str">
        <f>'Informacion del AEP'!$C$153</f>
        <v xml:space="preserve">Servicios generales y de gestión - negocio </v>
      </c>
      <c r="D201" s="70">
        <f>INDEX('Informacion del AEP'!$D$138:$AE$158,MATCH('Costos aguas abajo'!$C201,'Informacion del AEP'!$C$138:$C$158,0),MATCH('Costos aguas abajo'!$C$185,'Informacion del AEP'!$D$137:$AE$137,0))</f>
        <v>50000005</v>
      </c>
      <c r="F201" s="72">
        <f>D201*Supuestos!$C$40</f>
        <v>5000000.5</v>
      </c>
      <c r="G201" s="72">
        <f>D201*(1-Supuestos!$C$40)</f>
        <v>45000004.5</v>
      </c>
      <c r="I201" s="72">
        <f t="shared" si="8"/>
        <v>5000000.5</v>
      </c>
      <c r="J201" s="72">
        <f>G201*Supuestos!$C$20</f>
        <v>5031153.4524898212</v>
      </c>
      <c r="K201" s="72">
        <f>(I201+J201)*(1/Supuestos!$C$20)</f>
        <v>89721368.522131756</v>
      </c>
    </row>
    <row r="202" spans="3:11" ht="13" x14ac:dyDescent="0.3">
      <c r="C202" s="64" t="s">
        <v>109</v>
      </c>
      <c r="D202" s="218">
        <f>SUM(D203:D206)</f>
        <v>0</v>
      </c>
      <c r="F202" s="218">
        <f>SUM(F203:F206)</f>
        <v>0</v>
      </c>
      <c r="G202" s="218">
        <f>SUM(G203:G206)</f>
        <v>0</v>
      </c>
      <c r="I202" s="218">
        <f>SUM(I203:I206)</f>
        <v>0</v>
      </c>
      <c r="J202" s="218">
        <f>SUM(J203:J206)</f>
        <v>0</v>
      </c>
      <c r="K202" s="218">
        <f>SUM(K203:K206)</f>
        <v>0</v>
      </c>
    </row>
    <row r="203" spans="3:11" x14ac:dyDescent="0.25">
      <c r="C203" s="5" t="str">
        <f>'Informacion del AEP'!$C$154</f>
        <v>Costo del Capital:Servicios generales y de gestión - minoristas</v>
      </c>
      <c r="D203" s="70">
        <f>INDEX('Informacion del AEP'!$D$138:$AE$158,MATCH('Costos aguas abajo'!$C203,'Informacion del AEP'!$C$138:$C$158,0),MATCH('Costos aguas abajo'!$C$185,'Informacion del AEP'!$D$137:$AE$137,0))</f>
        <v>0</v>
      </c>
      <c r="F203" s="72">
        <f>D203*Supuestos!$C$42</f>
        <v>0</v>
      </c>
      <c r="G203" s="72">
        <f>D203*(1-Supuestos!$C$42)</f>
        <v>0</v>
      </c>
      <c r="I203" s="72">
        <f t="shared" ref="I203" si="9">+F203</f>
        <v>0</v>
      </c>
      <c r="J203" s="72">
        <f>G203*Supuestos!$C$20</f>
        <v>0</v>
      </c>
      <c r="K203" s="72">
        <f>(I203+J203)*(1/Supuestos!$C$20)</f>
        <v>0</v>
      </c>
    </row>
    <row r="204" spans="3:11" x14ac:dyDescent="0.25">
      <c r="C204" s="5" t="str">
        <f>'Informacion del AEP'!$C$155</f>
        <v>Costo del Capital:Servicios generales y de gestión - red</v>
      </c>
      <c r="D204" s="70">
        <f>INDEX('Informacion del AEP'!$D$138:$AE$158,MATCH('Costos aguas abajo'!$C204,'Informacion del AEP'!$C$138:$C$158,0),MATCH('Costos aguas abajo'!$C$185,'Informacion del AEP'!$D$137:$AE$137,0))</f>
        <v>0</v>
      </c>
      <c r="F204" s="72">
        <f>D204*Supuestos!$C$43</f>
        <v>0</v>
      </c>
      <c r="G204" s="72">
        <f>D204*(1-Supuestos!$C$43)</f>
        <v>0</v>
      </c>
      <c r="I204" s="72">
        <f>+F204</f>
        <v>0</v>
      </c>
      <c r="J204" s="72">
        <f>G204*Supuestos!$C$20</f>
        <v>0</v>
      </c>
      <c r="K204" s="72">
        <f>(I204+J204)*(1/Supuestos!$C$20)</f>
        <v>0</v>
      </c>
    </row>
    <row r="205" spans="3:11" x14ac:dyDescent="0.25">
      <c r="C205" s="5" t="str">
        <f>'Informacion del AEP'!$C$156</f>
        <v xml:space="preserve">Costo del Capital:Servicios generales y de gestión - negocio </v>
      </c>
      <c r="D205" s="70">
        <f>INDEX('Informacion del AEP'!$D$138:$AE$158,MATCH('Costos aguas abajo'!$C205,'Informacion del AEP'!$C$138:$C$158,0),MATCH('Costos aguas abajo'!$C$185,'Informacion del AEP'!$D$137:$AE$137,0))</f>
        <v>0</v>
      </c>
      <c r="F205" s="72">
        <f>D205*Supuestos!$C$44</f>
        <v>0</v>
      </c>
      <c r="G205" s="72">
        <f>D205*(1-Supuestos!$C$44)</f>
        <v>0</v>
      </c>
      <c r="I205" s="72">
        <f>+F205</f>
        <v>0</v>
      </c>
      <c r="J205" s="72">
        <f>G205*Supuestos!$C$20</f>
        <v>0</v>
      </c>
      <c r="K205" s="72">
        <f>(I205+J205)*(1/Supuestos!$C$20)</f>
        <v>0</v>
      </c>
    </row>
    <row r="206" spans="3:11" x14ac:dyDescent="0.25">
      <c r="C206" s="5" t="str">
        <f>'Informacion del AEP'!$C$157</f>
        <v>Costo del Capital:Equipos terminales</v>
      </c>
      <c r="D206" s="70">
        <f>INDEX('Informacion del AEP'!$D$138:$AE$158,MATCH('Costos aguas abajo'!$C206,'Informacion del AEP'!$C$138:$C$158,0),MATCH('Costos aguas abajo'!$C$185,'Informacion del AEP'!$D$137:$AE$137,0))</f>
        <v>0</v>
      </c>
      <c r="F206" s="72">
        <f>D206*Supuestos!$C$45</f>
        <v>0</v>
      </c>
      <c r="G206" s="72">
        <f>D206*(1-Supuestos!$C$45)</f>
        <v>0</v>
      </c>
      <c r="I206" s="72">
        <f>+F206</f>
        <v>0</v>
      </c>
      <c r="J206" s="72">
        <f>G206*Supuestos!$C$20</f>
        <v>0</v>
      </c>
      <c r="K206" s="72">
        <f>(I206+J206)*(1/Supuestos!$C$20)</f>
        <v>0</v>
      </c>
    </row>
    <row r="208" spans="3:11" ht="13" x14ac:dyDescent="0.3">
      <c r="C208" s="73" t="s">
        <v>42</v>
      </c>
      <c r="D208" s="38" t="str">
        <f>IF(D185='Informacion del AEP'!M158,"Ok","Error")</f>
        <v>Ok</v>
      </c>
      <c r="I208" s="38" t="str">
        <f>IF(I185=F185,"Ok","Error")</f>
        <v>Ok</v>
      </c>
    </row>
    <row r="210" spans="3:11" ht="13" x14ac:dyDescent="0.3">
      <c r="C210" s="74" t="str">
        <f>Supuestos!B93</f>
        <v>Monto 3</v>
      </c>
      <c r="D210" s="75">
        <f>SUM(D211:D227)</f>
        <v>1627433384.3333335</v>
      </c>
      <c r="E210" s="76"/>
      <c r="F210" s="75">
        <f>SUM(F211:F227)</f>
        <v>45365002.400000006</v>
      </c>
      <c r="G210" s="75">
        <f>SUM(G211:G227)</f>
        <v>1582068381.9333336</v>
      </c>
      <c r="H210" s="76"/>
      <c r="I210" s="75">
        <f>SUM(I211:I227)</f>
        <v>45365002.400000006</v>
      </c>
      <c r="J210" s="75">
        <f>SUM(J211:J227)</f>
        <v>176880622.35280171</v>
      </c>
      <c r="K210" s="75">
        <f>SUM(K211:K227)</f>
        <v>1987825298.5966978</v>
      </c>
    </row>
    <row r="211" spans="3:11" x14ac:dyDescent="0.25">
      <c r="C211" s="5" t="str">
        <f>'Informacion del AEP'!$C$138</f>
        <v>Acceso a Internet</v>
      </c>
      <c r="D211" s="70">
        <f>INDEX('Informacion del AEP'!$D$138:$AE$158,MATCH('Costos aguas abajo'!$C211,'Informacion del AEP'!$C$138:$C$158,0),MATCH('Costos aguas abajo'!$C$210,'Informacion del AEP'!$D$137:$AE$137,0))</f>
        <v>0</v>
      </c>
      <c r="F211" s="72">
        <f>D211*Supuestos!$C$25</f>
        <v>0</v>
      </c>
      <c r="G211" s="72">
        <f>D211*(1-Supuestos!$C$25)</f>
        <v>0</v>
      </c>
      <c r="I211" s="72">
        <f>+F211</f>
        <v>0</v>
      </c>
      <c r="J211" s="72">
        <f>G211*Supuestos!$C$20</f>
        <v>0</v>
      </c>
      <c r="K211" s="72">
        <f>(I211+J211)*(1/Supuestos!$C$20)</f>
        <v>0</v>
      </c>
    </row>
    <row r="212" spans="3:11" x14ac:dyDescent="0.25">
      <c r="C212" s="5" t="str">
        <f>'Informacion del AEP'!$C$139</f>
        <v>Servicios OTT de vídeo</v>
      </c>
      <c r="D212" s="70">
        <f>INDEX('Informacion del AEP'!$D$138:$AE$158,MATCH('Costos aguas abajo'!$C212,'Informacion del AEP'!$C$138:$C$158,0),MATCH('Costos aguas abajo'!$C$210,'Informacion del AEP'!$D$137:$AE$137,0))</f>
        <v>26666666.666666701</v>
      </c>
      <c r="F212" s="72">
        <f>D212*Supuestos!$C$26</f>
        <v>0</v>
      </c>
      <c r="G212" s="72">
        <f>D212*(1-Supuestos!$C$26)</f>
        <v>26666666.666666701</v>
      </c>
      <c r="I212" s="72">
        <f>+F212</f>
        <v>0</v>
      </c>
      <c r="J212" s="72">
        <f>G212*Supuestos!$C$20</f>
        <v>2981423.9699997236</v>
      </c>
      <c r="K212" s="72">
        <f>(I212+J212)*(1/Supuestos!$C$20)</f>
        <v>26666666.666666705</v>
      </c>
    </row>
    <row r="213" spans="3:11" x14ac:dyDescent="0.25">
      <c r="C213" s="5" t="str">
        <f>'Informacion del AEP'!$C$140</f>
        <v>Servicios OTT de audio</v>
      </c>
      <c r="D213" s="70">
        <f>INDEX('Informacion del AEP'!$D$138:$AE$158,MATCH('Costos aguas abajo'!$C213,'Informacion del AEP'!$C$138:$C$158,0),MATCH('Costos aguas abajo'!$C$210,'Informacion del AEP'!$D$137:$AE$137,0))</f>
        <v>0</v>
      </c>
      <c r="F213" s="72">
        <f>D213*Supuestos!$C$27</f>
        <v>0</v>
      </c>
      <c r="G213" s="72">
        <f>D213*(1-Supuestos!$C$27)</f>
        <v>0</v>
      </c>
      <c r="I213" s="72">
        <f t="shared" ref="I213:I226" si="10">+F213</f>
        <v>0</v>
      </c>
      <c r="J213" s="72">
        <f>G213*Supuestos!$C$20</f>
        <v>0</v>
      </c>
      <c r="K213" s="72">
        <f>(I213+J213)*(1/Supuestos!$C$20)</f>
        <v>0</v>
      </c>
    </row>
    <row r="214" spans="3:11" x14ac:dyDescent="0.25">
      <c r="C214" s="5" t="str">
        <f>'Informacion del AEP'!$C$141</f>
        <v>Comerciales</v>
      </c>
      <c r="D214" s="70">
        <f>INDEX('Informacion del AEP'!$D$138:$AE$158,MATCH('Costos aguas abajo'!$C214,'Informacion del AEP'!$C$138:$C$158,0),MATCH('Costos aguas abajo'!$C$210,'Informacion del AEP'!$D$137:$AE$137,0))</f>
        <v>300000006</v>
      </c>
      <c r="F214" s="72">
        <f>D214*Supuestos!$C$28</f>
        <v>30000000.600000001</v>
      </c>
      <c r="G214" s="72">
        <f>D214*(1-Supuestos!$C$28)</f>
        <v>270000005.40000004</v>
      </c>
      <c r="I214" s="72">
        <f t="shared" si="10"/>
        <v>30000000.600000001</v>
      </c>
      <c r="J214" s="72">
        <f>G214*Supuestos!$C$20</f>
        <v>30186918.299985517</v>
      </c>
      <c r="K214" s="72">
        <f>(I214+J214)*(1/Supuestos!$C$20)</f>
        <v>538328168.06653798</v>
      </c>
    </row>
    <row r="215" spans="3:11" x14ac:dyDescent="0.25">
      <c r="C215" s="5" t="str">
        <f>'Informacion del AEP'!$C$142</f>
        <v>Facturación</v>
      </c>
      <c r="D215" s="70">
        <f>INDEX('Informacion del AEP'!$D$138:$AE$158,MATCH('Costos aguas abajo'!$C215,'Informacion del AEP'!$C$138:$C$158,0),MATCH('Costos aguas abajo'!$C$210,'Informacion del AEP'!$D$137:$AE$137,0))</f>
        <v>300006</v>
      </c>
      <c r="F215" s="72">
        <f>D215*Supuestos!$C$29</f>
        <v>15000.300000000001</v>
      </c>
      <c r="G215" s="72">
        <f>D215*(1-Supuestos!$C$29)</f>
        <v>285005.7</v>
      </c>
      <c r="I215" s="72">
        <f t="shared" si="10"/>
        <v>15000.300000000001</v>
      </c>
      <c r="J215" s="72">
        <f>G215*Supuestos!$C$20</f>
        <v>31864.605958745589</v>
      </c>
      <c r="K215" s="72">
        <f>(I215+J215)*(1/Supuestos!$C$20)</f>
        <v>419172.46193156042</v>
      </c>
    </row>
    <row r="216" spans="3:11" x14ac:dyDescent="0.25">
      <c r="C216" s="5" t="str">
        <f>'Informacion del AEP'!$C$143</f>
        <v>Cobranza</v>
      </c>
      <c r="D216" s="70">
        <f>INDEX('Informacion del AEP'!$D$138:$AE$158,MATCH('Costos aguas abajo'!$C216,'Informacion del AEP'!$C$138:$C$158,0),MATCH('Costos aguas abajo'!$C$210,'Informacion del AEP'!$D$137:$AE$137,0))</f>
        <v>11666666.6666667</v>
      </c>
      <c r="F216" s="72">
        <f>D216*Supuestos!$C$30</f>
        <v>0</v>
      </c>
      <c r="G216" s="72">
        <f>D216*(1-Supuestos!$C$30)</f>
        <v>11666666.6666667</v>
      </c>
      <c r="I216" s="72">
        <f t="shared" si="10"/>
        <v>0</v>
      </c>
      <c r="J216" s="72">
        <f>G216*Supuestos!$C$20</f>
        <v>1304372.986874881</v>
      </c>
      <c r="K216" s="72">
        <f>(I216+J216)*(1/Supuestos!$C$20)</f>
        <v>11666666.6666667</v>
      </c>
    </row>
    <row r="217" spans="3:11" x14ac:dyDescent="0.25">
      <c r="C217" s="5" t="str">
        <f>'Informacion del AEP'!$C$144</f>
        <v>Tasas e impuestos</v>
      </c>
      <c r="D217" s="70">
        <f>INDEX('Informacion del AEP'!$D$138:$AE$158,MATCH('Costos aguas abajo'!$C217,'Informacion del AEP'!$C$138:$C$158,0),MATCH('Costos aguas abajo'!$C$210,'Informacion del AEP'!$D$137:$AE$137,0))</f>
        <v>3500006</v>
      </c>
      <c r="F217" s="72">
        <f>D217*Supuestos!$C$31</f>
        <v>350000.60000000003</v>
      </c>
      <c r="G217" s="72">
        <f>D217*(1-Supuestos!$C$31)</f>
        <v>3150005.4</v>
      </c>
      <c r="I217" s="72">
        <f t="shared" si="10"/>
        <v>350000.60000000003</v>
      </c>
      <c r="J217" s="72">
        <f>G217*Supuestos!$C$20</f>
        <v>352181.3101945708</v>
      </c>
      <c r="K217" s="72">
        <f>(I217+J217)*(1/Supuestos!$C$20)</f>
        <v>6280505.9350628527</v>
      </c>
    </row>
    <row r="218" spans="3:11" x14ac:dyDescent="0.25">
      <c r="C218" s="5" t="str">
        <f>'Informacion del AEP'!$C$145</f>
        <v>Programas de fidelización</v>
      </c>
      <c r="D218" s="70">
        <f>INDEX('Informacion del AEP'!$D$138:$AE$158,MATCH('Costos aguas abajo'!$C218,'Informacion del AEP'!$C$138:$C$158,0),MATCH('Costos aguas abajo'!$C$210,'Informacion del AEP'!$D$137:$AE$137,0))</f>
        <v>13333336.3333333</v>
      </c>
      <c r="F218" s="72">
        <f>D218*Supuestos!$C$32</f>
        <v>0</v>
      </c>
      <c r="G218" s="72">
        <f>D218*(1-Supuestos!$C$32)</f>
        <v>13333336.3333333</v>
      </c>
      <c r="I218" s="72">
        <f t="shared" si="10"/>
        <v>0</v>
      </c>
      <c r="J218" s="72">
        <f>G218*Supuestos!$C$20</f>
        <v>1490712.3204100528</v>
      </c>
      <c r="K218" s="72">
        <f>(I218+J218)*(1/Supuestos!$C$20)</f>
        <v>13333336.333333302</v>
      </c>
    </row>
    <row r="219" spans="3:11" x14ac:dyDescent="0.25">
      <c r="C219" s="5" t="str">
        <f>'Informacion del AEP'!$C$146</f>
        <v>Acceso internet internacional</v>
      </c>
      <c r="D219" s="70">
        <f>INDEX('Informacion del AEP'!$D$138:$AE$158,MATCH('Costos aguas abajo'!$C219,'Informacion del AEP'!$C$138:$C$158,0),MATCH('Costos aguas abajo'!$C$210,'Informacion del AEP'!$D$137:$AE$137,0))</f>
        <v>3800006</v>
      </c>
      <c r="F219" s="72">
        <f>D219*Supuestos!$C$33</f>
        <v>0</v>
      </c>
      <c r="G219" s="72">
        <f>D219*(1-Supuestos!$C$33)</f>
        <v>3800006</v>
      </c>
      <c r="I219" s="72">
        <f t="shared" si="10"/>
        <v>0</v>
      </c>
      <c r="J219" s="72">
        <f>G219*Supuestos!$C$20</f>
        <v>424853.58654535329</v>
      </c>
      <c r="K219" s="72">
        <f>(I219+J219)*(1/Supuestos!$C$20)</f>
        <v>3800006</v>
      </c>
    </row>
    <row r="220" spans="3:11" x14ac:dyDescent="0.25">
      <c r="C220" s="5" t="str">
        <f>'Informacion del AEP'!$C$147</f>
        <v>Roaming nacional</v>
      </c>
      <c r="D220" s="70">
        <f>INDEX('Informacion del AEP'!$D$138:$AE$158,MATCH('Costos aguas abajo'!$C220,'Informacion del AEP'!$C$138:$C$158,0),MATCH('Costos aguas abajo'!$C$210,'Informacion del AEP'!$D$137:$AE$137,0))</f>
        <v>1500006</v>
      </c>
      <c r="F220" s="72">
        <f>D220*Supuestos!$C$34</f>
        <v>0</v>
      </c>
      <c r="G220" s="72">
        <f>D220*(1-Supuestos!$C$34)</f>
        <v>1500006</v>
      </c>
      <c r="I220" s="72">
        <f t="shared" si="10"/>
        <v>0</v>
      </c>
      <c r="J220" s="72">
        <f>G220*Supuestos!$C$20</f>
        <v>167705.76913287747</v>
      </c>
      <c r="K220" s="72">
        <f>(I220+J220)*(1/Supuestos!$C$20)</f>
        <v>1500006</v>
      </c>
    </row>
    <row r="221" spans="3:11" x14ac:dyDescent="0.25">
      <c r="C221" s="5" t="str">
        <f>'Informacion del AEP'!$C$148</f>
        <v>Roaming internacional</v>
      </c>
      <c r="D221" s="70">
        <f>INDEX('Informacion del AEP'!$D$138:$AE$158,MATCH('Costos aguas abajo'!$C221,'Informacion del AEP'!$C$138:$C$158,0),MATCH('Costos aguas abajo'!$C$210,'Informacion del AEP'!$D$137:$AE$137,0))</f>
        <v>0</v>
      </c>
      <c r="F221" s="72">
        <f>D221*Supuestos!$C$35</f>
        <v>0</v>
      </c>
      <c r="G221" s="72">
        <f>D221*(1-Supuestos!$C$35)</f>
        <v>0</v>
      </c>
      <c r="I221" s="72">
        <f t="shared" si="10"/>
        <v>0</v>
      </c>
      <c r="J221" s="72">
        <f>G221*Supuestos!$C$20</f>
        <v>0</v>
      </c>
      <c r="K221" s="72">
        <f>(I221+J221)*(1/Supuestos!$C$20)</f>
        <v>0</v>
      </c>
    </row>
    <row r="222" spans="3:11" x14ac:dyDescent="0.25">
      <c r="C222" s="5" t="str">
        <f>'Informacion del AEP'!$C$149</f>
        <v>Provisiones</v>
      </c>
      <c r="D222" s="70">
        <f>INDEX('Informacion del AEP'!$D$138:$AE$158,MATCH('Costos aguas abajo'!$C222,'Informacion del AEP'!$C$138:$C$158,0),MATCH('Costos aguas abajo'!$C$210,'Informacion del AEP'!$D$137:$AE$137,0))</f>
        <v>16666666.6666667</v>
      </c>
      <c r="F222" s="72">
        <f>D222*Supuestos!$C$36</f>
        <v>0</v>
      </c>
      <c r="G222" s="72">
        <f>D222*(1-Supuestos!$C$36)</f>
        <v>16666666.6666667</v>
      </c>
      <c r="I222" s="72">
        <f t="shared" si="10"/>
        <v>0</v>
      </c>
      <c r="J222" s="72">
        <f>G222*Supuestos!$C$20</f>
        <v>1863389.9812498284</v>
      </c>
      <c r="K222" s="72">
        <f>(I222+J222)*(1/Supuestos!$C$20)</f>
        <v>16666666.6666667</v>
      </c>
    </row>
    <row r="223" spans="3:11" x14ac:dyDescent="0.25">
      <c r="C223" s="5" t="str">
        <f>'Informacion del AEP'!$C$150</f>
        <v>Costos directos de la venta de terminales</v>
      </c>
      <c r="D223" s="70">
        <f>INDEX('Informacion del AEP'!$D$138:$AE$158,MATCH('Costos aguas abajo'!$C223,'Informacion del AEP'!$C$138:$C$158,0),MATCH('Costos aguas abajo'!$C$210,'Informacion del AEP'!$D$137:$AE$137,0))</f>
        <v>1000000006</v>
      </c>
      <c r="F223" s="72">
        <f>D223*Supuestos!$C$37</f>
        <v>0</v>
      </c>
      <c r="G223" s="72">
        <f>D223*(1-Supuestos!$C$37)</f>
        <v>1000000006</v>
      </c>
      <c r="I223" s="72">
        <f t="shared" si="10"/>
        <v>0</v>
      </c>
      <c r="J223" s="72">
        <f>G223*Supuestos!$C$20</f>
        <v>111803399.54580988</v>
      </c>
      <c r="K223" s="72">
        <f>(I223+J223)*(1/Supuestos!$C$20)</f>
        <v>1000000006.0000001</v>
      </c>
    </row>
    <row r="224" spans="3:11" x14ac:dyDescent="0.25">
      <c r="C224" s="5" t="str">
        <f>'Informacion del AEP'!$C$151</f>
        <v>Servicios generales y de gestión - minoristas</v>
      </c>
      <c r="D224" s="70">
        <f>INDEX('Informacion del AEP'!$D$138:$AE$158,MATCH('Costos aguas abajo'!$C224,'Informacion del AEP'!$C$138:$C$158,0),MATCH('Costos aguas abajo'!$C$210,'Informacion del AEP'!$D$137:$AE$137,0))</f>
        <v>200000006</v>
      </c>
      <c r="F224" s="72">
        <f>D224*Supuestos!$C$38</f>
        <v>10000000.300000001</v>
      </c>
      <c r="G224" s="72">
        <f>D224*(1-Supuestos!$C$38)</f>
        <v>190000005.69999999</v>
      </c>
      <c r="I224" s="72">
        <f t="shared" si="10"/>
        <v>10000000.300000001</v>
      </c>
      <c r="J224" s="72">
        <f>G224*Supuestos!$C$20</f>
        <v>21242646.423527375</v>
      </c>
      <c r="K224" s="72">
        <f>(I224+J224)*(1/Supuestos!$C$20)</f>
        <v>279442727.48327315</v>
      </c>
    </row>
    <row r="225" spans="3:11" x14ac:dyDescent="0.25">
      <c r="C225" s="5" t="str">
        <f>'Informacion del AEP'!$C$152</f>
        <v>Servicios generales y de gestión - red</v>
      </c>
      <c r="D225" s="70">
        <f>INDEX('Informacion del AEP'!$D$138:$AE$158,MATCH('Costos aguas abajo'!$C225,'Informacion del AEP'!$C$138:$C$158,0),MATCH('Costos aguas abajo'!$C$210,'Informacion del AEP'!$D$137:$AE$137,0))</f>
        <v>0</v>
      </c>
      <c r="F225" s="72">
        <f>D225*Supuestos!$C$39</f>
        <v>0</v>
      </c>
      <c r="G225" s="72">
        <f>D225*(1-Supuestos!$C$30)</f>
        <v>0</v>
      </c>
      <c r="I225" s="72">
        <f t="shared" si="10"/>
        <v>0</v>
      </c>
      <c r="J225" s="72">
        <f>G225*Supuestos!$C$20</f>
        <v>0</v>
      </c>
      <c r="K225" s="72">
        <f>(I225+J225)*(1/Supuestos!$C$20)</f>
        <v>0</v>
      </c>
    </row>
    <row r="226" spans="3:11" x14ac:dyDescent="0.25">
      <c r="C226" s="5" t="str">
        <f>'Informacion del AEP'!$C$153</f>
        <v xml:space="preserve">Servicios generales y de gestión - negocio </v>
      </c>
      <c r="D226" s="70">
        <f>INDEX('Informacion del AEP'!$D$138:$AE$158,MATCH('Costos aguas abajo'!$C226,'Informacion del AEP'!$C$138:$C$158,0),MATCH('Costos aguas abajo'!$C$210,'Informacion del AEP'!$D$137:$AE$137,0))</f>
        <v>50000006</v>
      </c>
      <c r="F226" s="72">
        <f>D226*Supuestos!$C$40</f>
        <v>5000000.6000000006</v>
      </c>
      <c r="G226" s="72">
        <f>D226*(1-Supuestos!$C$40)</f>
        <v>45000005.399999999</v>
      </c>
      <c r="I226" s="72">
        <f t="shared" si="10"/>
        <v>5000000.6000000006</v>
      </c>
      <c r="J226" s="72">
        <f>G226*Supuestos!$C$20</f>
        <v>5031153.5531128803</v>
      </c>
      <c r="K226" s="72">
        <f>(I226+J226)*(1/Supuestos!$C$20)</f>
        <v>89721370.316558942</v>
      </c>
    </row>
    <row r="227" spans="3:11" ht="13" x14ac:dyDescent="0.3">
      <c r="C227" s="64" t="s">
        <v>109</v>
      </c>
      <c r="D227" s="218">
        <f>SUM(D228:D231)</f>
        <v>0</v>
      </c>
      <c r="F227" s="218">
        <f>SUM(F228:F231)</f>
        <v>0</v>
      </c>
      <c r="G227" s="218">
        <f>SUM(G228:G231)</f>
        <v>0</v>
      </c>
      <c r="I227" s="218">
        <f>SUM(I228:I231)</f>
        <v>0</v>
      </c>
      <c r="J227" s="218">
        <f>SUM(J228:J231)</f>
        <v>0</v>
      </c>
      <c r="K227" s="218">
        <f>SUM(K228:K231)</f>
        <v>0</v>
      </c>
    </row>
    <row r="228" spans="3:11" x14ac:dyDescent="0.25">
      <c r="C228" s="5" t="str">
        <f>'Informacion del AEP'!$C$154</f>
        <v>Costo del Capital:Servicios generales y de gestión - minoristas</v>
      </c>
      <c r="D228" s="70">
        <f>INDEX('Informacion del AEP'!$D$138:$AE$158,MATCH('Costos aguas abajo'!$C228,'Informacion del AEP'!$C$138:$C$158,0),MATCH('Costos aguas abajo'!$C$210,'Informacion del AEP'!$D$137:$AE$137,0))</f>
        <v>0</v>
      </c>
      <c r="F228" s="72">
        <f>D228*Supuestos!$C$41</f>
        <v>0</v>
      </c>
      <c r="G228" s="72">
        <f>D228*(1-Supuestos!$C$41)</f>
        <v>0</v>
      </c>
      <c r="I228" s="72">
        <f t="shared" ref="I228" si="11">+F228</f>
        <v>0</v>
      </c>
      <c r="J228" s="72">
        <f>G228*Supuestos!$C$20</f>
        <v>0</v>
      </c>
      <c r="K228" s="72">
        <f>(I228+J228)*(1/Supuestos!$C$20)</f>
        <v>0</v>
      </c>
    </row>
    <row r="229" spans="3:11" x14ac:dyDescent="0.25">
      <c r="C229" s="5" t="str">
        <f>'Informacion del AEP'!$C$155</f>
        <v>Costo del Capital:Servicios generales y de gestión - red</v>
      </c>
      <c r="D229" s="70">
        <f>INDEX('Informacion del AEP'!$D$138:$AE$158,MATCH('Costos aguas abajo'!$C229,'Informacion del AEP'!$C$138:$C$158,0),MATCH('Costos aguas abajo'!$C$210,'Informacion del AEP'!$D$137:$AE$137,0))</f>
        <v>0</v>
      </c>
      <c r="F229" s="72">
        <f>D229*Supuestos!$C$42</f>
        <v>0</v>
      </c>
      <c r="G229" s="72">
        <f>D229*(1-Supuestos!$C$42)</f>
        <v>0</v>
      </c>
      <c r="I229" s="72">
        <f>+F229</f>
        <v>0</v>
      </c>
      <c r="J229" s="72">
        <f>G229*Supuestos!$C$20</f>
        <v>0</v>
      </c>
      <c r="K229" s="72">
        <f>(I229+J229)*(1/Supuestos!$C$20)</f>
        <v>0</v>
      </c>
    </row>
    <row r="230" spans="3:11" x14ac:dyDescent="0.25">
      <c r="C230" s="5" t="str">
        <f>'Informacion del AEP'!$C$156</f>
        <v xml:space="preserve">Costo del Capital:Servicios generales y de gestión - negocio </v>
      </c>
      <c r="D230" s="70">
        <f>INDEX('Informacion del AEP'!$D$138:$AE$158,MATCH('Costos aguas abajo'!$C230,'Informacion del AEP'!$C$138:$C$158,0),MATCH('Costos aguas abajo'!$C$210,'Informacion del AEP'!$D$137:$AE$137,0))</f>
        <v>0</v>
      </c>
      <c r="F230" s="72">
        <f>D230*Supuestos!$C$43</f>
        <v>0</v>
      </c>
      <c r="G230" s="72">
        <f>D230*(1-Supuestos!$C$43)</f>
        <v>0</v>
      </c>
      <c r="I230" s="72">
        <f>+F230</f>
        <v>0</v>
      </c>
      <c r="J230" s="72">
        <f>G230*Supuestos!$C$20</f>
        <v>0</v>
      </c>
      <c r="K230" s="72">
        <f>(I230+J230)*(1/Supuestos!$C$20)</f>
        <v>0</v>
      </c>
    </row>
    <row r="231" spans="3:11" x14ac:dyDescent="0.25">
      <c r="C231" s="5" t="str">
        <f>'Informacion del AEP'!$C$157</f>
        <v>Costo del Capital:Equipos terminales</v>
      </c>
      <c r="D231" s="70">
        <f>INDEX('Informacion del AEP'!$D$138:$AE$158,MATCH('Costos aguas abajo'!$C231,'Informacion del AEP'!$C$138:$C$158,0),MATCH('Costos aguas abajo'!$C$210,'Informacion del AEP'!$D$137:$AE$137,0))</f>
        <v>0</v>
      </c>
      <c r="F231" s="72">
        <f>D231*Supuestos!$C$44</f>
        <v>0</v>
      </c>
      <c r="G231" s="72">
        <f>D231*(1-Supuestos!$C$44)</f>
        <v>0</v>
      </c>
      <c r="I231" s="72">
        <f>+F231</f>
        <v>0</v>
      </c>
      <c r="J231" s="72">
        <f>G231*Supuestos!$C$20</f>
        <v>0</v>
      </c>
      <c r="K231" s="72">
        <f>(I231+J231)*(1/Supuestos!$C$20)</f>
        <v>0</v>
      </c>
    </row>
    <row r="233" spans="3:11" ht="13" x14ac:dyDescent="0.3">
      <c r="C233" s="73" t="s">
        <v>42</v>
      </c>
      <c r="D233" s="38" t="str">
        <f>IF(D210='Informacion del AEP'!N158,"Ok","Error")</f>
        <v>Ok</v>
      </c>
      <c r="I233" s="38" t="str">
        <f>IF(I210=F210,"Ok","Error")</f>
        <v>Ok</v>
      </c>
    </row>
    <row r="235" spans="3:11" ht="13" x14ac:dyDescent="0.3">
      <c r="C235" s="74" t="str">
        <f>Supuestos!B94</f>
        <v>Portabilidad 1</v>
      </c>
      <c r="D235" s="75">
        <f>SUM(D236:D252)</f>
        <v>1627433396.3333335</v>
      </c>
      <c r="E235" s="76"/>
      <c r="F235" s="75">
        <f>SUM(F236:F252)</f>
        <v>45365002.800000004</v>
      </c>
      <c r="G235" s="75">
        <f>SUM(G236:G252)</f>
        <v>1582068393.5333335</v>
      </c>
      <c r="H235" s="76"/>
      <c r="I235" s="75">
        <f>SUM(I236:I252)</f>
        <v>45365002.800000004</v>
      </c>
      <c r="J235" s="75">
        <f>SUM(J236:J252)</f>
        <v>176880623.64972112</v>
      </c>
      <c r="K235" s="75">
        <f>SUM(K236:K252)</f>
        <v>1987825313.7744067</v>
      </c>
    </row>
    <row r="236" spans="3:11" x14ac:dyDescent="0.25">
      <c r="C236" s="5" t="str">
        <f>'Informacion del AEP'!$C$138</f>
        <v>Acceso a Internet</v>
      </c>
      <c r="D236" s="70">
        <f>INDEX('Informacion del AEP'!$D$138:$AE$158,MATCH('Costos aguas abajo'!$C236,'Informacion del AEP'!$C$138:$C$158,0),MATCH('Costos aguas abajo'!$C$235,'Informacion del AEP'!$D$137:$AE$137,0))</f>
        <v>0</v>
      </c>
      <c r="F236" s="72">
        <f>D236*Supuestos!$C$25</f>
        <v>0</v>
      </c>
      <c r="G236" s="72">
        <f>D236*(1-Supuestos!$C$25)</f>
        <v>0</v>
      </c>
      <c r="I236" s="72">
        <f>+F236</f>
        <v>0</v>
      </c>
      <c r="J236" s="72">
        <f>G236*Supuestos!$C$20</f>
        <v>0</v>
      </c>
      <c r="K236" s="72">
        <f>(I236+J236)*(1/Supuestos!$C$20)</f>
        <v>0</v>
      </c>
    </row>
    <row r="237" spans="3:11" x14ac:dyDescent="0.25">
      <c r="C237" s="5" t="str">
        <f>'Informacion del AEP'!$C$139</f>
        <v>Servicios OTT de vídeo</v>
      </c>
      <c r="D237" s="70">
        <f>INDEX('Informacion del AEP'!$D$138:$AE$158,MATCH('Costos aguas abajo'!$C237,'Informacion del AEP'!$C$138:$C$158,0),MATCH('Costos aguas abajo'!$C$235,'Informacion del AEP'!$D$137:$AE$137,0))</f>
        <v>26666667.666666701</v>
      </c>
      <c r="F237" s="72">
        <f>D237*Supuestos!$C$26</f>
        <v>0</v>
      </c>
      <c r="G237" s="72">
        <f>D237*(1-Supuestos!$C$26)</f>
        <v>26666667.666666701</v>
      </c>
      <c r="I237" s="72">
        <f>+F237</f>
        <v>0</v>
      </c>
      <c r="J237" s="72">
        <f>G237*Supuestos!$C$20</f>
        <v>2981424.0818031221</v>
      </c>
      <c r="K237" s="72">
        <f>(I237+J237)*(1/Supuestos!$C$20)</f>
        <v>26666667.666666701</v>
      </c>
    </row>
    <row r="238" spans="3:11" x14ac:dyDescent="0.25">
      <c r="C238" s="5" t="str">
        <f>'Informacion del AEP'!$C$140</f>
        <v>Servicios OTT de audio</v>
      </c>
      <c r="D238" s="70">
        <f>INDEX('Informacion del AEP'!$D$138:$AE$158,MATCH('Costos aguas abajo'!$C238,'Informacion del AEP'!$C$138:$C$158,0),MATCH('Costos aguas abajo'!$C$235,'Informacion del AEP'!$D$137:$AE$137,0))</f>
        <v>0</v>
      </c>
      <c r="F238" s="72">
        <f>D238*Supuestos!$C$27</f>
        <v>0</v>
      </c>
      <c r="G238" s="72">
        <f>D238*(1-Supuestos!$C$27)</f>
        <v>0</v>
      </c>
      <c r="I238" s="72">
        <f t="shared" ref="I238:I251" si="12">+F238</f>
        <v>0</v>
      </c>
      <c r="J238" s="72">
        <f>G238*Supuestos!$C$20</f>
        <v>0</v>
      </c>
      <c r="K238" s="72">
        <f>(I238+J238)*(1/Supuestos!$C$20)</f>
        <v>0</v>
      </c>
    </row>
    <row r="239" spans="3:11" x14ac:dyDescent="0.25">
      <c r="C239" s="5" t="str">
        <f>'Informacion del AEP'!$C$141</f>
        <v>Comerciales</v>
      </c>
      <c r="D239" s="70">
        <f>INDEX('Informacion del AEP'!$D$138:$AE$158,MATCH('Costos aguas abajo'!$C239,'Informacion del AEP'!$C$138:$C$158,0),MATCH('Costos aguas abajo'!$C$235,'Informacion del AEP'!$D$137:$AE$137,0))</f>
        <v>300000007</v>
      </c>
      <c r="F239" s="72">
        <f>D239*Supuestos!$C$28</f>
        <v>30000000.700000003</v>
      </c>
      <c r="G239" s="72">
        <f>D239*(1-Supuestos!$C$28)</f>
        <v>270000006.30000001</v>
      </c>
      <c r="I239" s="72">
        <f t="shared" si="12"/>
        <v>30000000.700000003</v>
      </c>
      <c r="J239" s="72">
        <f>G239*Supuestos!$C$20</f>
        <v>30186918.400608573</v>
      </c>
      <c r="K239" s="72">
        <f>(I239+J239)*(1/Supuestos!$C$20)</f>
        <v>538328169.86096513</v>
      </c>
    </row>
    <row r="240" spans="3:11" x14ac:dyDescent="0.25">
      <c r="C240" s="5" t="str">
        <f>'Informacion del AEP'!$C$142</f>
        <v>Facturación</v>
      </c>
      <c r="D240" s="70">
        <f>INDEX('Informacion del AEP'!$D$138:$AE$158,MATCH('Costos aguas abajo'!$C240,'Informacion del AEP'!$C$138:$C$158,0),MATCH('Costos aguas abajo'!$C$235,'Informacion del AEP'!$D$137:$AE$137,0))</f>
        <v>300007</v>
      </c>
      <c r="F240" s="72">
        <f>D240*Supuestos!$C$29</f>
        <v>15000.35</v>
      </c>
      <c r="G240" s="72">
        <f>D240*(1-Supuestos!$C$29)</f>
        <v>285006.64999999997</v>
      </c>
      <c r="I240" s="72">
        <f t="shared" si="12"/>
        <v>15000.35</v>
      </c>
      <c r="J240" s="72">
        <f>G240*Supuestos!$C$20</f>
        <v>31864.712171974516</v>
      </c>
      <c r="K240" s="72">
        <f>(I240+J240)*(1/Supuestos!$C$20)</f>
        <v>419173.85914515588</v>
      </c>
    </row>
    <row r="241" spans="3:11" x14ac:dyDescent="0.25">
      <c r="C241" s="5" t="str">
        <f>'Informacion del AEP'!$C$143</f>
        <v>Cobranza</v>
      </c>
      <c r="D241" s="70">
        <f>INDEX('Informacion del AEP'!$D$138:$AE$158,MATCH('Costos aguas abajo'!$C241,'Informacion del AEP'!$C$138:$C$158,0),MATCH('Costos aguas abajo'!$C$235,'Informacion del AEP'!$D$137:$AE$137,0))</f>
        <v>11666667.6666667</v>
      </c>
      <c r="F241" s="72">
        <f>D241*Supuestos!$C$30</f>
        <v>0</v>
      </c>
      <c r="G241" s="72">
        <f>D241*(1-Supuestos!$C$30)</f>
        <v>11666667.6666667</v>
      </c>
      <c r="I241" s="72">
        <f t="shared" si="12"/>
        <v>0</v>
      </c>
      <c r="J241" s="72">
        <f>G241*Supuestos!$C$20</f>
        <v>1304373.0986782799</v>
      </c>
      <c r="K241" s="72">
        <f>(I241+J241)*(1/Supuestos!$C$20)</f>
        <v>11666667.6666667</v>
      </c>
    </row>
    <row r="242" spans="3:11" x14ac:dyDescent="0.25">
      <c r="C242" s="5" t="str">
        <f>'Informacion del AEP'!$C$144</f>
        <v>Tasas e impuestos</v>
      </c>
      <c r="D242" s="70">
        <f>INDEX('Informacion del AEP'!$D$138:$AE$158,MATCH('Costos aguas abajo'!$C242,'Informacion del AEP'!$C$138:$C$158,0),MATCH('Costos aguas abajo'!$C$235,'Informacion del AEP'!$D$137:$AE$137,0))</f>
        <v>3500007</v>
      </c>
      <c r="F242" s="72">
        <f>D242*Supuestos!$C$31</f>
        <v>350000.7</v>
      </c>
      <c r="G242" s="72">
        <f>D242*(1-Supuestos!$C$31)</f>
        <v>3150006.3000000003</v>
      </c>
      <c r="I242" s="72">
        <f t="shared" si="12"/>
        <v>350000.7</v>
      </c>
      <c r="J242" s="72">
        <f>G242*Supuestos!$C$20</f>
        <v>352181.41081762983</v>
      </c>
      <c r="K242" s="72">
        <f>(I242+J242)*(1/Supuestos!$C$20)</f>
        <v>6280507.7294900436</v>
      </c>
    </row>
    <row r="243" spans="3:11" x14ac:dyDescent="0.25">
      <c r="C243" s="5" t="str">
        <f>'Informacion del AEP'!$C$145</f>
        <v>Programas de fidelización</v>
      </c>
      <c r="D243" s="70">
        <f>INDEX('Informacion del AEP'!$D$138:$AE$158,MATCH('Costos aguas abajo'!$C243,'Informacion del AEP'!$C$138:$C$158,0),MATCH('Costos aguas abajo'!$C$235,'Informacion del AEP'!$D$137:$AE$137,0))</f>
        <v>13333337.3333333</v>
      </c>
      <c r="F243" s="72">
        <f>D243*Supuestos!$C$32</f>
        <v>0</v>
      </c>
      <c r="G243" s="72">
        <f>D243*(1-Supuestos!$C$32)</f>
        <v>13333337.3333333</v>
      </c>
      <c r="I243" s="72">
        <f t="shared" si="12"/>
        <v>0</v>
      </c>
      <c r="J243" s="72">
        <f>G243*Supuestos!$C$20</f>
        <v>1490712.4322134515</v>
      </c>
      <c r="K243" s="72">
        <f>(I243+J243)*(1/Supuestos!$C$20)</f>
        <v>13333337.3333333</v>
      </c>
    </row>
    <row r="244" spans="3:11" x14ac:dyDescent="0.25">
      <c r="C244" s="5" t="str">
        <f>'Informacion del AEP'!$C$146</f>
        <v>Acceso internet internacional</v>
      </c>
      <c r="D244" s="70">
        <f>INDEX('Informacion del AEP'!$D$138:$AE$158,MATCH('Costos aguas abajo'!$C244,'Informacion del AEP'!$C$138:$C$158,0),MATCH('Costos aguas abajo'!$C$235,'Informacion del AEP'!$D$137:$AE$137,0))</f>
        <v>3800007</v>
      </c>
      <c r="F244" s="72">
        <f>D244*Supuestos!$C$33</f>
        <v>0</v>
      </c>
      <c r="G244" s="72">
        <f>D244*(1-Supuestos!$C$33)</f>
        <v>3800007</v>
      </c>
      <c r="I244" s="72">
        <f t="shared" si="12"/>
        <v>0</v>
      </c>
      <c r="J244" s="72">
        <f>G244*Supuestos!$C$20</f>
        <v>424853.69834875216</v>
      </c>
      <c r="K244" s="72">
        <f>(I244+J244)*(1/Supuestos!$C$20)</f>
        <v>3800007</v>
      </c>
    </row>
    <row r="245" spans="3:11" x14ac:dyDescent="0.25">
      <c r="C245" s="5" t="str">
        <f>'Informacion del AEP'!$C$147</f>
        <v>Roaming nacional</v>
      </c>
      <c r="D245" s="70">
        <f>INDEX('Informacion del AEP'!$D$138:$AE$158,MATCH('Costos aguas abajo'!$C245,'Informacion del AEP'!$C$138:$C$158,0),MATCH('Costos aguas abajo'!$C$235,'Informacion del AEP'!$D$137:$AE$137,0))</f>
        <v>1500007</v>
      </c>
      <c r="F245" s="72">
        <f>D245*Supuestos!$C$34</f>
        <v>0</v>
      </c>
      <c r="G245" s="72">
        <f>D245*(1-Supuestos!$C$34)</f>
        <v>1500007</v>
      </c>
      <c r="I245" s="72">
        <f t="shared" si="12"/>
        <v>0</v>
      </c>
      <c r="J245" s="72">
        <f>G245*Supuestos!$C$20</f>
        <v>167705.88093627634</v>
      </c>
      <c r="K245" s="72">
        <f>(I245+J245)*(1/Supuestos!$C$20)</f>
        <v>1500007</v>
      </c>
    </row>
    <row r="246" spans="3:11" x14ac:dyDescent="0.25">
      <c r="C246" s="5" t="str">
        <f>'Informacion del AEP'!$C$148</f>
        <v>Roaming internacional</v>
      </c>
      <c r="D246" s="70">
        <f>INDEX('Informacion del AEP'!$D$138:$AE$158,MATCH('Costos aguas abajo'!$C246,'Informacion del AEP'!$C$138:$C$158,0),MATCH('Costos aguas abajo'!$C$235,'Informacion del AEP'!$D$137:$AE$137,0))</f>
        <v>0</v>
      </c>
      <c r="F246" s="72">
        <f>D246*Supuestos!$C$35</f>
        <v>0</v>
      </c>
      <c r="G246" s="72">
        <f>D246*(1-Supuestos!$C$35)</f>
        <v>0</v>
      </c>
      <c r="I246" s="72">
        <f t="shared" si="12"/>
        <v>0</v>
      </c>
      <c r="J246" s="72">
        <f>G246*Supuestos!$C$20</f>
        <v>0</v>
      </c>
      <c r="K246" s="72">
        <f>(I246+J246)*(1/Supuestos!$C$20)</f>
        <v>0</v>
      </c>
    </row>
    <row r="247" spans="3:11" x14ac:dyDescent="0.25">
      <c r="C247" s="5" t="str">
        <f>'Informacion del AEP'!$C$149</f>
        <v>Provisiones</v>
      </c>
      <c r="D247" s="70">
        <f>INDEX('Informacion del AEP'!$D$138:$AE$158,MATCH('Costos aguas abajo'!$C247,'Informacion del AEP'!$C$138:$C$158,0),MATCH('Costos aguas abajo'!$C$235,'Informacion del AEP'!$D$137:$AE$137,0))</f>
        <v>16666667.6666667</v>
      </c>
      <c r="F247" s="72">
        <f>D247*Supuestos!$C$36</f>
        <v>0</v>
      </c>
      <c r="G247" s="72">
        <f>D247*(1-Supuestos!$C$36)</f>
        <v>16666667.6666667</v>
      </c>
      <c r="I247" s="72">
        <f t="shared" si="12"/>
        <v>0</v>
      </c>
      <c r="J247" s="72">
        <f>G247*Supuestos!$C$20</f>
        <v>1863390.0930532273</v>
      </c>
      <c r="K247" s="72">
        <f>(I247+J247)*(1/Supuestos!$C$20)</f>
        <v>16666667.6666667</v>
      </c>
    </row>
    <row r="248" spans="3:11" x14ac:dyDescent="0.25">
      <c r="C248" s="5" t="str">
        <f>'Informacion del AEP'!$C$150</f>
        <v>Costos directos de la venta de terminales</v>
      </c>
      <c r="D248" s="70">
        <f>INDEX('Informacion del AEP'!$D$138:$AE$158,MATCH('Costos aguas abajo'!$C248,'Informacion del AEP'!$C$138:$C$158,0),MATCH('Costos aguas abajo'!$C$235,'Informacion del AEP'!$D$137:$AE$137,0))</f>
        <v>1000000007</v>
      </c>
      <c r="F248" s="72">
        <f>D248*Supuestos!$C$37</f>
        <v>0</v>
      </c>
      <c r="G248" s="72">
        <f>D248*(1-Supuestos!$C$37)</f>
        <v>1000000007</v>
      </c>
      <c r="I248" s="72">
        <f t="shared" si="12"/>
        <v>0</v>
      </c>
      <c r="J248" s="72">
        <f>G248*Supuestos!$C$20</f>
        <v>111803399.65761328</v>
      </c>
      <c r="K248" s="72">
        <f>(I248+J248)*(1/Supuestos!$C$20)</f>
        <v>1000000007</v>
      </c>
    </row>
    <row r="249" spans="3:11" x14ac:dyDescent="0.25">
      <c r="C249" s="5" t="str">
        <f>'Informacion del AEP'!$C$151</f>
        <v>Servicios generales y de gestión - minoristas</v>
      </c>
      <c r="D249" s="70">
        <f>INDEX('Informacion del AEP'!$D$138:$AE$158,MATCH('Costos aguas abajo'!$C249,'Informacion del AEP'!$C$138:$C$158,0),MATCH('Costos aguas abajo'!$C$235,'Informacion del AEP'!$D$137:$AE$137,0))</f>
        <v>200000007</v>
      </c>
      <c r="F249" s="72">
        <f>D249*Supuestos!$C$38</f>
        <v>10000000.35</v>
      </c>
      <c r="G249" s="72">
        <f>D249*(1-Supuestos!$C$38)</f>
        <v>190000006.65000001</v>
      </c>
      <c r="I249" s="72">
        <f t="shared" si="12"/>
        <v>10000000.35</v>
      </c>
      <c r="J249" s="72">
        <f>G249*Supuestos!$C$20</f>
        <v>21242646.529740606</v>
      </c>
      <c r="K249" s="72">
        <f>(I249+J249)*(1/Supuestos!$C$20)</f>
        <v>279442728.88048679</v>
      </c>
    </row>
    <row r="250" spans="3:11" x14ac:dyDescent="0.25">
      <c r="C250" s="5" t="str">
        <f>'Informacion del AEP'!$C$152</f>
        <v>Servicios generales y de gestión - red</v>
      </c>
      <c r="D250" s="70">
        <f>INDEX('Informacion del AEP'!$D$138:$AE$158,MATCH('Costos aguas abajo'!$C250,'Informacion del AEP'!$C$138:$C$158,0),MATCH('Costos aguas abajo'!$C$235,'Informacion del AEP'!$D$137:$AE$137,0))</f>
        <v>0</v>
      </c>
      <c r="F250" s="72">
        <f>D250*Supuestos!$C$39</f>
        <v>0</v>
      </c>
      <c r="G250" s="72">
        <f>D250*(1-Supuestos!$C$30)</f>
        <v>0</v>
      </c>
      <c r="I250" s="72">
        <f t="shared" si="12"/>
        <v>0</v>
      </c>
      <c r="J250" s="72">
        <f>G250*Supuestos!$C$20</f>
        <v>0</v>
      </c>
      <c r="K250" s="72">
        <f>(I250+J250)*(1/Supuestos!$C$20)</f>
        <v>0</v>
      </c>
    </row>
    <row r="251" spans="3:11" x14ac:dyDescent="0.25">
      <c r="C251" s="5" t="str">
        <f>'Informacion del AEP'!$C$153</f>
        <v xml:space="preserve">Servicios generales y de gestión - negocio </v>
      </c>
      <c r="D251" s="70">
        <f>INDEX('Informacion del AEP'!$D$138:$AE$158,MATCH('Costos aguas abajo'!$C251,'Informacion del AEP'!$C$138:$C$158,0),MATCH('Costos aguas abajo'!$C$235,'Informacion del AEP'!$D$137:$AE$137,0))</f>
        <v>50000007</v>
      </c>
      <c r="F251" s="72">
        <f>D251*Supuestos!$C$40</f>
        <v>5000000.7</v>
      </c>
      <c r="G251" s="72">
        <f>D251*(1-Supuestos!$C$40)</f>
        <v>45000006.300000004</v>
      </c>
      <c r="I251" s="72">
        <f t="shared" si="12"/>
        <v>5000000.7</v>
      </c>
      <c r="J251" s="72">
        <f>G251*Supuestos!$C$20</f>
        <v>5031153.6537359403</v>
      </c>
      <c r="K251" s="72">
        <f>(I251+J251)*(1/Supuestos!$C$20)</f>
        <v>89721372.110986143</v>
      </c>
    </row>
    <row r="252" spans="3:11" ht="13" x14ac:dyDescent="0.3">
      <c r="C252" s="64" t="s">
        <v>109</v>
      </c>
      <c r="D252" s="218">
        <f>SUM(D253:D256)</f>
        <v>0</v>
      </c>
      <c r="F252" s="218">
        <f>SUM(F253:F256)</f>
        <v>0</v>
      </c>
      <c r="G252" s="218">
        <f>SUM(G253:G256)</f>
        <v>0</v>
      </c>
      <c r="I252" s="218">
        <f>SUM(I253:I256)</f>
        <v>0</v>
      </c>
      <c r="J252" s="218">
        <f>SUM(J253:J256)</f>
        <v>0</v>
      </c>
      <c r="K252" s="218">
        <f>SUM(K253:K256)</f>
        <v>0</v>
      </c>
    </row>
    <row r="253" spans="3:11" x14ac:dyDescent="0.25">
      <c r="C253" s="5" t="str">
        <f>'Informacion del AEP'!$C$154</f>
        <v>Costo del Capital:Servicios generales y de gestión - minoristas</v>
      </c>
      <c r="D253" s="70">
        <f>INDEX('Informacion del AEP'!$D$138:$AE$158,MATCH('Costos aguas abajo'!$C253,'Informacion del AEP'!$C$138:$C$158,0),MATCH('Costos aguas abajo'!$C$235,'Informacion del AEP'!$D$137:$AE$137,0))</f>
        <v>0</v>
      </c>
      <c r="F253" s="72">
        <f>D253*Supuestos!$C$41</f>
        <v>0</v>
      </c>
      <c r="G253" s="72">
        <f>D253*(1-Supuestos!$C$41)</f>
        <v>0</v>
      </c>
      <c r="I253" s="72">
        <f t="shared" ref="I253" si="13">+F253</f>
        <v>0</v>
      </c>
      <c r="J253" s="72">
        <f>G253*Supuestos!$C$20</f>
        <v>0</v>
      </c>
      <c r="K253" s="72">
        <f>(I253+J253)*(1/Supuestos!$C$20)</f>
        <v>0</v>
      </c>
    </row>
    <row r="254" spans="3:11" x14ac:dyDescent="0.25">
      <c r="C254" s="5" t="str">
        <f>'Informacion del AEP'!$C$155</f>
        <v>Costo del Capital:Servicios generales y de gestión - red</v>
      </c>
      <c r="D254" s="70">
        <f>INDEX('Informacion del AEP'!$D$138:$AE$158,MATCH('Costos aguas abajo'!$C254,'Informacion del AEP'!$C$138:$C$158,0),MATCH('Costos aguas abajo'!$C$235,'Informacion del AEP'!$D$137:$AE$137,0))</f>
        <v>0</v>
      </c>
      <c r="F254" s="72">
        <f>D254*Supuestos!$C$42</f>
        <v>0</v>
      </c>
      <c r="G254" s="72">
        <f>D254*(1-Supuestos!$C$42)</f>
        <v>0</v>
      </c>
      <c r="I254" s="72">
        <f>+F254</f>
        <v>0</v>
      </c>
      <c r="J254" s="72">
        <f>G254*Supuestos!$C$20</f>
        <v>0</v>
      </c>
      <c r="K254" s="72">
        <f>(I254+J254)*(1/Supuestos!$C$20)</f>
        <v>0</v>
      </c>
    </row>
    <row r="255" spans="3:11" x14ac:dyDescent="0.25">
      <c r="C255" s="5" t="str">
        <f>'Informacion del AEP'!$C$156</f>
        <v xml:space="preserve">Costo del Capital:Servicios generales y de gestión - negocio </v>
      </c>
      <c r="D255" s="70">
        <f>INDEX('Informacion del AEP'!$D$138:$AE$158,MATCH('Costos aguas abajo'!$C255,'Informacion del AEP'!$C$138:$C$158,0),MATCH('Costos aguas abajo'!$C$235,'Informacion del AEP'!$D$137:$AE$137,0))</f>
        <v>0</v>
      </c>
      <c r="F255" s="72">
        <f>D255*Supuestos!$C$43</f>
        <v>0</v>
      </c>
      <c r="G255" s="72">
        <f>D255*(1-Supuestos!$C$43)</f>
        <v>0</v>
      </c>
      <c r="I255" s="72">
        <f>+F255</f>
        <v>0</v>
      </c>
      <c r="J255" s="72">
        <f>G255*Supuestos!$C$20</f>
        <v>0</v>
      </c>
      <c r="K255" s="72">
        <f>(I255+J255)*(1/Supuestos!$C$20)</f>
        <v>0</v>
      </c>
    </row>
    <row r="256" spans="3:11" x14ac:dyDescent="0.25">
      <c r="C256" s="5" t="str">
        <f>'Informacion del AEP'!$C$157</f>
        <v>Costo del Capital:Equipos terminales</v>
      </c>
      <c r="D256" s="70">
        <f>INDEX('Informacion del AEP'!$D$138:$AE$158,MATCH('Costos aguas abajo'!$C256,'Informacion del AEP'!$C$138:$C$158,0),MATCH('Costos aguas abajo'!$C$235,'Informacion del AEP'!$D$137:$AE$137,0))</f>
        <v>0</v>
      </c>
      <c r="F256" s="72">
        <f>D256*Supuestos!$C$44</f>
        <v>0</v>
      </c>
      <c r="G256" s="72">
        <f>D256*(1-Supuestos!$C$44)</f>
        <v>0</v>
      </c>
      <c r="I256" s="72">
        <f>+F256</f>
        <v>0</v>
      </c>
      <c r="J256" s="72">
        <f>G256*Supuestos!$C$20</f>
        <v>0</v>
      </c>
      <c r="K256" s="72">
        <f>(I256+J256)*(1/Supuestos!$C$20)</f>
        <v>0</v>
      </c>
    </row>
    <row r="258" spans="3:11" ht="13" x14ac:dyDescent="0.3">
      <c r="C258" s="73" t="s">
        <v>42</v>
      </c>
      <c r="D258" s="38" t="str">
        <f>IF(D235='Informacion del AEP'!O158,"Ok","Error")</f>
        <v>Ok</v>
      </c>
      <c r="I258" s="38" t="str">
        <f>IF(I235=F235,"Ok","Error")</f>
        <v>Ok</v>
      </c>
    </row>
    <row r="260" spans="3:11" ht="13" x14ac:dyDescent="0.3">
      <c r="C260" s="74" t="str">
        <f>Supuestos!B95</f>
        <v>Portabilidad 2</v>
      </c>
      <c r="D260" s="75">
        <f>SUM(D261:D277)</f>
        <v>1627433408.3333335</v>
      </c>
      <c r="E260" s="76"/>
      <c r="F260" s="75">
        <f>SUM(F261:F277)</f>
        <v>45365003.199999996</v>
      </c>
      <c r="G260" s="75">
        <f>SUM(G261:G277)</f>
        <v>1582068405.1333334</v>
      </c>
      <c r="H260" s="76"/>
      <c r="I260" s="75">
        <f>SUM(I261:I277)</f>
        <v>45365003.199999996</v>
      </c>
      <c r="J260" s="75">
        <f>SUM(J261:J277)</f>
        <v>176880624.94664055</v>
      </c>
      <c r="K260" s="75">
        <f>SUM(K261:K277)</f>
        <v>1987825328.9521155</v>
      </c>
    </row>
    <row r="261" spans="3:11" x14ac:dyDescent="0.25">
      <c r="C261" s="5" t="str">
        <f>'Informacion del AEP'!$C$138</f>
        <v>Acceso a Internet</v>
      </c>
      <c r="D261" s="70">
        <f>INDEX('Informacion del AEP'!$D$138:$AE$158,MATCH('Costos aguas abajo'!$C261,'Informacion del AEP'!$C$138:$C$158,0),MATCH('Costos aguas abajo'!$C$260,'Informacion del AEP'!$D$137:$AE$137,0))</f>
        <v>0</v>
      </c>
      <c r="F261" s="72">
        <f>D261*Supuestos!$C$25</f>
        <v>0</v>
      </c>
      <c r="G261" s="72">
        <f>D261*(1-Supuestos!$C$25)</f>
        <v>0</v>
      </c>
      <c r="I261" s="72">
        <f>+F261</f>
        <v>0</v>
      </c>
      <c r="J261" s="72">
        <f>G261*Supuestos!$C$20</f>
        <v>0</v>
      </c>
      <c r="K261" s="72">
        <f>(I261+J261)*(1/Supuestos!$C$20)</f>
        <v>0</v>
      </c>
    </row>
    <row r="262" spans="3:11" x14ac:dyDescent="0.25">
      <c r="C262" s="5" t="str">
        <f>'Informacion del AEP'!$C$139</f>
        <v>Servicios OTT de vídeo</v>
      </c>
      <c r="D262" s="70">
        <f>INDEX('Informacion del AEP'!$D$138:$AE$158,MATCH('Costos aguas abajo'!$C262,'Informacion del AEP'!$C$138:$C$158,0),MATCH('Costos aguas abajo'!$C$260,'Informacion del AEP'!$D$137:$AE$137,0))</f>
        <v>26666668.666666701</v>
      </c>
      <c r="F262" s="72">
        <f>D262*Supuestos!$C$26</f>
        <v>0</v>
      </c>
      <c r="G262" s="72">
        <f>D262*(1-Supuestos!$C$26)</f>
        <v>26666668.666666701</v>
      </c>
      <c r="I262" s="72">
        <f>+F262</f>
        <v>0</v>
      </c>
      <c r="J262" s="72">
        <f>G262*Supuestos!$C$20</f>
        <v>2981424.193606521</v>
      </c>
      <c r="K262" s="72">
        <f>(I262+J262)*(1/Supuestos!$C$20)</f>
        <v>26666668.666666701</v>
      </c>
    </row>
    <row r="263" spans="3:11" x14ac:dyDescent="0.25">
      <c r="C263" s="5" t="str">
        <f>'Informacion del AEP'!$C$140</f>
        <v>Servicios OTT de audio</v>
      </c>
      <c r="D263" s="70">
        <f>INDEX('Informacion del AEP'!$D$138:$AE$158,MATCH('Costos aguas abajo'!$C263,'Informacion del AEP'!$C$138:$C$158,0),MATCH('Costos aguas abajo'!$C$260,'Informacion del AEP'!$D$137:$AE$137,0))</f>
        <v>0</v>
      </c>
      <c r="F263" s="72">
        <f>D263*Supuestos!$C$27</f>
        <v>0</v>
      </c>
      <c r="G263" s="72">
        <f>D263*(1-Supuestos!$C$27)</f>
        <v>0</v>
      </c>
      <c r="I263" s="72">
        <f t="shared" ref="I263:I276" si="14">+F263</f>
        <v>0</v>
      </c>
      <c r="J263" s="72">
        <f>G263*Supuestos!$C$20</f>
        <v>0</v>
      </c>
      <c r="K263" s="72">
        <f>(I263+J263)*(1/Supuestos!$C$20)</f>
        <v>0</v>
      </c>
    </row>
    <row r="264" spans="3:11" x14ac:dyDescent="0.25">
      <c r="C264" s="5" t="str">
        <f>'Informacion del AEP'!$C$141</f>
        <v>Comerciales</v>
      </c>
      <c r="D264" s="70">
        <f>INDEX('Informacion del AEP'!$D$138:$AE$158,MATCH('Costos aguas abajo'!$C264,'Informacion del AEP'!$C$138:$C$158,0),MATCH('Costos aguas abajo'!$C$260,'Informacion del AEP'!$D$137:$AE$137,0))</f>
        <v>300000008</v>
      </c>
      <c r="F264" s="72">
        <f>D264*Supuestos!$C$28</f>
        <v>30000000.800000001</v>
      </c>
      <c r="G264" s="72">
        <f>D264*(1-Supuestos!$C$28)</f>
        <v>270000007.19999999</v>
      </c>
      <c r="I264" s="72">
        <f t="shared" si="14"/>
        <v>30000000.800000001</v>
      </c>
      <c r="J264" s="72">
        <f>G264*Supuestos!$C$20</f>
        <v>30186918.501231629</v>
      </c>
      <c r="K264" s="72">
        <f>(I264+J264)*(1/Supuestos!$C$20)</f>
        <v>538328171.65539229</v>
      </c>
    </row>
    <row r="265" spans="3:11" x14ac:dyDescent="0.25">
      <c r="C265" s="5" t="str">
        <f>'Informacion del AEP'!$C$142</f>
        <v>Facturación</v>
      </c>
      <c r="D265" s="70">
        <f>INDEX('Informacion del AEP'!$D$138:$AE$158,MATCH('Costos aguas abajo'!$C265,'Informacion del AEP'!$C$138:$C$158,0),MATCH('Costos aguas abajo'!$C$260,'Informacion del AEP'!$D$137:$AE$137,0))</f>
        <v>300008</v>
      </c>
      <c r="F265" s="72">
        <f>D265*Supuestos!$C$29</f>
        <v>15000.400000000001</v>
      </c>
      <c r="G265" s="72">
        <f>D265*(1-Supuestos!$C$29)</f>
        <v>285007.59999999998</v>
      </c>
      <c r="I265" s="72">
        <f t="shared" si="14"/>
        <v>15000.400000000001</v>
      </c>
      <c r="J265" s="72">
        <f>G265*Supuestos!$C$20</f>
        <v>31864.818385203449</v>
      </c>
      <c r="K265" s="72">
        <f>(I265+J265)*(1/Supuestos!$C$20)</f>
        <v>419175.25635875139</v>
      </c>
    </row>
    <row r="266" spans="3:11" x14ac:dyDescent="0.25">
      <c r="C266" s="5" t="str">
        <f>'Informacion del AEP'!$C$143</f>
        <v>Cobranza</v>
      </c>
      <c r="D266" s="70">
        <f>INDEX('Informacion del AEP'!$D$138:$AE$158,MATCH('Costos aguas abajo'!$C266,'Informacion del AEP'!$C$138:$C$158,0),MATCH('Costos aguas abajo'!$C$260,'Informacion del AEP'!$D$137:$AE$137,0))</f>
        <v>11666668.6666667</v>
      </c>
      <c r="F266" s="72">
        <f>D266*Supuestos!$C$30</f>
        <v>0</v>
      </c>
      <c r="G266" s="72">
        <f>D266*(1-Supuestos!$C$30)</f>
        <v>11666668.6666667</v>
      </c>
      <c r="I266" s="72">
        <f t="shared" si="14"/>
        <v>0</v>
      </c>
      <c r="J266" s="72">
        <f>G266*Supuestos!$C$20</f>
        <v>1304373.2104816788</v>
      </c>
      <c r="K266" s="72">
        <f>(I266+J266)*(1/Supuestos!$C$20)</f>
        <v>11666668.666666701</v>
      </c>
    </row>
    <row r="267" spans="3:11" x14ac:dyDescent="0.25">
      <c r="C267" s="5" t="str">
        <f>'Informacion del AEP'!$C$144</f>
        <v>Tasas e impuestos</v>
      </c>
      <c r="D267" s="70">
        <f>INDEX('Informacion del AEP'!$D$138:$AE$158,MATCH('Costos aguas abajo'!$C267,'Informacion del AEP'!$C$138:$C$158,0),MATCH('Costos aguas abajo'!$C$260,'Informacion del AEP'!$D$137:$AE$137,0))</f>
        <v>3500008</v>
      </c>
      <c r="F267" s="72">
        <f>D267*Supuestos!$C$31</f>
        <v>350000.80000000005</v>
      </c>
      <c r="G267" s="72">
        <f>D267*(1-Supuestos!$C$31)</f>
        <v>3150007.2</v>
      </c>
      <c r="I267" s="72">
        <f t="shared" si="14"/>
        <v>350000.80000000005</v>
      </c>
      <c r="J267" s="72">
        <f>G267*Supuestos!$C$20</f>
        <v>352181.5114406888</v>
      </c>
      <c r="K267" s="72">
        <f>(I267+J267)*(1/Supuestos!$C$20)</f>
        <v>6280509.5239172336</v>
      </c>
    </row>
    <row r="268" spans="3:11" x14ac:dyDescent="0.25">
      <c r="C268" s="5" t="str">
        <f>'Informacion del AEP'!$C$145</f>
        <v>Programas de fidelización</v>
      </c>
      <c r="D268" s="70">
        <f>INDEX('Informacion del AEP'!$D$138:$AE$158,MATCH('Costos aguas abajo'!$C268,'Informacion del AEP'!$C$138:$C$158,0),MATCH('Costos aguas abajo'!$C$260,'Informacion del AEP'!$D$137:$AE$137,0))</f>
        <v>13333338.3333333</v>
      </c>
      <c r="F268" s="72">
        <f>D268*Supuestos!$C$32</f>
        <v>0</v>
      </c>
      <c r="G268" s="72">
        <f>D268*(1-Supuestos!$C$32)</f>
        <v>13333338.3333333</v>
      </c>
      <c r="I268" s="72">
        <f t="shared" si="14"/>
        <v>0</v>
      </c>
      <c r="J268" s="72">
        <f>G268*Supuestos!$C$20</f>
        <v>1490712.5440168504</v>
      </c>
      <c r="K268" s="72">
        <f>(I268+J268)*(1/Supuestos!$C$20)</f>
        <v>13333338.3333333</v>
      </c>
    </row>
    <row r="269" spans="3:11" x14ac:dyDescent="0.25">
      <c r="C269" s="5" t="str">
        <f>'Informacion del AEP'!$C$146</f>
        <v>Acceso internet internacional</v>
      </c>
      <c r="D269" s="70">
        <f>INDEX('Informacion del AEP'!$D$138:$AE$158,MATCH('Costos aguas abajo'!$C269,'Informacion del AEP'!$C$138:$C$158,0),MATCH('Costos aguas abajo'!$C$260,'Informacion del AEP'!$D$137:$AE$137,0))</f>
        <v>3800008</v>
      </c>
      <c r="F269" s="72">
        <f>D269*Supuestos!$C$33</f>
        <v>0</v>
      </c>
      <c r="G269" s="72">
        <f>D269*(1-Supuestos!$C$33)</f>
        <v>3800008</v>
      </c>
      <c r="I269" s="72">
        <f t="shared" si="14"/>
        <v>0</v>
      </c>
      <c r="J269" s="72">
        <f>G269*Supuestos!$C$20</f>
        <v>424853.81015215104</v>
      </c>
      <c r="K269" s="72">
        <f>(I269+J269)*(1/Supuestos!$C$20)</f>
        <v>3800008</v>
      </c>
    </row>
    <row r="270" spans="3:11" x14ac:dyDescent="0.25">
      <c r="C270" s="5" t="str">
        <f>'Informacion del AEP'!$C$147</f>
        <v>Roaming nacional</v>
      </c>
      <c r="D270" s="70">
        <f>INDEX('Informacion del AEP'!$D$138:$AE$158,MATCH('Costos aguas abajo'!$C270,'Informacion del AEP'!$C$138:$C$158,0),MATCH('Costos aguas abajo'!$C$260,'Informacion del AEP'!$D$137:$AE$137,0))</f>
        <v>1500008</v>
      </c>
      <c r="F270" s="72">
        <f>D270*Supuestos!$C$34</f>
        <v>0</v>
      </c>
      <c r="G270" s="72">
        <f>D270*(1-Supuestos!$C$34)</f>
        <v>1500008</v>
      </c>
      <c r="I270" s="72">
        <f t="shared" si="14"/>
        <v>0</v>
      </c>
      <c r="J270" s="72">
        <f>G270*Supuestos!$C$20</f>
        <v>167705.99273967522</v>
      </c>
      <c r="K270" s="72">
        <f>(I270+J270)*(1/Supuestos!$C$20)</f>
        <v>1500008</v>
      </c>
    </row>
    <row r="271" spans="3:11" x14ac:dyDescent="0.25">
      <c r="C271" s="5" t="str">
        <f>'Informacion del AEP'!$C$148</f>
        <v>Roaming internacional</v>
      </c>
      <c r="D271" s="70">
        <f>INDEX('Informacion del AEP'!$D$138:$AE$158,MATCH('Costos aguas abajo'!$C271,'Informacion del AEP'!$C$138:$C$158,0),MATCH('Costos aguas abajo'!$C$260,'Informacion del AEP'!$D$137:$AE$137,0))</f>
        <v>0</v>
      </c>
      <c r="F271" s="72">
        <f>D271*Supuestos!$C$35</f>
        <v>0</v>
      </c>
      <c r="G271" s="72">
        <f>D271*(1-Supuestos!$C$35)</f>
        <v>0</v>
      </c>
      <c r="I271" s="72">
        <f t="shared" si="14"/>
        <v>0</v>
      </c>
      <c r="J271" s="72">
        <f>G271*Supuestos!$C$20</f>
        <v>0</v>
      </c>
      <c r="K271" s="72">
        <f>(I271+J271)*(1/Supuestos!$C$20)</f>
        <v>0</v>
      </c>
    </row>
    <row r="272" spans="3:11" x14ac:dyDescent="0.25">
      <c r="C272" s="5" t="str">
        <f>'Informacion del AEP'!$C$149</f>
        <v>Provisiones</v>
      </c>
      <c r="D272" s="70">
        <f>INDEX('Informacion del AEP'!$D$138:$AE$158,MATCH('Costos aguas abajo'!$C272,'Informacion del AEP'!$C$138:$C$158,0),MATCH('Costos aguas abajo'!$C$260,'Informacion del AEP'!$D$137:$AE$137,0))</f>
        <v>16666668.6666667</v>
      </c>
      <c r="F272" s="72">
        <f>D272*Supuestos!$C$36</f>
        <v>0</v>
      </c>
      <c r="G272" s="72">
        <f>D272*(1-Supuestos!$C$36)</f>
        <v>16666668.6666667</v>
      </c>
      <c r="I272" s="72">
        <f t="shared" si="14"/>
        <v>0</v>
      </c>
      <c r="J272" s="72">
        <f>G272*Supuestos!$C$20</f>
        <v>1863390.2048566262</v>
      </c>
      <c r="K272" s="72">
        <f>(I272+J272)*(1/Supuestos!$C$20)</f>
        <v>16666668.666666701</v>
      </c>
    </row>
    <row r="273" spans="3:11" x14ac:dyDescent="0.25">
      <c r="C273" s="5" t="str">
        <f>'Informacion del AEP'!$C$150</f>
        <v>Costos directos de la venta de terminales</v>
      </c>
      <c r="D273" s="70">
        <f>INDEX('Informacion del AEP'!$D$138:$AE$158,MATCH('Costos aguas abajo'!$C273,'Informacion del AEP'!$C$138:$C$158,0),MATCH('Costos aguas abajo'!$C$260,'Informacion del AEP'!$D$137:$AE$137,0))</f>
        <v>1000000008</v>
      </c>
      <c r="F273" s="72">
        <f>D273*Supuestos!$C$37</f>
        <v>0</v>
      </c>
      <c r="G273" s="72">
        <f>D273*(1-Supuestos!$C$37)</f>
        <v>1000000008</v>
      </c>
      <c r="I273" s="72">
        <f t="shared" si="14"/>
        <v>0</v>
      </c>
      <c r="J273" s="72">
        <f>G273*Supuestos!$C$20</f>
        <v>111803399.76941667</v>
      </c>
      <c r="K273" s="72">
        <f>(I273+J273)*(1/Supuestos!$C$20)</f>
        <v>1000000008</v>
      </c>
    </row>
    <row r="274" spans="3:11" x14ac:dyDescent="0.25">
      <c r="C274" s="5" t="str">
        <f>'Informacion del AEP'!$C$151</f>
        <v>Servicios generales y de gestión - minoristas</v>
      </c>
      <c r="D274" s="70">
        <f>INDEX('Informacion del AEP'!$D$138:$AE$158,MATCH('Costos aguas abajo'!$C274,'Informacion del AEP'!$C$138:$C$158,0),MATCH('Costos aguas abajo'!$C$260,'Informacion del AEP'!$D$137:$AE$137,0))</f>
        <v>200000008</v>
      </c>
      <c r="F274" s="72">
        <f>D274*Supuestos!$C$38</f>
        <v>10000000.4</v>
      </c>
      <c r="G274" s="72">
        <f>D274*(1-Supuestos!$C$38)</f>
        <v>190000007.59999999</v>
      </c>
      <c r="I274" s="72">
        <f t="shared" si="14"/>
        <v>10000000.4</v>
      </c>
      <c r="J274" s="72">
        <f>G274*Supuestos!$C$20</f>
        <v>21242646.635953832</v>
      </c>
      <c r="K274" s="72">
        <f>(I274+J274)*(1/Supuestos!$C$20)</f>
        <v>279442730.27770036</v>
      </c>
    </row>
    <row r="275" spans="3:11" x14ac:dyDescent="0.25">
      <c r="C275" s="5" t="str">
        <f>'Informacion del AEP'!$C$152</f>
        <v>Servicios generales y de gestión - red</v>
      </c>
      <c r="D275" s="70">
        <f>INDEX('Informacion del AEP'!$D$138:$AE$158,MATCH('Costos aguas abajo'!$C275,'Informacion del AEP'!$C$138:$C$158,0),MATCH('Costos aguas abajo'!$C$260,'Informacion del AEP'!$D$137:$AE$137,0))</f>
        <v>0</v>
      </c>
      <c r="F275" s="72">
        <f>D275*Supuestos!$C$39</f>
        <v>0</v>
      </c>
      <c r="G275" s="72">
        <f>D275*(1-Supuestos!$C$30)</f>
        <v>0</v>
      </c>
      <c r="I275" s="72">
        <f t="shared" si="14"/>
        <v>0</v>
      </c>
      <c r="J275" s="72">
        <f>G275*Supuestos!$C$20</f>
        <v>0</v>
      </c>
      <c r="K275" s="72">
        <f>(I275+J275)*(1/Supuestos!$C$20)</f>
        <v>0</v>
      </c>
    </row>
    <row r="276" spans="3:11" x14ac:dyDescent="0.25">
      <c r="C276" s="5" t="str">
        <f>'Informacion del AEP'!$C$153</f>
        <v xml:space="preserve">Servicios generales y de gestión - negocio </v>
      </c>
      <c r="D276" s="70">
        <f>INDEX('Informacion del AEP'!$D$138:$AE$158,MATCH('Costos aguas abajo'!$C276,'Informacion del AEP'!$C$138:$C$158,0),MATCH('Costos aguas abajo'!$C$260,'Informacion del AEP'!$D$137:$AE$137,0))</f>
        <v>50000008</v>
      </c>
      <c r="F276" s="72">
        <f>D276*Supuestos!$C$40</f>
        <v>5000000.8</v>
      </c>
      <c r="G276" s="72">
        <f>D276*(1-Supuestos!$C$40)</f>
        <v>45000007.200000003</v>
      </c>
      <c r="I276" s="72">
        <f t="shared" si="14"/>
        <v>5000000.8</v>
      </c>
      <c r="J276" s="72">
        <f>G276*Supuestos!$C$20</f>
        <v>5031153.7543589985</v>
      </c>
      <c r="K276" s="72">
        <f>(I276+J276)*(1/Supuestos!$C$20)</f>
        <v>89721373.90541333</v>
      </c>
    </row>
    <row r="277" spans="3:11" ht="13" x14ac:dyDescent="0.3">
      <c r="C277" s="64" t="s">
        <v>109</v>
      </c>
      <c r="D277" s="218">
        <f>SUM(D278:D281)</f>
        <v>0</v>
      </c>
      <c r="F277" s="218">
        <f>SUM(F278:F281)</f>
        <v>0</v>
      </c>
      <c r="G277" s="218">
        <f>SUM(G278:G281)</f>
        <v>0</v>
      </c>
      <c r="I277" s="218">
        <f>SUM(I278:I281)</f>
        <v>0</v>
      </c>
      <c r="J277" s="218">
        <f>SUM(J278:J281)</f>
        <v>0</v>
      </c>
      <c r="K277" s="218">
        <f>SUM(K278:K281)</f>
        <v>0</v>
      </c>
    </row>
    <row r="278" spans="3:11" x14ac:dyDescent="0.25">
      <c r="C278" s="5" t="str">
        <f>'Informacion del AEP'!$C$154</f>
        <v>Costo del Capital:Servicios generales y de gestión - minoristas</v>
      </c>
      <c r="D278" s="70">
        <f>INDEX('Informacion del AEP'!$D$138:$AE$158,MATCH('Costos aguas abajo'!$C278,'Informacion del AEP'!$C$138:$C$158,0),MATCH('Costos aguas abajo'!$C$260,'Informacion del AEP'!$D$137:$AE$137,0))</f>
        <v>0</v>
      </c>
      <c r="F278" s="72">
        <f>D278*Supuestos!$C$41</f>
        <v>0</v>
      </c>
      <c r="G278" s="72">
        <f>D278*(1-Supuestos!$C$41)</f>
        <v>0</v>
      </c>
      <c r="I278" s="72">
        <f t="shared" ref="I278" si="15">+F278</f>
        <v>0</v>
      </c>
      <c r="J278" s="72">
        <f>G278*Supuestos!$C$20</f>
        <v>0</v>
      </c>
      <c r="K278" s="72">
        <f>(I278+J278)*(1/Supuestos!$C$20)</f>
        <v>0</v>
      </c>
    </row>
    <row r="279" spans="3:11" x14ac:dyDescent="0.25">
      <c r="C279" s="5" t="str">
        <f>'Informacion del AEP'!$C$155</f>
        <v>Costo del Capital:Servicios generales y de gestión - red</v>
      </c>
      <c r="D279" s="70">
        <f>INDEX('Informacion del AEP'!$D$138:$AE$158,MATCH('Costos aguas abajo'!$C279,'Informacion del AEP'!$C$138:$C$158,0),MATCH('Costos aguas abajo'!$C$260,'Informacion del AEP'!$D$137:$AE$137,0))</f>
        <v>0</v>
      </c>
      <c r="F279" s="72">
        <f>D279*Supuestos!$C$42</f>
        <v>0</v>
      </c>
      <c r="G279" s="72">
        <f>D279*(1-Supuestos!$C$42)</f>
        <v>0</v>
      </c>
      <c r="I279" s="72">
        <f>+F279</f>
        <v>0</v>
      </c>
      <c r="J279" s="72">
        <f>G279*Supuestos!$C$20</f>
        <v>0</v>
      </c>
      <c r="K279" s="72">
        <f>(I279+J279)*(1/Supuestos!$C$20)</f>
        <v>0</v>
      </c>
    </row>
    <row r="280" spans="3:11" x14ac:dyDescent="0.25">
      <c r="C280" s="5" t="str">
        <f>'Informacion del AEP'!$C$156</f>
        <v xml:space="preserve">Costo del Capital:Servicios generales y de gestión - negocio </v>
      </c>
      <c r="D280" s="70">
        <f>INDEX('Informacion del AEP'!$D$138:$AE$158,MATCH('Costos aguas abajo'!$C280,'Informacion del AEP'!$C$138:$C$158,0),MATCH('Costos aguas abajo'!$C$260,'Informacion del AEP'!$D$137:$AE$137,0))</f>
        <v>0</v>
      </c>
      <c r="F280" s="72">
        <f>D280*Supuestos!$C$43</f>
        <v>0</v>
      </c>
      <c r="G280" s="72">
        <f>D280*(1-Supuestos!$C$43)</f>
        <v>0</v>
      </c>
      <c r="I280" s="72">
        <f>+F280</f>
        <v>0</v>
      </c>
      <c r="J280" s="72">
        <f>G280*Supuestos!$C$20</f>
        <v>0</v>
      </c>
      <c r="K280" s="72">
        <f>(I280+J280)*(1/Supuestos!$C$20)</f>
        <v>0</v>
      </c>
    </row>
    <row r="281" spans="3:11" x14ac:dyDescent="0.25">
      <c r="C281" s="5" t="str">
        <f>'Informacion del AEP'!$C$157</f>
        <v>Costo del Capital:Equipos terminales</v>
      </c>
      <c r="D281" s="70">
        <f>INDEX('Informacion del AEP'!$D$138:$AE$158,MATCH('Costos aguas abajo'!$C281,'Informacion del AEP'!$C$138:$C$158,0),MATCH('Costos aguas abajo'!$C$260,'Informacion del AEP'!$D$137:$AE$137,0))</f>
        <v>0</v>
      </c>
      <c r="F281" s="72">
        <f>D281*Supuestos!$C$44</f>
        <v>0</v>
      </c>
      <c r="G281" s="72">
        <f>D281*(1-Supuestos!$C$44)</f>
        <v>0</v>
      </c>
      <c r="I281" s="72">
        <f>+F281</f>
        <v>0</v>
      </c>
      <c r="J281" s="72">
        <f>G281*Supuestos!$C$20</f>
        <v>0</v>
      </c>
      <c r="K281" s="72">
        <f>(I281+J281)*(1/Supuestos!$C$20)</f>
        <v>0</v>
      </c>
    </row>
    <row r="283" spans="3:11" ht="13" x14ac:dyDescent="0.3">
      <c r="C283" s="73" t="s">
        <v>42</v>
      </c>
      <c r="D283" s="38" t="str">
        <f>IF(D260='Informacion del AEP'!P158,"Ok","Error")</f>
        <v>Ok</v>
      </c>
      <c r="I283" s="38" t="str">
        <f>IF(I260=F260,"Ok","Error")</f>
        <v>Ok</v>
      </c>
    </row>
    <row r="285" spans="3:11" ht="13" x14ac:dyDescent="0.3">
      <c r="C285" s="74" t="str">
        <f>Supuestos!$B$81</f>
        <v>Telcel Pospago 1</v>
      </c>
      <c r="D285" s="75">
        <f>SUM(D286:D302)</f>
        <v>1627433324.3333335</v>
      </c>
      <c r="E285" s="76"/>
      <c r="F285" s="75">
        <f>SUM(F286:F302)</f>
        <v>45365000.400000006</v>
      </c>
      <c r="G285" s="75">
        <f>SUM(G286:G302)</f>
        <v>1582068323.9333336</v>
      </c>
      <c r="H285" s="76"/>
      <c r="I285" s="75">
        <f>SUM(I286:I302)</f>
        <v>45365000.400000006</v>
      </c>
      <c r="J285" s="75">
        <f>SUM(J286:J302)</f>
        <v>176880615.86820456</v>
      </c>
      <c r="K285" s="75">
        <f>SUM(K286:K302)</f>
        <v>1987825222.7081544</v>
      </c>
    </row>
    <row r="286" spans="3:11" x14ac:dyDescent="0.25">
      <c r="C286" s="5" t="str">
        <f>'Informacion del AEP'!C138</f>
        <v>Acceso a Internet</v>
      </c>
      <c r="D286" s="70">
        <f>INDEX('Informacion del AEP'!$D$138:$AE$158,MATCH('Costos aguas abajo'!$C286,'Informacion del AEP'!$C$138:$C$158,0),MATCH('Costos aguas abajo'!$C$285,'Informacion del AEP'!$D$137:$AE$137,0))</f>
        <v>0</v>
      </c>
      <c r="F286" s="72">
        <f>D286*Supuestos!$C25</f>
        <v>0</v>
      </c>
      <c r="G286" s="72">
        <f>D286*(1-Supuestos!$C25)</f>
        <v>0</v>
      </c>
      <c r="I286" s="72">
        <f>+F286</f>
        <v>0</v>
      </c>
      <c r="J286" s="72">
        <f>G286*Supuestos!$C$20</f>
        <v>0</v>
      </c>
      <c r="K286" s="72">
        <f>(I286+J286)*(1/Supuestos!$C$20)</f>
        <v>0</v>
      </c>
    </row>
    <row r="287" spans="3:11" x14ac:dyDescent="0.25">
      <c r="C287" s="5" t="str">
        <f>'Informacion del AEP'!C139</f>
        <v>Servicios OTT de vídeo</v>
      </c>
      <c r="D287" s="70">
        <f>INDEX('Informacion del AEP'!$D$138:$AE$158,MATCH('Costos aguas abajo'!$C287,'Informacion del AEP'!$C$138:$C$158,0),MATCH('Costos aguas abajo'!$C$285,'Informacion del AEP'!$D$137:$AE$137,0))</f>
        <v>26666661.666666701</v>
      </c>
      <c r="F287" s="72">
        <f>D287*Supuestos!$C26</f>
        <v>0</v>
      </c>
      <c r="G287" s="72">
        <f>D287*(1-Supuestos!$C26)</f>
        <v>26666661.666666701</v>
      </c>
      <c r="I287" s="72">
        <f t="shared" ref="I287:I303" si="16">+F287</f>
        <v>0</v>
      </c>
      <c r="J287" s="72">
        <f>G287*Supuestos!$C$20</f>
        <v>2981423.4109827289</v>
      </c>
      <c r="K287" s="72">
        <f>(I287+J287)*(1/Supuestos!$C$20)</f>
        <v>26666661.666666701</v>
      </c>
    </row>
    <row r="288" spans="3:11" x14ac:dyDescent="0.25">
      <c r="C288" s="5" t="str">
        <f>'Informacion del AEP'!C140</f>
        <v>Servicios OTT de audio</v>
      </c>
      <c r="D288" s="70">
        <f>INDEX('Informacion del AEP'!$D$138:$AE$158,MATCH('Costos aguas abajo'!$C288,'Informacion del AEP'!$C$138:$C$158,0),MATCH('Costos aguas abajo'!$C$285,'Informacion del AEP'!$D$137:$AE$137,0))</f>
        <v>0</v>
      </c>
      <c r="F288" s="72">
        <f>D288*Supuestos!$C27</f>
        <v>0</v>
      </c>
      <c r="G288" s="72">
        <f>D288*(1-Supuestos!$C27)</f>
        <v>0</v>
      </c>
      <c r="I288" s="72">
        <f t="shared" si="16"/>
        <v>0</v>
      </c>
      <c r="J288" s="72">
        <f>G288*Supuestos!$C$20</f>
        <v>0</v>
      </c>
      <c r="K288" s="72">
        <f>(I288+J288)*(1/Supuestos!$C$20)</f>
        <v>0</v>
      </c>
    </row>
    <row r="289" spans="3:11" x14ac:dyDescent="0.25">
      <c r="C289" s="5" t="str">
        <f>'Informacion del AEP'!C141</f>
        <v>Comerciales</v>
      </c>
      <c r="D289" s="70">
        <f>INDEX('Informacion del AEP'!$D$138:$AE$158,MATCH('Costos aguas abajo'!$C289,'Informacion del AEP'!$C$138:$C$158,0),MATCH('Costos aguas abajo'!$C$285,'Informacion del AEP'!$D$137:$AE$137,0))</f>
        <v>300000001</v>
      </c>
      <c r="F289" s="72">
        <f>D289*Supuestos!$C28</f>
        <v>30000000.100000001</v>
      </c>
      <c r="G289" s="72">
        <f>D289*(1-Supuestos!$C28)</f>
        <v>270000000.90000004</v>
      </c>
      <c r="I289" s="72">
        <f t="shared" si="16"/>
        <v>30000000.100000001</v>
      </c>
      <c r="J289" s="72">
        <f>G289*Supuestos!$C$20</f>
        <v>30186917.796870224</v>
      </c>
      <c r="K289" s="72">
        <f>(I289+J289)*(1/Supuestos!$C$20)</f>
        <v>538328159.09440207</v>
      </c>
    </row>
    <row r="290" spans="3:11" x14ac:dyDescent="0.25">
      <c r="C290" s="5" t="str">
        <f>'Informacion del AEP'!C142</f>
        <v>Facturación</v>
      </c>
      <c r="D290" s="70">
        <f>INDEX('Informacion del AEP'!$D$138:$AE$158,MATCH('Costos aguas abajo'!$C290,'Informacion del AEP'!$C$138:$C$158,0),MATCH('Costos aguas abajo'!$C$285,'Informacion del AEP'!$D$137:$AE$137,0))</f>
        <v>300001</v>
      </c>
      <c r="F290" s="72">
        <f>D290*Supuestos!$C29</f>
        <v>15000.050000000001</v>
      </c>
      <c r="G290" s="72">
        <f>D290*(1-Supuestos!$C29)</f>
        <v>285000.95</v>
      </c>
      <c r="I290" s="72">
        <f t="shared" si="16"/>
        <v>15000.050000000001</v>
      </c>
      <c r="J290" s="72">
        <f>G290*Supuestos!$C$20</f>
        <v>31864.074892600936</v>
      </c>
      <c r="K290" s="72">
        <f>(I290+J290)*(1/Supuestos!$C$20)</f>
        <v>419165.47586358292</v>
      </c>
    </row>
    <row r="291" spans="3:11" x14ac:dyDescent="0.25">
      <c r="C291" s="5" t="str">
        <f>'Informacion del AEP'!C143</f>
        <v>Cobranza</v>
      </c>
      <c r="D291" s="70">
        <f>INDEX('Informacion del AEP'!$D$138:$AE$158,MATCH('Costos aguas abajo'!$C291,'Informacion del AEP'!$C$138:$C$158,0),MATCH('Costos aguas abajo'!$C$285,'Informacion del AEP'!$D$137:$AE$137,0))</f>
        <v>11666661.6666667</v>
      </c>
      <c r="F291" s="72">
        <f>D291*Supuestos!$C30</f>
        <v>0</v>
      </c>
      <c r="G291" s="72">
        <f>D291*(1-Supuestos!$C30)</f>
        <v>11666661.6666667</v>
      </c>
      <c r="I291" s="72">
        <f t="shared" si="16"/>
        <v>0</v>
      </c>
      <c r="J291" s="72">
        <f>G291*Supuestos!$C$20</f>
        <v>1304372.4278578865</v>
      </c>
      <c r="K291" s="72">
        <f>(I291+J291)*(1/Supuestos!$C$20)</f>
        <v>11666661.6666667</v>
      </c>
    </row>
    <row r="292" spans="3:11" x14ac:dyDescent="0.25">
      <c r="C292" s="5" t="str">
        <f>'Informacion del AEP'!C144</f>
        <v>Tasas e impuestos</v>
      </c>
      <c r="D292" s="70">
        <f>INDEX('Informacion del AEP'!$D$138:$AE$158,MATCH('Costos aguas abajo'!$C292,'Informacion del AEP'!$C$138:$C$158,0),MATCH('Costos aguas abajo'!$C$285,'Informacion del AEP'!$D$137:$AE$137,0))</f>
        <v>3500001</v>
      </c>
      <c r="F292" s="72">
        <f>D292*Supuestos!$C31</f>
        <v>350000.10000000003</v>
      </c>
      <c r="G292" s="72">
        <f>D292*(1-Supuestos!$C31)</f>
        <v>3150000.9</v>
      </c>
      <c r="I292" s="72">
        <f t="shared" si="16"/>
        <v>350000.10000000003</v>
      </c>
      <c r="J292" s="72">
        <f>G292*Supuestos!$C$20</f>
        <v>352180.80707927584</v>
      </c>
      <c r="K292" s="72">
        <f>(I292+J292)*(1/Supuestos!$C$20)</f>
        <v>6280496.9629268972</v>
      </c>
    </row>
    <row r="293" spans="3:11" x14ac:dyDescent="0.25">
      <c r="C293" s="5" t="str">
        <f>'Informacion del AEP'!C145</f>
        <v>Programas de fidelización</v>
      </c>
      <c r="D293" s="70">
        <f>INDEX('Informacion del AEP'!$D$138:$AE$158,MATCH('Costos aguas abajo'!$C293,'Informacion del AEP'!$C$138:$C$158,0),MATCH('Costos aguas abajo'!$C$285,'Informacion del AEP'!$D$137:$AE$137,0))</f>
        <v>13333331.3333333</v>
      </c>
      <c r="F293" s="72">
        <f>D293*Supuestos!$C32</f>
        <v>0</v>
      </c>
      <c r="G293" s="72">
        <f>D293*(1-Supuestos!$C32)</f>
        <v>13333331.3333333</v>
      </c>
      <c r="I293" s="72">
        <f t="shared" si="16"/>
        <v>0</v>
      </c>
      <c r="J293" s="72">
        <f>G293*Supuestos!$C$20</f>
        <v>1490711.7613930583</v>
      </c>
      <c r="K293" s="72">
        <f>(I293+J293)*(1/Supuestos!$C$20)</f>
        <v>13333331.3333333</v>
      </c>
    </row>
    <row r="294" spans="3:11" x14ac:dyDescent="0.25">
      <c r="C294" s="5" t="str">
        <f>'Informacion del AEP'!C146</f>
        <v>Acceso internet internacional</v>
      </c>
      <c r="D294" s="70">
        <f>INDEX('Informacion del AEP'!$D$138:$AE$158,MATCH('Costos aguas abajo'!$C294,'Informacion del AEP'!$C$138:$C$158,0),MATCH('Costos aguas abajo'!$C$285,'Informacion del AEP'!$D$137:$AE$137,0))</f>
        <v>3800001</v>
      </c>
      <c r="F294" s="72">
        <f>D294*Supuestos!$C33</f>
        <v>0</v>
      </c>
      <c r="G294" s="72">
        <f>D294*(1-Supuestos!$C33)</f>
        <v>3800001</v>
      </c>
      <c r="I294" s="72">
        <f t="shared" si="16"/>
        <v>0</v>
      </c>
      <c r="J294" s="72">
        <f>G294*Supuestos!$C$20</f>
        <v>424853.02752835891</v>
      </c>
      <c r="K294" s="72">
        <f>(I294+J294)*(1/Supuestos!$C$20)</f>
        <v>3800001</v>
      </c>
    </row>
    <row r="295" spans="3:11" x14ac:dyDescent="0.25">
      <c r="C295" s="5" t="str">
        <f>'Informacion del AEP'!C147</f>
        <v>Roaming nacional</v>
      </c>
      <c r="D295" s="70">
        <f>INDEX('Informacion del AEP'!$D$138:$AE$158,MATCH('Costos aguas abajo'!$C295,'Informacion del AEP'!$C$138:$C$158,0),MATCH('Costos aguas abajo'!$C$285,'Informacion del AEP'!$D$137:$AE$137,0))</f>
        <v>1500001</v>
      </c>
      <c r="F295" s="72">
        <f>D295*Supuestos!$C34</f>
        <v>0</v>
      </c>
      <c r="G295" s="72">
        <f>D295*(1-Supuestos!$C34)</f>
        <v>1500001</v>
      </c>
      <c r="I295" s="72">
        <f t="shared" si="16"/>
        <v>0</v>
      </c>
      <c r="J295" s="72">
        <f>G295*Supuestos!$C$20</f>
        <v>167705.21011588309</v>
      </c>
      <c r="K295" s="72">
        <f>(I295+J295)*(1/Supuestos!$C$20)</f>
        <v>1500001</v>
      </c>
    </row>
    <row r="296" spans="3:11" x14ac:dyDescent="0.25">
      <c r="C296" s="5" t="str">
        <f>'Informacion del AEP'!C148</f>
        <v>Roaming internacional</v>
      </c>
      <c r="D296" s="70">
        <f>INDEX('Informacion del AEP'!$D$138:$AE$158,MATCH('Costos aguas abajo'!$C296,'Informacion del AEP'!$C$138:$C$158,0),MATCH('Costos aguas abajo'!$C$285,'Informacion del AEP'!$D$137:$AE$137,0))</f>
        <v>0</v>
      </c>
      <c r="F296" s="72">
        <f>D296*Supuestos!$C35</f>
        <v>0</v>
      </c>
      <c r="G296" s="72">
        <f>D296*(1-Supuestos!$C35)</f>
        <v>0</v>
      </c>
      <c r="I296" s="72">
        <f t="shared" si="16"/>
        <v>0</v>
      </c>
      <c r="J296" s="72">
        <f>G296*Supuestos!$C$20</f>
        <v>0</v>
      </c>
      <c r="K296" s="72">
        <f>(I296+J296)*(1/Supuestos!$C$20)</f>
        <v>0</v>
      </c>
    </row>
    <row r="297" spans="3:11" x14ac:dyDescent="0.25">
      <c r="C297" s="5" t="str">
        <f>'Informacion del AEP'!C149</f>
        <v>Provisiones</v>
      </c>
      <c r="D297" s="70">
        <f>INDEX('Informacion del AEP'!$D$138:$AE$158,MATCH('Costos aguas abajo'!$C297,'Informacion del AEP'!$C$138:$C$158,0),MATCH('Costos aguas abajo'!$C$285,'Informacion del AEP'!$D$137:$AE$137,0))</f>
        <v>16666661.6666667</v>
      </c>
      <c r="F297" s="72">
        <f>D297*Supuestos!$C36</f>
        <v>0</v>
      </c>
      <c r="G297" s="72">
        <f>D297*(1-Supuestos!$C36)</f>
        <v>16666661.6666667</v>
      </c>
      <c r="I297" s="72">
        <f t="shared" si="16"/>
        <v>0</v>
      </c>
      <c r="J297" s="72">
        <f>G297*Supuestos!$C$20</f>
        <v>1863389.4222328339</v>
      </c>
      <c r="K297" s="72">
        <f>(I297+J297)*(1/Supuestos!$C$20)</f>
        <v>16666661.6666667</v>
      </c>
    </row>
    <row r="298" spans="3:11" x14ac:dyDescent="0.25">
      <c r="C298" s="5" t="str">
        <f>'Informacion del AEP'!C150</f>
        <v>Costos directos de la venta de terminales</v>
      </c>
      <c r="D298" s="70">
        <f>INDEX('Informacion del AEP'!$D$138:$AE$158,MATCH('Costos aguas abajo'!$C298,'Informacion del AEP'!$C$138:$C$158,0),MATCH('Costos aguas abajo'!$C$285,'Informacion del AEP'!$D$137:$AE$137,0))</f>
        <v>1000000001</v>
      </c>
      <c r="F298" s="72">
        <f>D298*Supuestos!$C37</f>
        <v>0</v>
      </c>
      <c r="G298" s="72">
        <f>D298*(1-Supuestos!$C37)</f>
        <v>1000000001</v>
      </c>
      <c r="I298" s="72">
        <f t="shared" si="16"/>
        <v>0</v>
      </c>
      <c r="J298" s="72">
        <f>G298*Supuestos!$C$20</f>
        <v>111803398.98679288</v>
      </c>
      <c r="K298" s="72">
        <f>(I298+J298)*(1/Supuestos!$C$20)</f>
        <v>1000000001</v>
      </c>
    </row>
    <row r="299" spans="3:11" x14ac:dyDescent="0.25">
      <c r="C299" s="5" t="str">
        <f>'Informacion del AEP'!C151</f>
        <v>Servicios generales y de gestión - minoristas</v>
      </c>
      <c r="D299" s="70">
        <f>INDEX('Informacion del AEP'!$D$138:$AE$158,MATCH('Costos aguas abajo'!$C299,'Informacion del AEP'!$C$138:$C$158,0),MATCH('Costos aguas abajo'!$C$285,'Informacion del AEP'!$D$137:$AE$137,0))</f>
        <v>200000001</v>
      </c>
      <c r="F299" s="72">
        <f>D299*Supuestos!$C38</f>
        <v>10000000.050000001</v>
      </c>
      <c r="G299" s="72">
        <f>D299*(1-Supuestos!$C38)</f>
        <v>190000000.94999999</v>
      </c>
      <c r="I299" s="72">
        <f t="shared" si="16"/>
        <v>10000000.050000001</v>
      </c>
      <c r="J299" s="72">
        <f>G299*Supuestos!$C$20</f>
        <v>21242645.892461229</v>
      </c>
      <c r="K299" s="72">
        <f>(I299+J299)*(1/Supuestos!$C$20)</f>
        <v>279442720.4972052</v>
      </c>
    </row>
    <row r="300" spans="3:11" x14ac:dyDescent="0.25">
      <c r="C300" s="5" t="str">
        <f>'Informacion del AEP'!C152</f>
        <v>Servicios generales y de gestión - red</v>
      </c>
      <c r="D300" s="70">
        <f>INDEX('Informacion del AEP'!$D$138:$AE$158,MATCH('Costos aguas abajo'!$C300,'Informacion del AEP'!$C$138:$C$158,0),MATCH('Costos aguas abajo'!$C$285,'Informacion del AEP'!$D$137:$AE$137,0))</f>
        <v>0</v>
      </c>
      <c r="F300" s="72">
        <f>D300*Supuestos!$C39</f>
        <v>0</v>
      </c>
      <c r="G300" s="72">
        <f>D300*(1-Supuestos!$C39)</f>
        <v>0</v>
      </c>
      <c r="I300" s="72">
        <f t="shared" si="16"/>
        <v>0</v>
      </c>
      <c r="J300" s="72">
        <f>G300*Supuestos!$C$20</f>
        <v>0</v>
      </c>
      <c r="K300" s="72">
        <f>(I300+J300)*(1/Supuestos!$C$20)</f>
        <v>0</v>
      </c>
    </row>
    <row r="301" spans="3:11" x14ac:dyDescent="0.25">
      <c r="C301" s="5" t="str">
        <f>'Informacion del AEP'!C153</f>
        <v xml:space="preserve">Servicios generales y de gestión - negocio </v>
      </c>
      <c r="D301" s="70">
        <f>INDEX('Informacion del AEP'!$D$138:$AE$158,MATCH('Costos aguas abajo'!$C301,'Informacion del AEP'!$C$138:$C$158,0),MATCH('Costos aguas abajo'!$C$285,'Informacion del AEP'!$D$137:$AE$137,0))</f>
        <v>50000001</v>
      </c>
      <c r="F301" s="72">
        <f>D301*Supuestos!$C40</f>
        <v>5000000.1000000006</v>
      </c>
      <c r="G301" s="72">
        <f>D301*(1-Supuestos!$C40)</f>
        <v>45000000.899999999</v>
      </c>
      <c r="I301" s="72">
        <f t="shared" si="16"/>
        <v>5000000.1000000006</v>
      </c>
      <c r="J301" s="72">
        <f>G301*Supuestos!$C$20</f>
        <v>5031153.0499975858</v>
      </c>
      <c r="K301" s="72">
        <f>(I301+J301)*(1/Supuestos!$C$20)</f>
        <v>89721361.344422996</v>
      </c>
    </row>
    <row r="302" spans="3:11" ht="13" x14ac:dyDescent="0.3">
      <c r="C302" s="64" t="s">
        <v>109</v>
      </c>
      <c r="D302" s="218">
        <f>SUM(D303:D306)</f>
        <v>0</v>
      </c>
      <c r="F302" s="218">
        <f>SUM(F303:F306)</f>
        <v>0</v>
      </c>
      <c r="G302" s="218">
        <f>SUM(G303:G306)</f>
        <v>0</v>
      </c>
      <c r="I302" s="218">
        <f>SUM(I303:I306)</f>
        <v>0</v>
      </c>
      <c r="J302" s="218">
        <f>SUM(J303:J306)</f>
        <v>0</v>
      </c>
      <c r="K302" s="218">
        <f>SUM(K303:K306)</f>
        <v>0</v>
      </c>
    </row>
    <row r="303" spans="3:11" x14ac:dyDescent="0.25">
      <c r="C303" s="5" t="str">
        <f>'Informacion del AEP'!C154</f>
        <v>Costo del Capital:Servicios generales y de gestión - minoristas</v>
      </c>
      <c r="D303" s="70">
        <f>INDEX('Informacion del AEP'!$D$138:$AE$158,MATCH('Costos aguas abajo'!$C303,'Informacion del AEP'!$C$138:$C$158,0),MATCH('Costos aguas abajo'!$C$285,'Informacion del AEP'!$D$137:$AE$137,0))</f>
        <v>0</v>
      </c>
      <c r="F303" s="72">
        <f>D303*Supuestos!$C41</f>
        <v>0</v>
      </c>
      <c r="G303" s="72">
        <f>D303*(1-Supuestos!$C41)</f>
        <v>0</v>
      </c>
      <c r="I303" s="72">
        <f t="shared" si="16"/>
        <v>0</v>
      </c>
      <c r="J303" s="72">
        <f>G303*Supuestos!$C$20</f>
        <v>0</v>
      </c>
      <c r="K303" s="72">
        <f>(I303+J303)*(1/Supuestos!$C$20)</f>
        <v>0</v>
      </c>
    </row>
    <row r="304" spans="3:11" x14ac:dyDescent="0.25">
      <c r="C304" s="5" t="str">
        <f>'Informacion del AEP'!C155</f>
        <v>Costo del Capital:Servicios generales y de gestión - red</v>
      </c>
      <c r="D304" s="70">
        <f>INDEX('Informacion del AEP'!$D$138:$AE$158,MATCH('Costos aguas abajo'!$C304,'Informacion del AEP'!$C$138:$C$158,0),MATCH('Costos aguas abajo'!$C$285,'Informacion del AEP'!$D$137:$AE$137,0))</f>
        <v>0</v>
      </c>
      <c r="F304" s="72">
        <f>D304*Supuestos!$C42</f>
        <v>0</v>
      </c>
      <c r="G304" s="72">
        <f>D304*(1-Supuestos!$C42)</f>
        <v>0</v>
      </c>
      <c r="I304" s="72">
        <f>+F304</f>
        <v>0</v>
      </c>
      <c r="J304" s="72">
        <f>G304*Supuestos!$C$20</f>
        <v>0</v>
      </c>
      <c r="K304" s="72">
        <f>(I304+J304)*(1/Supuestos!$C$20)</f>
        <v>0</v>
      </c>
    </row>
    <row r="305" spans="3:11" x14ac:dyDescent="0.25">
      <c r="C305" s="5" t="str">
        <f>'Informacion del AEP'!C156</f>
        <v xml:space="preserve">Costo del Capital:Servicios generales y de gestión - negocio </v>
      </c>
      <c r="D305" s="70">
        <f>INDEX('Informacion del AEP'!$D$138:$AE$158,MATCH('Costos aguas abajo'!$C305,'Informacion del AEP'!$C$138:$C$158,0),MATCH('Costos aguas abajo'!$C$285,'Informacion del AEP'!$D$137:$AE$137,0))</f>
        <v>0</v>
      </c>
      <c r="F305" s="72">
        <f>D305*Supuestos!$C43</f>
        <v>0</v>
      </c>
      <c r="G305" s="72">
        <f>D305*(1-Supuestos!$C43)</f>
        <v>0</v>
      </c>
      <c r="I305" s="72">
        <f>+F305</f>
        <v>0</v>
      </c>
      <c r="J305" s="72">
        <f>G305*Supuestos!$C$20</f>
        <v>0</v>
      </c>
      <c r="K305" s="72">
        <f>(I305+J305)*(1/Supuestos!$C$20)</f>
        <v>0</v>
      </c>
    </row>
    <row r="306" spans="3:11" x14ac:dyDescent="0.25">
      <c r="C306" s="5" t="str">
        <f>'Informacion del AEP'!C157</f>
        <v>Costo del Capital:Equipos terminales</v>
      </c>
      <c r="D306" s="70">
        <f>INDEX('Informacion del AEP'!$D$138:$AE$158,MATCH('Costos aguas abajo'!$C306,'Informacion del AEP'!$C$138:$C$158,0),MATCH('Costos aguas abajo'!$C$285,'Informacion del AEP'!$D$137:$AE$137,0))</f>
        <v>0</v>
      </c>
      <c r="F306" s="72">
        <f>D306*Supuestos!$C44</f>
        <v>0</v>
      </c>
      <c r="G306" s="72">
        <f>D306*(1-Supuestos!$C44)</f>
        <v>0</v>
      </c>
      <c r="I306" s="72">
        <f>+F306</f>
        <v>0</v>
      </c>
      <c r="J306" s="72">
        <f>G306*Supuestos!$C$20</f>
        <v>0</v>
      </c>
      <c r="K306" s="72">
        <f>(I306+J306)*(1/Supuestos!$C$20)</f>
        <v>0</v>
      </c>
    </row>
    <row r="308" spans="3:11" ht="13" x14ac:dyDescent="0.3">
      <c r="C308" s="73" t="s">
        <v>42</v>
      </c>
      <c r="D308" s="38" t="str">
        <f>IF(D285='Informacion del AEP'!Q158,"Ok","Error")</f>
        <v>Ok</v>
      </c>
      <c r="I308" s="38" t="str">
        <f>IF(I285=F285,"Ok","Error")</f>
        <v>Ok</v>
      </c>
    </row>
    <row r="310" spans="3:11" ht="13" x14ac:dyDescent="0.3">
      <c r="C310" s="74" t="str">
        <f>Supuestos!$B$82</f>
        <v>Telcel Pospago 5</v>
      </c>
      <c r="D310" s="75">
        <f>SUM(D311:D327)</f>
        <v>1627433336.3333335</v>
      </c>
      <c r="E310" s="76"/>
      <c r="F310" s="75">
        <f>SUM(F311:F327)</f>
        <v>45365000.800000004</v>
      </c>
      <c r="G310" s="75">
        <f>SUM(G311:G327)</f>
        <v>1582068335.5333335</v>
      </c>
      <c r="H310" s="76"/>
      <c r="I310" s="75">
        <f>SUM(I311:I327)</f>
        <v>45365000.800000004</v>
      </c>
      <c r="J310" s="75">
        <f>SUM(J311:J327)</f>
        <v>176880617.16512397</v>
      </c>
      <c r="K310" s="75">
        <f>SUM(K311:K327)</f>
        <v>1987825237.8858628</v>
      </c>
    </row>
    <row r="311" spans="3:11" x14ac:dyDescent="0.25">
      <c r="C311" s="5" t="str">
        <f>'Informacion del AEP'!C138</f>
        <v>Acceso a Internet</v>
      </c>
      <c r="D311" s="70">
        <f>INDEX('Informacion del AEP'!$D$138:$AE$158,MATCH('Costos aguas abajo'!$C311,'Informacion del AEP'!$C$138:$C$158,0),MATCH('Costos aguas abajo'!$C$310,'Informacion del AEP'!$D$137:$AE$137,0))</f>
        <v>0</v>
      </c>
      <c r="F311" s="72">
        <f>D311*Supuestos!$C25</f>
        <v>0</v>
      </c>
      <c r="G311" s="72">
        <f>D311*(1-Supuestos!$C25)</f>
        <v>0</v>
      </c>
      <c r="I311" s="72">
        <f>+F311</f>
        <v>0</v>
      </c>
      <c r="J311" s="72">
        <f>G311*Supuestos!$C$20</f>
        <v>0</v>
      </c>
      <c r="K311" s="72">
        <f>(I311+J311)*(1/Supuestos!$C$20)</f>
        <v>0</v>
      </c>
    </row>
    <row r="312" spans="3:11" x14ac:dyDescent="0.25">
      <c r="C312" s="5" t="str">
        <f>'Informacion del AEP'!C139</f>
        <v>Servicios OTT de vídeo</v>
      </c>
      <c r="D312" s="70">
        <f>INDEX('Informacion del AEP'!$D$138:$AE$158,MATCH('Costos aguas abajo'!$C312,'Informacion del AEP'!$C$138:$C$158,0),MATCH('Costos aguas abajo'!$C$310,'Informacion del AEP'!$D$137:$AE$137,0))</f>
        <v>26666662.666666701</v>
      </c>
      <c r="F312" s="72">
        <f>D312*Supuestos!$C26</f>
        <v>0</v>
      </c>
      <c r="G312" s="72">
        <f>D312*(1-Supuestos!$C26)</f>
        <v>26666662.666666701</v>
      </c>
      <c r="I312" s="72">
        <f t="shared" ref="I312:I328" si="17">+F312</f>
        <v>0</v>
      </c>
      <c r="J312" s="72">
        <f>G312*Supuestos!$C$20</f>
        <v>2981423.5227861279</v>
      </c>
      <c r="K312" s="72">
        <f>(I312+J312)*(1/Supuestos!$C$20)</f>
        <v>26666662.666666701</v>
      </c>
    </row>
    <row r="313" spans="3:11" x14ac:dyDescent="0.25">
      <c r="C313" s="5" t="str">
        <f>'Informacion del AEP'!C140</f>
        <v>Servicios OTT de audio</v>
      </c>
      <c r="D313" s="70">
        <f>INDEX('Informacion del AEP'!$D$138:$AE$158,MATCH('Costos aguas abajo'!$C313,'Informacion del AEP'!$C$138:$C$158,0),MATCH('Costos aguas abajo'!$C$310,'Informacion del AEP'!$D$137:$AE$137,0))</f>
        <v>0</v>
      </c>
      <c r="F313" s="72">
        <f>D313*Supuestos!$C27</f>
        <v>0</v>
      </c>
      <c r="G313" s="72">
        <f>D313*(1-Supuestos!$C27)</f>
        <v>0</v>
      </c>
      <c r="I313" s="72">
        <f t="shared" si="17"/>
        <v>0</v>
      </c>
      <c r="J313" s="72">
        <f>G313*Supuestos!$C$20</f>
        <v>0</v>
      </c>
      <c r="K313" s="72">
        <f>(I313+J313)*(1/Supuestos!$C$20)</f>
        <v>0</v>
      </c>
    </row>
    <row r="314" spans="3:11" x14ac:dyDescent="0.25">
      <c r="C314" s="5" t="str">
        <f>'Informacion del AEP'!C141</f>
        <v>Comerciales</v>
      </c>
      <c r="D314" s="70">
        <f>INDEX('Informacion del AEP'!$D$138:$AE$158,MATCH('Costos aguas abajo'!$C314,'Informacion del AEP'!$C$138:$C$158,0),MATCH('Costos aguas abajo'!$C$310,'Informacion del AEP'!$D$137:$AE$137,0))</f>
        <v>300000002</v>
      </c>
      <c r="F314" s="72">
        <f>D314*Supuestos!$C28</f>
        <v>30000000.200000003</v>
      </c>
      <c r="G314" s="72">
        <f>D314*(1-Supuestos!$C28)</f>
        <v>270000001.80000001</v>
      </c>
      <c r="I314" s="72">
        <f t="shared" si="17"/>
        <v>30000000.200000003</v>
      </c>
      <c r="J314" s="72">
        <f>G314*Supuestos!$C$20</f>
        <v>30186917.89749328</v>
      </c>
      <c r="K314" s="72">
        <f>(I314+J314)*(1/Supuestos!$C$20)</f>
        <v>538328160.88882923</v>
      </c>
    </row>
    <row r="315" spans="3:11" x14ac:dyDescent="0.25">
      <c r="C315" s="5" t="str">
        <f>'Informacion del AEP'!C142</f>
        <v>Facturación</v>
      </c>
      <c r="D315" s="70">
        <f>INDEX('Informacion del AEP'!$D$138:$AE$158,MATCH('Costos aguas abajo'!$C315,'Informacion del AEP'!$C$138:$C$158,0),MATCH('Costos aguas abajo'!$C$310,'Informacion del AEP'!$D$137:$AE$137,0))</f>
        <v>300002</v>
      </c>
      <c r="F315" s="72">
        <f>D315*Supuestos!$C29</f>
        <v>15000.1</v>
      </c>
      <c r="G315" s="72">
        <f>D315*(1-Supuestos!$C29)</f>
        <v>285001.89999999997</v>
      </c>
      <c r="I315" s="72">
        <f t="shared" si="17"/>
        <v>15000.1</v>
      </c>
      <c r="J315" s="72">
        <f>G315*Supuestos!$C$20</f>
        <v>31864.181105829863</v>
      </c>
      <c r="K315" s="72">
        <f>(I315+J315)*(1/Supuestos!$C$20)</f>
        <v>419166.87307717837</v>
      </c>
    </row>
    <row r="316" spans="3:11" x14ac:dyDescent="0.25">
      <c r="C316" s="5" t="str">
        <f>'Informacion del AEP'!C143</f>
        <v>Cobranza</v>
      </c>
      <c r="D316" s="70">
        <f>INDEX('Informacion del AEP'!$D$138:$AE$158,MATCH('Costos aguas abajo'!$C316,'Informacion del AEP'!$C$138:$C$158,0),MATCH('Costos aguas abajo'!$C$310,'Informacion del AEP'!$D$137:$AE$137,0))</f>
        <v>11666662.6666667</v>
      </c>
      <c r="F316" s="72">
        <f>D316*Supuestos!$C30</f>
        <v>0</v>
      </c>
      <c r="G316" s="72">
        <f>D316*(1-Supuestos!$C30)</f>
        <v>11666662.6666667</v>
      </c>
      <c r="I316" s="72">
        <f t="shared" si="17"/>
        <v>0</v>
      </c>
      <c r="J316" s="72">
        <f>G316*Supuestos!$C$20</f>
        <v>1304372.5396612855</v>
      </c>
      <c r="K316" s="72">
        <f>(I316+J316)*(1/Supuestos!$C$20)</f>
        <v>11666662.6666667</v>
      </c>
    </row>
    <row r="317" spans="3:11" x14ac:dyDescent="0.25">
      <c r="C317" s="5" t="str">
        <f>'Informacion del AEP'!C144</f>
        <v>Tasas e impuestos</v>
      </c>
      <c r="D317" s="70">
        <f>INDEX('Informacion del AEP'!$D$138:$AE$158,MATCH('Costos aguas abajo'!$C317,'Informacion del AEP'!$C$138:$C$158,0),MATCH('Costos aguas abajo'!$C$310,'Informacion del AEP'!$D$137:$AE$137,0))</f>
        <v>3500002</v>
      </c>
      <c r="F317" s="72">
        <f>D317*Supuestos!$C31</f>
        <v>350000.2</v>
      </c>
      <c r="G317" s="72">
        <f>D317*(1-Supuestos!$C31)</f>
        <v>3150001.8000000003</v>
      </c>
      <c r="I317" s="72">
        <f t="shared" si="17"/>
        <v>350000.2</v>
      </c>
      <c r="J317" s="72">
        <f>G317*Supuestos!$C$20</f>
        <v>352180.90770233487</v>
      </c>
      <c r="K317" s="72">
        <f>(I317+J317)*(1/Supuestos!$C$20)</f>
        <v>6280498.7573540881</v>
      </c>
    </row>
    <row r="318" spans="3:11" x14ac:dyDescent="0.25">
      <c r="C318" s="5" t="str">
        <f>'Informacion del AEP'!C145</f>
        <v>Programas de fidelización</v>
      </c>
      <c r="D318" s="70">
        <f>INDEX('Informacion del AEP'!$D$138:$AE$158,MATCH('Costos aguas abajo'!$C318,'Informacion del AEP'!$C$138:$C$158,0),MATCH('Costos aguas abajo'!$C$310,'Informacion del AEP'!$D$137:$AE$137,0))</f>
        <v>13333332.3333333</v>
      </c>
      <c r="F318" s="72">
        <f>D318*Supuestos!$C32</f>
        <v>0</v>
      </c>
      <c r="G318" s="72">
        <f>D318*(1-Supuestos!$C32)</f>
        <v>13333332.3333333</v>
      </c>
      <c r="I318" s="72">
        <f t="shared" si="17"/>
        <v>0</v>
      </c>
      <c r="J318" s="72">
        <f>G318*Supuestos!$C$20</f>
        <v>1490711.8731964573</v>
      </c>
      <c r="K318" s="72">
        <f>(I318+J318)*(1/Supuestos!$C$20)</f>
        <v>13333332.333333302</v>
      </c>
    </row>
    <row r="319" spans="3:11" x14ac:dyDescent="0.25">
      <c r="C319" s="5" t="str">
        <f>'Informacion del AEP'!C146</f>
        <v>Acceso internet internacional</v>
      </c>
      <c r="D319" s="70">
        <f>INDEX('Informacion del AEP'!$D$138:$AE$158,MATCH('Costos aguas abajo'!$C319,'Informacion del AEP'!$C$138:$C$158,0),MATCH('Costos aguas abajo'!$C$310,'Informacion del AEP'!$D$137:$AE$137,0))</f>
        <v>3800002</v>
      </c>
      <c r="F319" s="72">
        <f>D319*Supuestos!$C33</f>
        <v>0</v>
      </c>
      <c r="G319" s="72">
        <f>D319*(1-Supuestos!$C33)</f>
        <v>3800002</v>
      </c>
      <c r="I319" s="72">
        <f t="shared" si="17"/>
        <v>0</v>
      </c>
      <c r="J319" s="72">
        <f>G319*Supuestos!$C$20</f>
        <v>424853.13933175779</v>
      </c>
      <c r="K319" s="72">
        <f>(I319+J319)*(1/Supuestos!$C$20)</f>
        <v>3800002</v>
      </c>
    </row>
    <row r="320" spans="3:11" x14ac:dyDescent="0.25">
      <c r="C320" s="5" t="str">
        <f>'Informacion del AEP'!C147</f>
        <v>Roaming nacional</v>
      </c>
      <c r="D320" s="70">
        <f>INDEX('Informacion del AEP'!$D$138:$AE$158,MATCH('Costos aguas abajo'!$C320,'Informacion del AEP'!$C$138:$C$158,0),MATCH('Costos aguas abajo'!$C$310,'Informacion del AEP'!$D$137:$AE$137,0))</f>
        <v>1500002</v>
      </c>
      <c r="F320" s="72">
        <f>D320*Supuestos!$C34</f>
        <v>0</v>
      </c>
      <c r="G320" s="72">
        <f>D320*(1-Supuestos!$C34)</f>
        <v>1500002</v>
      </c>
      <c r="I320" s="72">
        <f t="shared" si="17"/>
        <v>0</v>
      </c>
      <c r="J320" s="72">
        <f>G320*Supuestos!$C$20</f>
        <v>167705.32191928197</v>
      </c>
      <c r="K320" s="72">
        <f>(I320+J320)*(1/Supuestos!$C$20)</f>
        <v>1500002</v>
      </c>
    </row>
    <row r="321" spans="3:11" x14ac:dyDescent="0.25">
      <c r="C321" s="5" t="str">
        <f>'Informacion del AEP'!C148</f>
        <v>Roaming internacional</v>
      </c>
      <c r="D321" s="70">
        <f>INDEX('Informacion del AEP'!$D$138:$AE$158,MATCH('Costos aguas abajo'!$C321,'Informacion del AEP'!$C$138:$C$158,0),MATCH('Costos aguas abajo'!$C$310,'Informacion del AEP'!$D$137:$AE$137,0))</f>
        <v>0</v>
      </c>
      <c r="F321" s="72">
        <f>D321*Supuestos!$C35</f>
        <v>0</v>
      </c>
      <c r="G321" s="72">
        <f>D321*(1-Supuestos!$C35)</f>
        <v>0</v>
      </c>
      <c r="I321" s="72">
        <f t="shared" si="17"/>
        <v>0</v>
      </c>
      <c r="J321" s="72">
        <f>G321*Supuestos!$C$20</f>
        <v>0</v>
      </c>
      <c r="K321" s="72">
        <f>(I321+J321)*(1/Supuestos!$C$20)</f>
        <v>0</v>
      </c>
    </row>
    <row r="322" spans="3:11" x14ac:dyDescent="0.25">
      <c r="C322" s="5" t="str">
        <f>'Informacion del AEP'!C149</f>
        <v>Provisiones</v>
      </c>
      <c r="D322" s="70">
        <f>INDEX('Informacion del AEP'!$D$138:$AE$158,MATCH('Costos aguas abajo'!$C322,'Informacion del AEP'!$C$138:$C$158,0),MATCH('Costos aguas abajo'!$C$310,'Informacion del AEP'!$D$137:$AE$137,0))</f>
        <v>16666662.6666667</v>
      </c>
      <c r="F322" s="72">
        <f>D322*Supuestos!$C36</f>
        <v>0</v>
      </c>
      <c r="G322" s="72">
        <f>D322*(1-Supuestos!$C36)</f>
        <v>16666662.6666667</v>
      </c>
      <c r="I322" s="72">
        <f t="shared" si="17"/>
        <v>0</v>
      </c>
      <c r="J322" s="72">
        <f>G322*Supuestos!$C$20</f>
        <v>1863389.5340362329</v>
      </c>
      <c r="K322" s="72">
        <f>(I322+J322)*(1/Supuestos!$C$20)</f>
        <v>16666662.6666667</v>
      </c>
    </row>
    <row r="323" spans="3:11" x14ac:dyDescent="0.25">
      <c r="C323" s="5" t="str">
        <f>'Informacion del AEP'!C150</f>
        <v>Costos directos de la venta de terminales</v>
      </c>
      <c r="D323" s="70">
        <f>INDEX('Informacion del AEP'!$D$138:$AE$158,MATCH('Costos aguas abajo'!$C323,'Informacion del AEP'!$C$138:$C$158,0),MATCH('Costos aguas abajo'!$C$310,'Informacion del AEP'!$D$137:$AE$137,0))</f>
        <v>1000000002</v>
      </c>
      <c r="F323" s="72">
        <f>D323*Supuestos!$C37</f>
        <v>0</v>
      </c>
      <c r="G323" s="72">
        <f>D323*(1-Supuestos!$C37)</f>
        <v>1000000002</v>
      </c>
      <c r="I323" s="72">
        <f t="shared" si="17"/>
        <v>0</v>
      </c>
      <c r="J323" s="72">
        <f>G323*Supuestos!$C$20</f>
        <v>111803399.09859627</v>
      </c>
      <c r="K323" s="72">
        <f>(I323+J323)*(1/Supuestos!$C$20)</f>
        <v>1000000002</v>
      </c>
    </row>
    <row r="324" spans="3:11" x14ac:dyDescent="0.25">
      <c r="C324" s="5" t="str">
        <f>'Informacion del AEP'!C151</f>
        <v>Servicios generales y de gestión - minoristas</v>
      </c>
      <c r="D324" s="70">
        <f>INDEX('Informacion del AEP'!$D$138:$AE$158,MATCH('Costos aguas abajo'!$C324,'Informacion del AEP'!$C$138:$C$158,0),MATCH('Costos aguas abajo'!$C$310,'Informacion del AEP'!$D$137:$AE$137,0))</f>
        <v>200000002</v>
      </c>
      <c r="F324" s="72">
        <f>D324*Supuestos!$C38</f>
        <v>10000000.1</v>
      </c>
      <c r="G324" s="72">
        <f>D324*(1-Supuestos!$C38)</f>
        <v>190000001.90000001</v>
      </c>
      <c r="I324" s="72">
        <f t="shared" si="17"/>
        <v>10000000.1</v>
      </c>
      <c r="J324" s="72">
        <f>G324*Supuestos!$C$20</f>
        <v>21242645.99867446</v>
      </c>
      <c r="K324" s="72">
        <f>(I324+J324)*(1/Supuestos!$C$20)</f>
        <v>279442721.89441878</v>
      </c>
    </row>
    <row r="325" spans="3:11" x14ac:dyDescent="0.25">
      <c r="C325" s="5" t="str">
        <f>'Informacion del AEP'!C152</f>
        <v>Servicios generales y de gestión - red</v>
      </c>
      <c r="D325" s="70">
        <f>INDEX('Informacion del AEP'!$D$138:$AE$158,MATCH('Costos aguas abajo'!$C325,'Informacion del AEP'!$C$138:$C$158,0),MATCH('Costos aguas abajo'!$C$310,'Informacion del AEP'!$D$137:$AE$137,0))</f>
        <v>0</v>
      </c>
      <c r="F325" s="72">
        <f>D325*Supuestos!$C39</f>
        <v>0</v>
      </c>
      <c r="G325" s="72">
        <f>D325*(1-Supuestos!$C39)</f>
        <v>0</v>
      </c>
      <c r="I325" s="72">
        <f t="shared" si="17"/>
        <v>0</v>
      </c>
      <c r="J325" s="72">
        <f>G325*Supuestos!$C$20</f>
        <v>0</v>
      </c>
      <c r="K325" s="72">
        <f>(I325+J325)*(1/Supuestos!$C$20)</f>
        <v>0</v>
      </c>
    </row>
    <row r="326" spans="3:11" x14ac:dyDescent="0.25">
      <c r="C326" s="5" t="str">
        <f>'Informacion del AEP'!C153</f>
        <v xml:space="preserve">Servicios generales y de gestión - negocio </v>
      </c>
      <c r="D326" s="70">
        <f>INDEX('Informacion del AEP'!$D$138:$AE$158,MATCH('Costos aguas abajo'!$C326,'Informacion del AEP'!$C$138:$C$158,0),MATCH('Costos aguas abajo'!$C$310,'Informacion del AEP'!$D$137:$AE$137,0))</f>
        <v>50000002</v>
      </c>
      <c r="F326" s="72">
        <f>D326*Supuestos!$C40</f>
        <v>5000000.2</v>
      </c>
      <c r="G326" s="72">
        <f>D326*(1-Supuestos!$C40)</f>
        <v>45000001.800000004</v>
      </c>
      <c r="I326" s="72">
        <f t="shared" si="17"/>
        <v>5000000.2</v>
      </c>
      <c r="J326" s="72">
        <f>G326*Supuestos!$C$20</f>
        <v>5031153.1506206449</v>
      </c>
      <c r="K326" s="72">
        <f>(I326+J326)*(1/Supuestos!$C$20)</f>
        <v>89721363.138850197</v>
      </c>
    </row>
    <row r="327" spans="3:11" ht="13" x14ac:dyDescent="0.3">
      <c r="C327" s="64" t="s">
        <v>109</v>
      </c>
      <c r="D327" s="218">
        <f>SUM(D328:D331)</f>
        <v>0</v>
      </c>
      <c r="F327" s="218">
        <f>SUM(F328:F331)</f>
        <v>0</v>
      </c>
      <c r="G327" s="218">
        <f>SUM(G328:G331)</f>
        <v>0</v>
      </c>
      <c r="I327" s="218">
        <f>SUM(I328:I331)</f>
        <v>0</v>
      </c>
      <c r="J327" s="218">
        <f>SUM(J328:J331)</f>
        <v>0</v>
      </c>
      <c r="K327" s="218">
        <f>SUM(K328:K331)</f>
        <v>0</v>
      </c>
    </row>
    <row r="328" spans="3:11" x14ac:dyDescent="0.25">
      <c r="C328" s="5" t="str">
        <f>'Informacion del AEP'!C154</f>
        <v>Costo del Capital:Servicios generales y de gestión - minoristas</v>
      </c>
      <c r="D328" s="70">
        <f>INDEX('Informacion del AEP'!$D$138:$AE$158,MATCH('Costos aguas abajo'!$C328,'Informacion del AEP'!$C$138:$C$158,0),MATCH('Costos aguas abajo'!$C$310,'Informacion del AEP'!$D$137:$AE$137,0))</f>
        <v>0</v>
      </c>
      <c r="F328" s="72">
        <f>D328*Supuestos!$C41</f>
        <v>0</v>
      </c>
      <c r="G328" s="72">
        <f>D328*(1-Supuestos!$C41)</f>
        <v>0</v>
      </c>
      <c r="I328" s="72">
        <f t="shared" si="17"/>
        <v>0</v>
      </c>
      <c r="J328" s="72">
        <f>G328*Supuestos!$C$20</f>
        <v>0</v>
      </c>
      <c r="K328" s="72">
        <f>(I328+J328)*(1/Supuestos!$C$20)</f>
        <v>0</v>
      </c>
    </row>
    <row r="329" spans="3:11" x14ac:dyDescent="0.25">
      <c r="C329" s="5" t="str">
        <f>'Informacion del AEP'!C155</f>
        <v>Costo del Capital:Servicios generales y de gestión - red</v>
      </c>
      <c r="D329" s="70">
        <f>INDEX('Informacion del AEP'!$D$138:$AE$158,MATCH('Costos aguas abajo'!$C329,'Informacion del AEP'!$C$138:$C$158,0),MATCH('Costos aguas abajo'!$C$310,'Informacion del AEP'!$D$137:$AE$137,0))</f>
        <v>0</v>
      </c>
      <c r="F329" s="72">
        <f>D329*Supuestos!$C42</f>
        <v>0</v>
      </c>
      <c r="G329" s="72">
        <f>D329*(1-Supuestos!$C42)</f>
        <v>0</v>
      </c>
      <c r="I329" s="72">
        <f>+F329</f>
        <v>0</v>
      </c>
      <c r="J329" s="72">
        <f>G329*Supuestos!$C$20</f>
        <v>0</v>
      </c>
      <c r="K329" s="72">
        <f>(I329+J329)*(1/Supuestos!$C$20)</f>
        <v>0</v>
      </c>
    </row>
    <row r="330" spans="3:11" x14ac:dyDescent="0.25">
      <c r="C330" s="5" t="str">
        <f>'Informacion del AEP'!C156</f>
        <v xml:space="preserve">Costo del Capital:Servicios generales y de gestión - negocio </v>
      </c>
      <c r="D330" s="70">
        <f>INDEX('Informacion del AEP'!$D$138:$AE$158,MATCH('Costos aguas abajo'!$C330,'Informacion del AEP'!$C$138:$C$158,0),MATCH('Costos aguas abajo'!$C$310,'Informacion del AEP'!$D$137:$AE$137,0))</f>
        <v>0</v>
      </c>
      <c r="F330" s="72">
        <f>D330*Supuestos!$C43</f>
        <v>0</v>
      </c>
      <c r="G330" s="72">
        <f>D330*(1-Supuestos!$C43)</f>
        <v>0</v>
      </c>
      <c r="I330" s="72">
        <f>+F330</f>
        <v>0</v>
      </c>
      <c r="J330" s="72">
        <f>G330*Supuestos!$C$20</f>
        <v>0</v>
      </c>
      <c r="K330" s="72">
        <f>(I330+J330)*(1/Supuestos!$C$20)</f>
        <v>0</v>
      </c>
    </row>
    <row r="331" spans="3:11" x14ac:dyDescent="0.25">
      <c r="C331" s="5" t="str">
        <f>'Informacion del AEP'!C157</f>
        <v>Costo del Capital:Equipos terminales</v>
      </c>
      <c r="D331" s="70">
        <f>INDEX('Informacion del AEP'!$D$138:$AE$158,MATCH('Costos aguas abajo'!$C331,'Informacion del AEP'!$C$138:$C$158,0),MATCH('Costos aguas abajo'!$C$310,'Informacion del AEP'!$D$137:$AE$137,0))</f>
        <v>0</v>
      </c>
      <c r="F331" s="72">
        <f>D331*Supuestos!$C44</f>
        <v>0</v>
      </c>
      <c r="G331" s="72">
        <f>D331*(1-Supuestos!$C44)</f>
        <v>0</v>
      </c>
      <c r="I331" s="72">
        <f>+F331</f>
        <v>0</v>
      </c>
      <c r="J331" s="72">
        <f>G331*Supuestos!$C$20</f>
        <v>0</v>
      </c>
      <c r="K331" s="72">
        <f>(I331+J331)*(1/Supuestos!$C$20)</f>
        <v>0</v>
      </c>
    </row>
    <row r="333" spans="3:11" ht="13" x14ac:dyDescent="0.3">
      <c r="C333" s="73" t="s">
        <v>42</v>
      </c>
      <c r="D333" s="38" t="str">
        <f>IF(D310='Informacion del AEP'!R158,"Ok","Error")</f>
        <v>Ok</v>
      </c>
      <c r="I333" s="38" t="str">
        <f>IF(I310=F310,"Ok","Error")</f>
        <v>Ok</v>
      </c>
    </row>
    <row r="335" spans="3:11" ht="13" x14ac:dyDescent="0.3">
      <c r="C335" s="74" t="str">
        <f>Supuestos!$B$83</f>
        <v>Telcel Pospago 3</v>
      </c>
      <c r="D335" s="75">
        <f>SUM(D336:D352)</f>
        <v>1627433348.3333335</v>
      </c>
      <c r="E335" s="76"/>
      <c r="F335" s="75">
        <f>SUM(F336:F352)</f>
        <v>45365001.199999996</v>
      </c>
      <c r="G335" s="75">
        <f>SUM(G336:G352)</f>
        <v>1582068347.1333334</v>
      </c>
      <c r="H335" s="76"/>
      <c r="I335" s="75">
        <f>SUM(I336:I352)</f>
        <v>45365001.199999996</v>
      </c>
      <c r="J335" s="75">
        <f>SUM(J336:J352)</f>
        <v>176880618.4620434</v>
      </c>
      <c r="K335" s="75">
        <f>SUM(K336:K352)</f>
        <v>1987825253.0635717</v>
      </c>
    </row>
    <row r="336" spans="3:11" x14ac:dyDescent="0.25">
      <c r="C336" s="5" t="str">
        <f>'Informacion del AEP'!C138</f>
        <v>Acceso a Internet</v>
      </c>
      <c r="D336" s="70">
        <f>INDEX('Informacion del AEP'!$D$138:$AE$158,MATCH('Costos aguas abajo'!$C336,'Informacion del AEP'!$C$138:$C$158,0),MATCH('Costos aguas abajo'!$C$335,'Informacion del AEP'!$D$137:$AE$137,0))</f>
        <v>0</v>
      </c>
      <c r="F336" s="72">
        <f>D336*Supuestos!$C25</f>
        <v>0</v>
      </c>
      <c r="G336" s="72">
        <f>D336*(1-Supuestos!$C25)</f>
        <v>0</v>
      </c>
      <c r="I336" s="72">
        <f>+F336</f>
        <v>0</v>
      </c>
      <c r="J336" s="72">
        <f>G336*Supuestos!$C$20</f>
        <v>0</v>
      </c>
      <c r="K336" s="72">
        <f>(I336+J336)*(1/Supuestos!$C$20)</f>
        <v>0</v>
      </c>
    </row>
    <row r="337" spans="3:11" x14ac:dyDescent="0.25">
      <c r="C337" s="5" t="str">
        <f>'Informacion del AEP'!C139</f>
        <v>Servicios OTT de vídeo</v>
      </c>
      <c r="D337" s="70">
        <f>INDEX('Informacion del AEP'!$D$138:$AE$158,MATCH('Costos aguas abajo'!$C337,'Informacion del AEP'!$C$138:$C$158,0),MATCH('Costos aguas abajo'!$C$335,'Informacion del AEP'!$D$137:$AE$137,0))</f>
        <v>26666663.666666701</v>
      </c>
      <c r="F337" s="72">
        <f>D337*Supuestos!$C26</f>
        <v>0</v>
      </c>
      <c r="G337" s="72">
        <f>D337*(1-Supuestos!$C26)</f>
        <v>26666663.666666701</v>
      </c>
      <c r="I337" s="72">
        <f t="shared" ref="I337:I353" si="18">+F337</f>
        <v>0</v>
      </c>
      <c r="J337" s="72">
        <f>G337*Supuestos!$C$20</f>
        <v>2981423.6345895268</v>
      </c>
      <c r="K337" s="72">
        <f>(I337+J337)*(1/Supuestos!$C$20)</f>
        <v>26666663.666666701</v>
      </c>
    </row>
    <row r="338" spans="3:11" x14ac:dyDescent="0.25">
      <c r="C338" s="5" t="str">
        <f>'Informacion del AEP'!C140</f>
        <v>Servicios OTT de audio</v>
      </c>
      <c r="D338" s="70">
        <f>INDEX('Informacion del AEP'!$D$138:$AE$158,MATCH('Costos aguas abajo'!$C338,'Informacion del AEP'!$C$138:$C$158,0),MATCH('Costos aguas abajo'!$C$335,'Informacion del AEP'!$D$137:$AE$137,0))</f>
        <v>0</v>
      </c>
      <c r="F338" s="72">
        <f>D338*Supuestos!$C27</f>
        <v>0</v>
      </c>
      <c r="G338" s="72">
        <f>D338*(1-Supuestos!$C27)</f>
        <v>0</v>
      </c>
      <c r="I338" s="72">
        <f t="shared" si="18"/>
        <v>0</v>
      </c>
      <c r="J338" s="72">
        <f>G338*Supuestos!$C$20</f>
        <v>0</v>
      </c>
      <c r="K338" s="72">
        <f>(I338+J338)*(1/Supuestos!$C$20)</f>
        <v>0</v>
      </c>
    </row>
    <row r="339" spans="3:11" x14ac:dyDescent="0.25">
      <c r="C339" s="5" t="str">
        <f>'Informacion del AEP'!C141</f>
        <v>Comerciales</v>
      </c>
      <c r="D339" s="70">
        <f>INDEX('Informacion del AEP'!$D$138:$AE$158,MATCH('Costos aguas abajo'!$C339,'Informacion del AEP'!$C$138:$C$158,0),MATCH('Costos aguas abajo'!$C$335,'Informacion del AEP'!$D$137:$AE$137,0))</f>
        <v>300000003</v>
      </c>
      <c r="F339" s="72">
        <f>D339*Supuestos!$C28</f>
        <v>30000000.300000001</v>
      </c>
      <c r="G339" s="72">
        <f>D339*(1-Supuestos!$C28)</f>
        <v>270000002.69999999</v>
      </c>
      <c r="I339" s="72">
        <f t="shared" si="18"/>
        <v>30000000.300000001</v>
      </c>
      <c r="J339" s="72">
        <f>G339*Supuestos!$C$20</f>
        <v>30186917.998116337</v>
      </c>
      <c r="K339" s="72">
        <f>(I339+J339)*(1/Supuestos!$C$20)</f>
        <v>538328162.68325639</v>
      </c>
    </row>
    <row r="340" spans="3:11" x14ac:dyDescent="0.25">
      <c r="C340" s="5" t="str">
        <f>'Informacion del AEP'!C142</f>
        <v>Facturación</v>
      </c>
      <c r="D340" s="70">
        <f>INDEX('Informacion del AEP'!$D$138:$AE$158,MATCH('Costos aguas abajo'!$C340,'Informacion del AEP'!$C$138:$C$158,0),MATCH('Costos aguas abajo'!$C$335,'Informacion del AEP'!$D$137:$AE$137,0))</f>
        <v>300003</v>
      </c>
      <c r="F340" s="72">
        <f>D340*Supuestos!$C29</f>
        <v>15000.150000000001</v>
      </c>
      <c r="G340" s="72">
        <f>D340*(1-Supuestos!$C29)</f>
        <v>285002.84999999998</v>
      </c>
      <c r="I340" s="72">
        <f t="shared" si="18"/>
        <v>15000.150000000001</v>
      </c>
      <c r="J340" s="72">
        <f>G340*Supuestos!$C$20</f>
        <v>31864.287319058792</v>
      </c>
      <c r="K340" s="72">
        <f>(I340+J340)*(1/Supuestos!$C$20)</f>
        <v>419168.27029077389</v>
      </c>
    </row>
    <row r="341" spans="3:11" x14ac:dyDescent="0.25">
      <c r="C341" s="5" t="str">
        <f>'Informacion del AEP'!C143</f>
        <v>Cobranza</v>
      </c>
      <c r="D341" s="70">
        <f>INDEX('Informacion del AEP'!$D$138:$AE$158,MATCH('Costos aguas abajo'!$C341,'Informacion del AEP'!$C$138:$C$158,0),MATCH('Costos aguas abajo'!$C$335,'Informacion del AEP'!$D$137:$AE$137,0))</f>
        <v>11666663.6666667</v>
      </c>
      <c r="F341" s="72">
        <f>D341*Supuestos!$C30</f>
        <v>0</v>
      </c>
      <c r="G341" s="72">
        <f>D341*(1-Supuestos!$C30)</f>
        <v>11666663.6666667</v>
      </c>
      <c r="I341" s="72">
        <f t="shared" si="18"/>
        <v>0</v>
      </c>
      <c r="J341" s="72">
        <f>G341*Supuestos!$C$20</f>
        <v>1304372.6514646844</v>
      </c>
      <c r="K341" s="72">
        <f>(I341+J341)*(1/Supuestos!$C$20)</f>
        <v>11666663.6666667</v>
      </c>
    </row>
    <row r="342" spans="3:11" x14ac:dyDescent="0.25">
      <c r="C342" s="5" t="str">
        <f>'Informacion del AEP'!C144</f>
        <v>Tasas e impuestos</v>
      </c>
      <c r="D342" s="70">
        <f>INDEX('Informacion del AEP'!$D$138:$AE$158,MATCH('Costos aguas abajo'!$C342,'Informacion del AEP'!$C$138:$C$158,0),MATCH('Costos aguas abajo'!$C$335,'Informacion del AEP'!$D$137:$AE$137,0))</f>
        <v>3500003</v>
      </c>
      <c r="F342" s="72">
        <f>D342*Supuestos!$C31</f>
        <v>350000.30000000005</v>
      </c>
      <c r="G342" s="72">
        <f>D342*(1-Supuestos!$C31)</f>
        <v>3150002.7</v>
      </c>
      <c r="I342" s="72">
        <f t="shared" si="18"/>
        <v>350000.30000000005</v>
      </c>
      <c r="J342" s="72">
        <f>G342*Supuestos!$C$20</f>
        <v>352181.00832539384</v>
      </c>
      <c r="K342" s="72">
        <f>(I342+J342)*(1/Supuestos!$C$20)</f>
        <v>6280500.551781279</v>
      </c>
    </row>
    <row r="343" spans="3:11" x14ac:dyDescent="0.25">
      <c r="C343" s="5" t="str">
        <f>'Informacion del AEP'!C145</f>
        <v>Programas de fidelización</v>
      </c>
      <c r="D343" s="70">
        <f>INDEX('Informacion del AEP'!$D$138:$AE$158,MATCH('Costos aguas abajo'!$C343,'Informacion del AEP'!$C$138:$C$158,0),MATCH('Costos aguas abajo'!$C$335,'Informacion del AEP'!$D$137:$AE$137,0))</f>
        <v>13333333.3333333</v>
      </c>
      <c r="F343" s="72">
        <f>D343*Supuestos!$C32</f>
        <v>0</v>
      </c>
      <c r="G343" s="72">
        <f>D343*(1-Supuestos!$C32)</f>
        <v>13333333.3333333</v>
      </c>
      <c r="I343" s="72">
        <f t="shared" si="18"/>
        <v>0</v>
      </c>
      <c r="J343" s="72">
        <f>G343*Supuestos!$C$20</f>
        <v>1490711.984999856</v>
      </c>
      <c r="K343" s="72">
        <f>(I343+J343)*(1/Supuestos!$C$20)</f>
        <v>13333333.3333333</v>
      </c>
    </row>
    <row r="344" spans="3:11" x14ac:dyDescent="0.25">
      <c r="C344" s="5" t="str">
        <f>'Informacion del AEP'!C146</f>
        <v>Acceso internet internacional</v>
      </c>
      <c r="D344" s="70">
        <f>INDEX('Informacion del AEP'!$D$138:$AE$158,MATCH('Costos aguas abajo'!$C344,'Informacion del AEP'!$C$138:$C$158,0),MATCH('Costos aguas abajo'!$C$335,'Informacion del AEP'!$D$137:$AE$137,0))</f>
        <v>3800003</v>
      </c>
      <c r="F344" s="72">
        <f>D344*Supuestos!$C33</f>
        <v>0</v>
      </c>
      <c r="G344" s="72">
        <f>D344*(1-Supuestos!$C33)</f>
        <v>3800003</v>
      </c>
      <c r="I344" s="72">
        <f t="shared" si="18"/>
        <v>0</v>
      </c>
      <c r="J344" s="72">
        <f>G344*Supuestos!$C$20</f>
        <v>424853.25113515666</v>
      </c>
      <c r="K344" s="72">
        <f>(I344+J344)*(1/Supuestos!$C$20)</f>
        <v>3800003</v>
      </c>
    </row>
    <row r="345" spans="3:11" x14ac:dyDescent="0.25">
      <c r="C345" s="5" t="str">
        <f>'Informacion del AEP'!C147</f>
        <v>Roaming nacional</v>
      </c>
      <c r="D345" s="70">
        <f>INDEX('Informacion del AEP'!$D$138:$AE$158,MATCH('Costos aguas abajo'!$C345,'Informacion del AEP'!$C$138:$C$158,0),MATCH('Costos aguas abajo'!$C$335,'Informacion del AEP'!$D$137:$AE$137,0))</f>
        <v>1500003</v>
      </c>
      <c r="F345" s="72">
        <f>D345*Supuestos!$C34</f>
        <v>0</v>
      </c>
      <c r="G345" s="72">
        <f>D345*(1-Supuestos!$C34)</f>
        <v>1500003</v>
      </c>
      <c r="I345" s="72">
        <f t="shared" si="18"/>
        <v>0</v>
      </c>
      <c r="J345" s="72">
        <f>G345*Supuestos!$C$20</f>
        <v>167705.43372268084</v>
      </c>
      <c r="K345" s="72">
        <f>(I345+J345)*(1/Supuestos!$C$20)</f>
        <v>1500003</v>
      </c>
    </row>
    <row r="346" spans="3:11" x14ac:dyDescent="0.25">
      <c r="C346" s="5" t="str">
        <f>'Informacion del AEP'!C148</f>
        <v>Roaming internacional</v>
      </c>
      <c r="D346" s="70">
        <f>INDEX('Informacion del AEP'!$D$138:$AE$158,MATCH('Costos aguas abajo'!$C346,'Informacion del AEP'!$C$138:$C$158,0),MATCH('Costos aguas abajo'!$C$335,'Informacion del AEP'!$D$137:$AE$137,0))</f>
        <v>0</v>
      </c>
      <c r="F346" s="72">
        <f>D346*Supuestos!$C35</f>
        <v>0</v>
      </c>
      <c r="G346" s="72">
        <f>D346*(1-Supuestos!$C35)</f>
        <v>0</v>
      </c>
      <c r="I346" s="72">
        <f t="shared" si="18"/>
        <v>0</v>
      </c>
      <c r="J346" s="72">
        <f>G346*Supuestos!$C$20</f>
        <v>0</v>
      </c>
      <c r="K346" s="72">
        <f>(I346+J346)*(1/Supuestos!$C$20)</f>
        <v>0</v>
      </c>
    </row>
    <row r="347" spans="3:11" x14ac:dyDescent="0.25">
      <c r="C347" s="5" t="str">
        <f>'Informacion del AEP'!C149</f>
        <v>Provisiones</v>
      </c>
      <c r="D347" s="70">
        <f>INDEX('Informacion del AEP'!$D$138:$AE$158,MATCH('Costos aguas abajo'!$C347,'Informacion del AEP'!$C$138:$C$158,0),MATCH('Costos aguas abajo'!$C$335,'Informacion del AEP'!$D$137:$AE$137,0))</f>
        <v>16666663.6666667</v>
      </c>
      <c r="F347" s="72">
        <f>D347*Supuestos!$C36</f>
        <v>0</v>
      </c>
      <c r="G347" s="72">
        <f>D347*(1-Supuestos!$C36)</f>
        <v>16666663.6666667</v>
      </c>
      <c r="I347" s="72">
        <f t="shared" si="18"/>
        <v>0</v>
      </c>
      <c r="J347" s="72">
        <f>G347*Supuestos!$C$20</f>
        <v>1863389.6458396318</v>
      </c>
      <c r="K347" s="72">
        <f>(I347+J347)*(1/Supuestos!$C$20)</f>
        <v>16666663.6666667</v>
      </c>
    </row>
    <row r="348" spans="3:11" x14ac:dyDescent="0.25">
      <c r="C348" s="5" t="str">
        <f>'Informacion del AEP'!C150</f>
        <v>Costos directos de la venta de terminales</v>
      </c>
      <c r="D348" s="70">
        <f>INDEX('Informacion del AEP'!$D$138:$AE$158,MATCH('Costos aguas abajo'!$C348,'Informacion del AEP'!$C$138:$C$158,0),MATCH('Costos aguas abajo'!$C$335,'Informacion del AEP'!$D$137:$AE$137,0))</f>
        <v>1000000003</v>
      </c>
      <c r="F348" s="72">
        <f>D348*Supuestos!$C37</f>
        <v>0</v>
      </c>
      <c r="G348" s="72">
        <f>D348*(1-Supuestos!$C37)</f>
        <v>1000000003</v>
      </c>
      <c r="I348" s="72">
        <f t="shared" si="18"/>
        <v>0</v>
      </c>
      <c r="J348" s="72">
        <f>G348*Supuestos!$C$20</f>
        <v>111803399.21039967</v>
      </c>
      <c r="K348" s="72">
        <f>(I348+J348)*(1/Supuestos!$C$20)</f>
        <v>1000000003</v>
      </c>
    </row>
    <row r="349" spans="3:11" x14ac:dyDescent="0.25">
      <c r="C349" s="5" t="str">
        <f>'Informacion del AEP'!C151</f>
        <v>Servicios generales y de gestión - minoristas</v>
      </c>
      <c r="D349" s="70">
        <f>INDEX('Informacion del AEP'!$D$138:$AE$158,MATCH('Costos aguas abajo'!$C349,'Informacion del AEP'!$C$138:$C$158,0),MATCH('Costos aguas abajo'!$C$335,'Informacion del AEP'!$D$137:$AE$137,0))</f>
        <v>200000003</v>
      </c>
      <c r="F349" s="72">
        <f>D349*Supuestos!$C38</f>
        <v>10000000.15</v>
      </c>
      <c r="G349" s="72">
        <f>D349*(1-Supuestos!$C38)</f>
        <v>190000002.84999999</v>
      </c>
      <c r="I349" s="72">
        <f t="shared" si="18"/>
        <v>10000000.15</v>
      </c>
      <c r="J349" s="72">
        <f>G349*Supuestos!$C$20</f>
        <v>21242646.104887687</v>
      </c>
      <c r="K349" s="72">
        <f>(I349+J349)*(1/Supuestos!$C$20)</f>
        <v>279442723.29163235</v>
      </c>
    </row>
    <row r="350" spans="3:11" x14ac:dyDescent="0.25">
      <c r="C350" s="5" t="str">
        <f>'Informacion del AEP'!C152</f>
        <v>Servicios generales y de gestión - red</v>
      </c>
      <c r="D350" s="70">
        <f>INDEX('Informacion del AEP'!$D$138:$AE$158,MATCH('Costos aguas abajo'!$C350,'Informacion del AEP'!$C$138:$C$158,0),MATCH('Costos aguas abajo'!$C$335,'Informacion del AEP'!$D$137:$AE$137,0))</f>
        <v>0</v>
      </c>
      <c r="F350" s="72">
        <f>D350*Supuestos!$C39</f>
        <v>0</v>
      </c>
      <c r="G350" s="72">
        <f>D350*(1-Supuestos!$C39)</f>
        <v>0</v>
      </c>
      <c r="I350" s="72">
        <f t="shared" si="18"/>
        <v>0</v>
      </c>
      <c r="J350" s="72">
        <f>G350*Supuestos!$C$20</f>
        <v>0</v>
      </c>
      <c r="K350" s="72">
        <f>(I350+J350)*(1/Supuestos!$C$20)</f>
        <v>0</v>
      </c>
    </row>
    <row r="351" spans="3:11" x14ac:dyDescent="0.25">
      <c r="C351" s="5" t="str">
        <f>'Informacion del AEP'!C153</f>
        <v xml:space="preserve">Servicios generales y de gestión - negocio </v>
      </c>
      <c r="D351" s="70">
        <f>INDEX('Informacion del AEP'!$D$138:$AE$158,MATCH('Costos aguas abajo'!$C351,'Informacion del AEP'!$C$138:$C$158,0),MATCH('Costos aguas abajo'!$C$335,'Informacion del AEP'!$D$137:$AE$137,0))</f>
        <v>50000003</v>
      </c>
      <c r="F351" s="72">
        <f>D351*Supuestos!$C40</f>
        <v>5000000.3</v>
      </c>
      <c r="G351" s="72">
        <f>D351*(1-Supuestos!$C40)</f>
        <v>45000002.700000003</v>
      </c>
      <c r="I351" s="72">
        <f t="shared" si="18"/>
        <v>5000000.3</v>
      </c>
      <c r="J351" s="72">
        <f>G351*Supuestos!$C$20</f>
        <v>5031153.251243704</v>
      </c>
      <c r="K351" s="72">
        <f>(I351+J351)*(1/Supuestos!$C$20)</f>
        <v>89721364.933277369</v>
      </c>
    </row>
    <row r="352" spans="3:11" ht="13" x14ac:dyDescent="0.3">
      <c r="C352" s="64" t="s">
        <v>109</v>
      </c>
      <c r="D352" s="218">
        <f>SUM(D353:D356)</f>
        <v>0</v>
      </c>
      <c r="F352" s="218">
        <f>SUM(F353:F356)</f>
        <v>0</v>
      </c>
      <c r="G352" s="218">
        <f>SUM(G353:G356)</f>
        <v>0</v>
      </c>
      <c r="I352" s="218">
        <f>SUM(I353:I356)</f>
        <v>0</v>
      </c>
      <c r="J352" s="218">
        <f>SUM(J353:J356)</f>
        <v>0</v>
      </c>
      <c r="K352" s="218">
        <f>SUM(K353:K356)</f>
        <v>0</v>
      </c>
    </row>
    <row r="353" spans="3:11" x14ac:dyDescent="0.25">
      <c r="C353" s="5" t="str">
        <f>'Informacion del AEP'!C154</f>
        <v>Costo del Capital:Servicios generales y de gestión - minoristas</v>
      </c>
      <c r="D353" s="70">
        <f>INDEX('Informacion del AEP'!$D$138:$AE$158,MATCH('Costos aguas abajo'!$C353,'Informacion del AEP'!$C$138:$C$158,0),MATCH('Costos aguas abajo'!$C$335,'Informacion del AEP'!$D$137:$AE$137,0))</f>
        <v>0</v>
      </c>
      <c r="F353" s="72">
        <f>D353*Supuestos!$C41</f>
        <v>0</v>
      </c>
      <c r="G353" s="72">
        <f>D353*(1-Supuestos!$C41)</f>
        <v>0</v>
      </c>
      <c r="I353" s="72">
        <f t="shared" si="18"/>
        <v>0</v>
      </c>
      <c r="J353" s="72">
        <f>G353*Supuestos!$C$20</f>
        <v>0</v>
      </c>
      <c r="K353" s="72">
        <f>(I353+J353)*(1/Supuestos!$C$20)</f>
        <v>0</v>
      </c>
    </row>
    <row r="354" spans="3:11" x14ac:dyDescent="0.25">
      <c r="C354" s="5" t="str">
        <f>'Informacion del AEP'!C155</f>
        <v>Costo del Capital:Servicios generales y de gestión - red</v>
      </c>
      <c r="D354" s="70">
        <f>INDEX('Informacion del AEP'!$D$138:$AE$158,MATCH('Costos aguas abajo'!$C354,'Informacion del AEP'!$C$138:$C$158,0),MATCH('Costos aguas abajo'!$C$335,'Informacion del AEP'!$D$137:$AE$137,0))</f>
        <v>0</v>
      </c>
      <c r="F354" s="72">
        <f>D354*Supuestos!$C42</f>
        <v>0</v>
      </c>
      <c r="G354" s="72">
        <f>D354*(1-Supuestos!$C42)</f>
        <v>0</v>
      </c>
      <c r="I354" s="72">
        <f>+F354</f>
        <v>0</v>
      </c>
      <c r="J354" s="72">
        <f>G354*Supuestos!$C$20</f>
        <v>0</v>
      </c>
      <c r="K354" s="72">
        <f>(I354+J354)*(1/Supuestos!$C$20)</f>
        <v>0</v>
      </c>
    </row>
    <row r="355" spans="3:11" x14ac:dyDescent="0.25">
      <c r="C355" s="5" t="str">
        <f>'Informacion del AEP'!C156</f>
        <v xml:space="preserve">Costo del Capital:Servicios generales y de gestión - negocio </v>
      </c>
      <c r="D355" s="70">
        <f>INDEX('Informacion del AEP'!$D$138:$AE$158,MATCH('Costos aguas abajo'!$C355,'Informacion del AEP'!$C$138:$C$158,0),MATCH('Costos aguas abajo'!$C$335,'Informacion del AEP'!$D$137:$AE$137,0))</f>
        <v>0</v>
      </c>
      <c r="F355" s="72">
        <f>D355*Supuestos!$C43</f>
        <v>0</v>
      </c>
      <c r="G355" s="72">
        <f>D355*(1-Supuestos!$C43)</f>
        <v>0</v>
      </c>
      <c r="I355" s="72">
        <f>+F355</f>
        <v>0</v>
      </c>
      <c r="J355" s="72">
        <f>G355*Supuestos!$C$20</f>
        <v>0</v>
      </c>
      <c r="K355" s="72">
        <f>(I355+J355)*(1/Supuestos!$C$20)</f>
        <v>0</v>
      </c>
    </row>
    <row r="356" spans="3:11" x14ac:dyDescent="0.25">
      <c r="C356" s="5" t="str">
        <f>'Informacion del AEP'!C157</f>
        <v>Costo del Capital:Equipos terminales</v>
      </c>
      <c r="D356" s="70">
        <f>INDEX('Informacion del AEP'!$D$138:$AE$158,MATCH('Costos aguas abajo'!$C356,'Informacion del AEP'!$C$138:$C$158,0),MATCH('Costos aguas abajo'!$C$335,'Informacion del AEP'!$D$137:$AE$137,0))</f>
        <v>0</v>
      </c>
      <c r="F356" s="72">
        <f>D356*Supuestos!$C44</f>
        <v>0</v>
      </c>
      <c r="G356" s="72">
        <f>D356*(1-Supuestos!$C44)</f>
        <v>0</v>
      </c>
      <c r="I356" s="72">
        <f>+F356</f>
        <v>0</v>
      </c>
      <c r="J356" s="72">
        <f>G356*Supuestos!$C$20</f>
        <v>0</v>
      </c>
      <c r="K356" s="72">
        <f>(I356+J356)*(1/Supuestos!$C$20)</f>
        <v>0</v>
      </c>
    </row>
    <row r="358" spans="3:11" ht="13" x14ac:dyDescent="0.3">
      <c r="C358" s="73" t="s">
        <v>42</v>
      </c>
      <c r="D358" s="38" t="str">
        <f>IF(D335='Informacion del AEP'!S158,"Ok","Error")</f>
        <v>Ok</v>
      </c>
      <c r="I358" s="38" t="str">
        <f>IF(I335=F335,"Ok","Error")</f>
        <v>Ok</v>
      </c>
    </row>
    <row r="360" spans="3:11" ht="13" x14ac:dyDescent="0.3">
      <c r="C360" s="74" t="str">
        <f>Supuestos!B84</f>
        <v>Telcel Pospago 4</v>
      </c>
      <c r="D360" s="75">
        <f>SUM(D361:D377)</f>
        <v>1627433360.3333335</v>
      </c>
      <c r="E360" s="76"/>
      <c r="F360" s="75">
        <f>SUM(F361:F377)</f>
        <v>45365001.600000001</v>
      </c>
      <c r="G360" s="75">
        <f>SUM(G361:G377)</f>
        <v>1582068358.7333333</v>
      </c>
      <c r="H360" s="76"/>
      <c r="I360" s="75">
        <f>SUM(I361:I377)</f>
        <v>45365001.600000001</v>
      </c>
      <c r="J360" s="75">
        <f>SUM(J361:J377)</f>
        <v>176880619.75896281</v>
      </c>
      <c r="K360" s="75">
        <f>SUM(K361:K377)</f>
        <v>1987825268.2412806</v>
      </c>
    </row>
    <row r="361" spans="3:11" x14ac:dyDescent="0.25">
      <c r="C361" s="5" t="str">
        <f>'Informacion del AEP'!$C$138</f>
        <v>Acceso a Internet</v>
      </c>
      <c r="D361" s="70">
        <f>INDEX('Informacion del AEP'!$D$138:$AE$158,MATCH('Costos aguas abajo'!$C361,'Informacion del AEP'!$C$138:$C$158,0),MATCH('Costos aguas abajo'!$C$360,'Informacion del AEP'!$D$137:$AE$137,0))</f>
        <v>0</v>
      </c>
      <c r="F361" s="72">
        <f>D361*Supuestos!$C$25</f>
        <v>0</v>
      </c>
      <c r="G361" s="72">
        <f>D361*(1-Supuestos!$C$25)</f>
        <v>0</v>
      </c>
      <c r="I361" s="72">
        <f>+F361</f>
        <v>0</v>
      </c>
      <c r="J361" s="72">
        <f>G361*Supuestos!$C$20</f>
        <v>0</v>
      </c>
      <c r="K361" s="72">
        <f>(I361+J361)*(1/Supuestos!$C$20)</f>
        <v>0</v>
      </c>
    </row>
    <row r="362" spans="3:11" x14ac:dyDescent="0.25">
      <c r="C362" s="5" t="str">
        <f>'Informacion del AEP'!$C$139</f>
        <v>Servicios OTT de vídeo</v>
      </c>
      <c r="D362" s="70">
        <f>INDEX('Informacion del AEP'!$D$138:$AE$158,MATCH('Costos aguas abajo'!$C362,'Informacion del AEP'!$C$138:$C$158,0),MATCH('Costos aguas abajo'!$C$360,'Informacion del AEP'!$D$137:$AE$137,0))</f>
        <v>26666664.666666701</v>
      </c>
      <c r="F362" s="72">
        <f>D362*Supuestos!$C$26</f>
        <v>0</v>
      </c>
      <c r="G362" s="72">
        <f>D362*(1-Supuestos!$C$26)</f>
        <v>26666664.666666701</v>
      </c>
      <c r="I362" s="72">
        <f>+F362</f>
        <v>0</v>
      </c>
      <c r="J362" s="72">
        <f>G362*Supuestos!$C$20</f>
        <v>2981423.7463929257</v>
      </c>
      <c r="K362" s="72">
        <f>(I362+J362)*(1/Supuestos!$C$20)</f>
        <v>26666664.666666701</v>
      </c>
    </row>
    <row r="363" spans="3:11" x14ac:dyDescent="0.25">
      <c r="C363" s="5" t="str">
        <f>'Informacion del AEP'!$C$140</f>
        <v>Servicios OTT de audio</v>
      </c>
      <c r="D363" s="70">
        <f>INDEX('Informacion del AEP'!$D$138:$AE$158,MATCH('Costos aguas abajo'!$C363,'Informacion del AEP'!$C$138:$C$158,0),MATCH('Costos aguas abajo'!$C$360,'Informacion del AEP'!$D$137:$AE$137,0))</f>
        <v>0</v>
      </c>
      <c r="F363" s="72">
        <f>D363*Supuestos!$C$27</f>
        <v>0</v>
      </c>
      <c r="G363" s="72">
        <f>D363*(1-Supuestos!$C$27)</f>
        <v>0</v>
      </c>
      <c r="I363" s="72">
        <f t="shared" ref="I363:I376" si="19">+F363</f>
        <v>0</v>
      </c>
      <c r="J363" s="72">
        <f>G363*Supuestos!$C$20</f>
        <v>0</v>
      </c>
      <c r="K363" s="72">
        <f>(I363+J363)*(1/Supuestos!$C$20)</f>
        <v>0</v>
      </c>
    </row>
    <row r="364" spans="3:11" x14ac:dyDescent="0.25">
      <c r="C364" s="5" t="str">
        <f>'Informacion del AEP'!$C$141</f>
        <v>Comerciales</v>
      </c>
      <c r="D364" s="70">
        <f>INDEX('Informacion del AEP'!$D$138:$AE$158,MATCH('Costos aguas abajo'!$C364,'Informacion del AEP'!$C$138:$C$158,0),MATCH('Costos aguas abajo'!$C$360,'Informacion del AEP'!$D$137:$AE$137,0))</f>
        <v>300000004</v>
      </c>
      <c r="F364" s="72">
        <f>D364*Supuestos!$C$28</f>
        <v>30000000.400000002</v>
      </c>
      <c r="G364" s="72">
        <f>D364*(1-Supuestos!$C$28)</f>
        <v>270000003.60000002</v>
      </c>
      <c r="I364" s="72">
        <f t="shared" si="19"/>
        <v>30000000.400000002</v>
      </c>
      <c r="J364" s="72">
        <f>G364*Supuestos!$C$20</f>
        <v>30186918.098739401</v>
      </c>
      <c r="K364" s="72">
        <f>(I364+J364)*(1/Supuestos!$C$20)</f>
        <v>538328164.47768366</v>
      </c>
    </row>
    <row r="365" spans="3:11" x14ac:dyDescent="0.25">
      <c r="C365" s="5" t="str">
        <f>'Informacion del AEP'!$C$142</f>
        <v>Facturación</v>
      </c>
      <c r="D365" s="70">
        <f>INDEX('Informacion del AEP'!$D$138:$AE$158,MATCH('Costos aguas abajo'!$C365,'Informacion del AEP'!$C$138:$C$158,0),MATCH('Costos aguas abajo'!$C$360,'Informacion del AEP'!$D$137:$AE$137,0))</f>
        <v>300004</v>
      </c>
      <c r="F365" s="72">
        <f>D365*Supuestos!$C$29</f>
        <v>15000.2</v>
      </c>
      <c r="G365" s="72">
        <f>D365*(1-Supuestos!$C$29)</f>
        <v>285003.8</v>
      </c>
      <c r="I365" s="72">
        <f t="shared" si="19"/>
        <v>15000.2</v>
      </c>
      <c r="J365" s="72">
        <f>G365*Supuestos!$C$20</f>
        <v>31864.393532287726</v>
      </c>
      <c r="K365" s="72">
        <f>(I365+J365)*(1/Supuestos!$C$20)</f>
        <v>419169.6675043694</v>
      </c>
    </row>
    <row r="366" spans="3:11" x14ac:dyDescent="0.25">
      <c r="C366" s="5" t="str">
        <f>'Informacion del AEP'!$C$143</f>
        <v>Cobranza</v>
      </c>
      <c r="D366" s="70">
        <f>INDEX('Informacion del AEP'!$D$138:$AE$158,MATCH('Costos aguas abajo'!$C366,'Informacion del AEP'!$C$138:$C$158,0),MATCH('Costos aguas abajo'!$C$360,'Informacion del AEP'!$D$137:$AE$137,0))</f>
        <v>11666664.6666667</v>
      </c>
      <c r="F366" s="72">
        <f>D366*Supuestos!$C$30</f>
        <v>0</v>
      </c>
      <c r="G366" s="72">
        <f>D366*(1-Supuestos!$C$30)</f>
        <v>11666664.6666667</v>
      </c>
      <c r="I366" s="72">
        <f t="shared" si="19"/>
        <v>0</v>
      </c>
      <c r="J366" s="72">
        <f>G366*Supuestos!$C$20</f>
        <v>1304372.7632680833</v>
      </c>
      <c r="K366" s="72">
        <f>(I366+J366)*(1/Supuestos!$C$20)</f>
        <v>11666664.666666701</v>
      </c>
    </row>
    <row r="367" spans="3:11" x14ac:dyDescent="0.25">
      <c r="C367" s="5" t="str">
        <f>'Informacion del AEP'!$C$144</f>
        <v>Tasas e impuestos</v>
      </c>
      <c r="D367" s="70">
        <f>INDEX('Informacion del AEP'!$D$138:$AE$158,MATCH('Costos aguas abajo'!$C367,'Informacion del AEP'!$C$138:$C$158,0),MATCH('Costos aguas abajo'!$C$360,'Informacion del AEP'!$D$137:$AE$137,0))</f>
        <v>3500004</v>
      </c>
      <c r="F367" s="72">
        <f>D367*Supuestos!$C$31</f>
        <v>350000.4</v>
      </c>
      <c r="G367" s="72">
        <f>D367*(1-Supuestos!$C$31)</f>
        <v>3150003.6</v>
      </c>
      <c r="I367" s="72">
        <f t="shared" si="19"/>
        <v>350000.4</v>
      </c>
      <c r="J367" s="72">
        <f>G367*Supuestos!$C$20</f>
        <v>352181.10894845281</v>
      </c>
      <c r="K367" s="72">
        <f>(I367+J367)*(1/Supuestos!$C$20)</f>
        <v>6280502.346208469</v>
      </c>
    </row>
    <row r="368" spans="3:11" x14ac:dyDescent="0.25">
      <c r="C368" s="5" t="str">
        <f>'Informacion del AEP'!$C$145</f>
        <v>Programas de fidelización</v>
      </c>
      <c r="D368" s="70">
        <f>INDEX('Informacion del AEP'!$D$138:$AE$158,MATCH('Costos aguas abajo'!$C368,'Informacion del AEP'!$C$138:$C$158,0),MATCH('Costos aguas abajo'!$C$360,'Informacion del AEP'!$D$137:$AE$137,0))</f>
        <v>13333334.3333333</v>
      </c>
      <c r="F368" s="72">
        <f>D368*Supuestos!$C$32</f>
        <v>0</v>
      </c>
      <c r="G368" s="72">
        <f>D368*(1-Supuestos!$C$32)</f>
        <v>13333334.3333333</v>
      </c>
      <c r="I368" s="72">
        <f t="shared" si="19"/>
        <v>0</v>
      </c>
      <c r="J368" s="72">
        <f>G368*Supuestos!$C$20</f>
        <v>1490712.0968032549</v>
      </c>
      <c r="K368" s="72">
        <f>(I368+J368)*(1/Supuestos!$C$20)</f>
        <v>13333334.3333333</v>
      </c>
    </row>
    <row r="369" spans="3:11" x14ac:dyDescent="0.25">
      <c r="C369" s="5" t="str">
        <f>'Informacion del AEP'!$C$146</f>
        <v>Acceso internet internacional</v>
      </c>
      <c r="D369" s="70">
        <f>INDEX('Informacion del AEP'!$D$138:$AE$158,MATCH('Costos aguas abajo'!$C369,'Informacion del AEP'!$C$138:$C$158,0),MATCH('Costos aguas abajo'!$C$360,'Informacion del AEP'!$D$137:$AE$137,0))</f>
        <v>3800004</v>
      </c>
      <c r="F369" s="72">
        <f>D369*Supuestos!$C$33</f>
        <v>0</v>
      </c>
      <c r="G369" s="72">
        <f>D369*(1-Supuestos!$C$33)</f>
        <v>3800004</v>
      </c>
      <c r="I369" s="72">
        <f t="shared" si="19"/>
        <v>0</v>
      </c>
      <c r="J369" s="72">
        <f>G369*Supuestos!$C$20</f>
        <v>424853.36293855554</v>
      </c>
      <c r="K369" s="72">
        <f>(I369+J369)*(1/Supuestos!$C$20)</f>
        <v>3800004</v>
      </c>
    </row>
    <row r="370" spans="3:11" x14ac:dyDescent="0.25">
      <c r="C370" s="5" t="str">
        <f>'Informacion del AEP'!$C$147</f>
        <v>Roaming nacional</v>
      </c>
      <c r="D370" s="70">
        <f>INDEX('Informacion del AEP'!$D$138:$AE$158,MATCH('Costos aguas abajo'!$C370,'Informacion del AEP'!$C$138:$C$158,0),MATCH('Costos aguas abajo'!$C$360,'Informacion del AEP'!$D$137:$AE$137,0))</f>
        <v>1500004</v>
      </c>
      <c r="F370" s="72">
        <f>D370*Supuestos!$C$34</f>
        <v>0</v>
      </c>
      <c r="G370" s="72">
        <f>D370*(1-Supuestos!$C$34)</f>
        <v>1500004</v>
      </c>
      <c r="I370" s="72">
        <f t="shared" si="19"/>
        <v>0</v>
      </c>
      <c r="J370" s="72">
        <f>G370*Supuestos!$C$20</f>
        <v>167705.54552607972</v>
      </c>
      <c r="K370" s="72">
        <f>(I370+J370)*(1/Supuestos!$C$20)</f>
        <v>1500004</v>
      </c>
    </row>
    <row r="371" spans="3:11" x14ac:dyDescent="0.25">
      <c r="C371" s="5" t="str">
        <f>'Informacion del AEP'!$C$148</f>
        <v>Roaming internacional</v>
      </c>
      <c r="D371" s="70">
        <f>INDEX('Informacion del AEP'!$D$138:$AE$158,MATCH('Costos aguas abajo'!$C371,'Informacion del AEP'!$C$138:$C$158,0),MATCH('Costos aguas abajo'!$C$360,'Informacion del AEP'!$D$137:$AE$137,0))</f>
        <v>0</v>
      </c>
      <c r="F371" s="72">
        <f>D371*Supuestos!$C$35</f>
        <v>0</v>
      </c>
      <c r="G371" s="72">
        <f>D371*(1-Supuestos!$C$35)</f>
        <v>0</v>
      </c>
      <c r="I371" s="72">
        <f t="shared" si="19"/>
        <v>0</v>
      </c>
      <c r="J371" s="72">
        <f>G371*Supuestos!$C$20</f>
        <v>0</v>
      </c>
      <c r="K371" s="72">
        <f>(I371+J371)*(1/Supuestos!$C$20)</f>
        <v>0</v>
      </c>
    </row>
    <row r="372" spans="3:11" x14ac:dyDescent="0.25">
      <c r="C372" s="5" t="str">
        <f>'Informacion del AEP'!$C$149</f>
        <v>Provisiones</v>
      </c>
      <c r="D372" s="70">
        <f>INDEX('Informacion del AEP'!$D$138:$AE$158,MATCH('Costos aguas abajo'!$C372,'Informacion del AEP'!$C$138:$C$158,0),MATCH('Costos aguas abajo'!$C$360,'Informacion del AEP'!$D$137:$AE$137,0))</f>
        <v>16666664.6666667</v>
      </c>
      <c r="F372" s="72">
        <f>D372*Supuestos!$C$36</f>
        <v>0</v>
      </c>
      <c r="G372" s="72">
        <f>D372*(1-Supuestos!$C$36)</f>
        <v>16666664.6666667</v>
      </c>
      <c r="I372" s="72">
        <f t="shared" si="19"/>
        <v>0</v>
      </c>
      <c r="J372" s="72">
        <f>G372*Supuestos!$C$20</f>
        <v>1863389.7576430307</v>
      </c>
      <c r="K372" s="72">
        <f>(I372+J372)*(1/Supuestos!$C$20)</f>
        <v>16666664.666666701</v>
      </c>
    </row>
    <row r="373" spans="3:11" x14ac:dyDescent="0.25">
      <c r="C373" s="5" t="str">
        <f>'Informacion del AEP'!$C$150</f>
        <v>Costos directos de la venta de terminales</v>
      </c>
      <c r="D373" s="70">
        <f>INDEX('Informacion del AEP'!$D$138:$AE$158,MATCH('Costos aguas abajo'!$C373,'Informacion del AEP'!$C$138:$C$158,0),MATCH('Costos aguas abajo'!$C$360,'Informacion del AEP'!$D$137:$AE$137,0))</f>
        <v>1000000004</v>
      </c>
      <c r="F373" s="72">
        <f>D373*Supuestos!$C$37</f>
        <v>0</v>
      </c>
      <c r="G373" s="72">
        <f>D373*(1-Supuestos!$C$37)</f>
        <v>1000000004</v>
      </c>
      <c r="I373" s="72">
        <f t="shared" si="19"/>
        <v>0</v>
      </c>
      <c r="J373" s="72">
        <f>G373*Supuestos!$C$20</f>
        <v>111803399.32220308</v>
      </c>
      <c r="K373" s="72">
        <f>(I373+J373)*(1/Supuestos!$C$20)</f>
        <v>1000000004.0000001</v>
      </c>
    </row>
    <row r="374" spans="3:11" x14ac:dyDescent="0.25">
      <c r="C374" s="5" t="str">
        <f>'Informacion del AEP'!$C$151</f>
        <v>Servicios generales y de gestión - minoristas</v>
      </c>
      <c r="D374" s="70">
        <f>INDEX('Informacion del AEP'!$D$138:$AE$158,MATCH('Costos aguas abajo'!$C374,'Informacion del AEP'!$C$138:$C$158,0),MATCH('Costos aguas abajo'!$C$360,'Informacion del AEP'!$D$137:$AE$137,0))</f>
        <v>200000004</v>
      </c>
      <c r="F374" s="72">
        <f>D374*Supuestos!$C$38</f>
        <v>10000000.200000001</v>
      </c>
      <c r="G374" s="72">
        <f>D374*(1-Supuestos!$C$38)</f>
        <v>190000003.79999998</v>
      </c>
      <c r="I374" s="72">
        <f t="shared" si="19"/>
        <v>10000000.200000001</v>
      </c>
      <c r="J374" s="72">
        <f>G374*Supuestos!$C$20</f>
        <v>21242646.211100914</v>
      </c>
      <c r="K374" s="72">
        <f>(I374+J374)*(1/Supuestos!$C$20)</f>
        <v>279442724.68884599</v>
      </c>
    </row>
    <row r="375" spans="3:11" x14ac:dyDescent="0.25">
      <c r="C375" s="5" t="str">
        <f>'Informacion del AEP'!$C$152</f>
        <v>Servicios generales y de gestión - red</v>
      </c>
      <c r="D375" s="70">
        <f>INDEX('Informacion del AEP'!$D$138:$AE$158,MATCH('Costos aguas abajo'!$C375,'Informacion del AEP'!$C$138:$C$158,0),MATCH('Costos aguas abajo'!$C$360,'Informacion del AEP'!$D$137:$AE$137,0))</f>
        <v>0</v>
      </c>
      <c r="F375" s="72">
        <f>D375*Supuestos!$C$39</f>
        <v>0</v>
      </c>
      <c r="G375" s="72">
        <f>D375*(1-Supuestos!$C$30)</f>
        <v>0</v>
      </c>
      <c r="I375" s="72">
        <f t="shared" si="19"/>
        <v>0</v>
      </c>
      <c r="J375" s="72">
        <f>G375*Supuestos!$C$20</f>
        <v>0</v>
      </c>
      <c r="K375" s="72">
        <f>(I375+J375)*(1/Supuestos!$C$20)</f>
        <v>0</v>
      </c>
    </row>
    <row r="376" spans="3:11" x14ac:dyDescent="0.25">
      <c r="C376" s="5" t="str">
        <f>'Informacion del AEP'!$C$153</f>
        <v xml:space="preserve">Servicios generales y de gestión - negocio </v>
      </c>
      <c r="D376" s="70">
        <f>INDEX('Informacion del AEP'!$D$138:$AE$158,MATCH('Costos aguas abajo'!$C376,'Informacion del AEP'!$C$138:$C$158,0),MATCH('Costos aguas abajo'!$C$360,'Informacion del AEP'!$D$137:$AE$137,0))</f>
        <v>50000004</v>
      </c>
      <c r="F376" s="72">
        <f>D376*Supuestos!$C$40</f>
        <v>5000000.4000000004</v>
      </c>
      <c r="G376" s="72">
        <f>D376*(1-Supuestos!$C$40)</f>
        <v>45000003.600000001</v>
      </c>
      <c r="I376" s="72">
        <f t="shared" si="19"/>
        <v>5000000.4000000004</v>
      </c>
      <c r="J376" s="72">
        <f>G376*Supuestos!$C$20</f>
        <v>5031153.3518667631</v>
      </c>
      <c r="K376" s="72">
        <f>(I376+J376)*(1/Supuestos!$C$20)</f>
        <v>89721366.72770457</v>
      </c>
    </row>
    <row r="377" spans="3:11" ht="13" x14ac:dyDescent="0.3">
      <c r="C377" s="64" t="s">
        <v>109</v>
      </c>
      <c r="D377" s="218">
        <f>SUM(D378:D381)</f>
        <v>0</v>
      </c>
      <c r="F377" s="218">
        <f>SUM(F378:F381)</f>
        <v>0</v>
      </c>
      <c r="G377" s="218">
        <f>SUM(G378:G381)</f>
        <v>0</v>
      </c>
      <c r="I377" s="218">
        <f>SUM(I378:I381)</f>
        <v>0</v>
      </c>
      <c r="J377" s="218">
        <f>SUM(J378:J381)</f>
        <v>0</v>
      </c>
      <c r="K377" s="218">
        <f>SUM(K378:K381)</f>
        <v>0</v>
      </c>
    </row>
    <row r="378" spans="3:11" x14ac:dyDescent="0.25">
      <c r="C378" s="5" t="str">
        <f>'Informacion del AEP'!$C$154</f>
        <v>Costo del Capital:Servicios generales y de gestión - minoristas</v>
      </c>
      <c r="D378" s="70">
        <f>INDEX('Informacion del AEP'!$D$138:$AE$158,MATCH('Costos aguas abajo'!$C378,'Informacion del AEP'!$C$138:$C$158,0),MATCH('Costos aguas abajo'!$C$360,'Informacion del AEP'!$D$137:$AE$137,0))</f>
        <v>0</v>
      </c>
      <c r="F378" s="72">
        <f>D378*Supuestos!$C$41</f>
        <v>0</v>
      </c>
      <c r="G378" s="72">
        <f>D378*(1-Supuestos!$C$41)</f>
        <v>0</v>
      </c>
      <c r="I378" s="72">
        <f t="shared" ref="I378" si="20">+F378</f>
        <v>0</v>
      </c>
      <c r="J378" s="72">
        <f>G378*Supuestos!$C$20</f>
        <v>0</v>
      </c>
      <c r="K378" s="72">
        <f>(I378+J378)*(1/Supuestos!$C$20)</f>
        <v>0</v>
      </c>
    </row>
    <row r="379" spans="3:11" x14ac:dyDescent="0.25">
      <c r="C379" s="5" t="str">
        <f>'Informacion del AEP'!$C$155</f>
        <v>Costo del Capital:Servicios generales y de gestión - red</v>
      </c>
      <c r="D379" s="70">
        <f>INDEX('Informacion del AEP'!$D$138:$AE$158,MATCH('Costos aguas abajo'!$C379,'Informacion del AEP'!$C$138:$C$158,0),MATCH('Costos aguas abajo'!$C$360,'Informacion del AEP'!$D$137:$AE$137,0))</f>
        <v>0</v>
      </c>
      <c r="F379" s="72">
        <f>D379*Supuestos!$C$42</f>
        <v>0</v>
      </c>
      <c r="G379" s="72">
        <f>D379*(1-Supuestos!$C$42)</f>
        <v>0</v>
      </c>
      <c r="I379" s="72">
        <f>+F379</f>
        <v>0</v>
      </c>
      <c r="J379" s="72">
        <f>G379*Supuestos!$C$20</f>
        <v>0</v>
      </c>
      <c r="K379" s="72">
        <f>(I379+J379)*(1/Supuestos!$C$20)</f>
        <v>0</v>
      </c>
    </row>
    <row r="380" spans="3:11" x14ac:dyDescent="0.25">
      <c r="C380" s="5" t="str">
        <f>'Informacion del AEP'!$C$156</f>
        <v xml:space="preserve">Costo del Capital:Servicios generales y de gestión - negocio </v>
      </c>
      <c r="D380" s="70">
        <f>INDEX('Informacion del AEP'!$D$138:$AE$158,MATCH('Costos aguas abajo'!$C380,'Informacion del AEP'!$C$138:$C$158,0),MATCH('Costos aguas abajo'!$C$360,'Informacion del AEP'!$D$137:$AE$137,0))</f>
        <v>0</v>
      </c>
      <c r="F380" s="72">
        <f>D380*Supuestos!$C$43</f>
        <v>0</v>
      </c>
      <c r="G380" s="72">
        <f>D380*(1-Supuestos!$C$43)</f>
        <v>0</v>
      </c>
      <c r="I380" s="72">
        <f>+F380</f>
        <v>0</v>
      </c>
      <c r="J380" s="72">
        <f>G380*Supuestos!$C$20</f>
        <v>0</v>
      </c>
      <c r="K380" s="72">
        <f>(I380+J380)*(1/Supuestos!$C$20)</f>
        <v>0</v>
      </c>
    </row>
    <row r="381" spans="3:11" x14ac:dyDescent="0.25">
      <c r="C381" s="5" t="str">
        <f>'Informacion del AEP'!$C$157</f>
        <v>Costo del Capital:Equipos terminales</v>
      </c>
      <c r="D381" s="70">
        <f>INDEX('Informacion del AEP'!$D$138:$AE$158,MATCH('Costos aguas abajo'!$C381,'Informacion del AEP'!$C$138:$C$158,0),MATCH('Costos aguas abajo'!$C$360,'Informacion del AEP'!$D$137:$AE$137,0))</f>
        <v>0</v>
      </c>
      <c r="F381" s="72">
        <f>D381*Supuestos!$C$44</f>
        <v>0</v>
      </c>
      <c r="G381" s="72">
        <f>D381*(1-Supuestos!$C$44)</f>
        <v>0</v>
      </c>
      <c r="I381" s="72">
        <f>+F381</f>
        <v>0</v>
      </c>
      <c r="J381" s="72">
        <f>G381*Supuestos!$C$20</f>
        <v>0</v>
      </c>
      <c r="K381" s="72">
        <f>(I381+J381)*(1/Supuestos!$C$20)</f>
        <v>0</v>
      </c>
    </row>
    <row r="383" spans="3:11" ht="13" x14ac:dyDescent="0.3">
      <c r="C383" s="73" t="s">
        <v>42</v>
      </c>
      <c r="D383" s="38" t="str">
        <f>IF(D360='Informacion del AEP'!T158,"Ok","Error")</f>
        <v>Ok</v>
      </c>
      <c r="I383" s="38" t="str">
        <f>IF(I360=F360,"Ok","Error")</f>
        <v>Ok</v>
      </c>
    </row>
    <row r="385" spans="3:11" ht="13" x14ac:dyDescent="0.3">
      <c r="C385" s="74" t="str">
        <f>Supuestos!B85</f>
        <v>Telcel Pospago 2</v>
      </c>
      <c r="D385" s="75">
        <f>SUM(D386:D402)</f>
        <v>1627433372.3333335</v>
      </c>
      <c r="E385" s="76"/>
      <c r="F385" s="75">
        <f>SUM(F386:F402)</f>
        <v>45365002</v>
      </c>
      <c r="G385" s="75">
        <f>SUM(G386:G402)</f>
        <v>1582068370.3333335</v>
      </c>
      <c r="H385" s="76"/>
      <c r="I385" s="75">
        <f>SUM(I386:I402)</f>
        <v>45365002</v>
      </c>
      <c r="J385" s="75">
        <f>SUM(J386:J402)</f>
        <v>176880621.05588225</v>
      </c>
      <c r="K385" s="75">
        <f>SUM(K386:K402)</f>
        <v>1987825283.4189892</v>
      </c>
    </row>
    <row r="386" spans="3:11" x14ac:dyDescent="0.25">
      <c r="C386" s="5" t="str">
        <f>'Informacion del AEP'!$C$138</f>
        <v>Acceso a Internet</v>
      </c>
      <c r="D386" s="70">
        <f>INDEX('Informacion del AEP'!$D$138:$AE$158,MATCH('Costos aguas abajo'!$C386,'Informacion del AEP'!$C$138:$C$158,0),MATCH('Costos aguas abajo'!$C$385,'Informacion del AEP'!$D$137:$AE$137,0))</f>
        <v>0</v>
      </c>
      <c r="F386" s="72">
        <f>D386*Supuestos!$C$25</f>
        <v>0</v>
      </c>
      <c r="G386" s="72">
        <f>D386*(1-Supuestos!$C$25)</f>
        <v>0</v>
      </c>
      <c r="I386" s="72">
        <f>+F386</f>
        <v>0</v>
      </c>
      <c r="J386" s="72">
        <f>G386*Supuestos!$C$20</f>
        <v>0</v>
      </c>
      <c r="K386" s="72">
        <f>(I386+J386)*(1/Supuestos!$C$20)</f>
        <v>0</v>
      </c>
    </row>
    <row r="387" spans="3:11" x14ac:dyDescent="0.25">
      <c r="C387" s="5" t="str">
        <f>'Informacion del AEP'!$C$139</f>
        <v>Servicios OTT de vídeo</v>
      </c>
      <c r="D387" s="70">
        <f>INDEX('Informacion del AEP'!$D$138:$AE$158,MATCH('Costos aguas abajo'!$C387,'Informacion del AEP'!$C$138:$C$158,0),MATCH('Costos aguas abajo'!$C$385,'Informacion del AEP'!$D$137:$AE$137,0))</f>
        <v>26666665.666666701</v>
      </c>
      <c r="F387" s="72">
        <f>D387*Supuestos!$C$26</f>
        <v>0</v>
      </c>
      <c r="G387" s="72">
        <f>D387*(1-Supuestos!$C$26)</f>
        <v>26666665.666666701</v>
      </c>
      <c r="I387" s="72">
        <f>+F387</f>
        <v>0</v>
      </c>
      <c r="J387" s="72">
        <f>G387*Supuestos!$C$20</f>
        <v>2981423.8581963247</v>
      </c>
      <c r="K387" s="72">
        <f>(I387+J387)*(1/Supuestos!$C$20)</f>
        <v>26666665.666666701</v>
      </c>
    </row>
    <row r="388" spans="3:11" x14ac:dyDescent="0.25">
      <c r="C388" s="5" t="str">
        <f>'Informacion del AEP'!$C$140</f>
        <v>Servicios OTT de audio</v>
      </c>
      <c r="D388" s="70">
        <f>INDEX('Informacion del AEP'!$D$138:$AE$158,MATCH('Costos aguas abajo'!$C388,'Informacion del AEP'!$C$138:$C$158,0),MATCH('Costos aguas abajo'!$C$385,'Informacion del AEP'!$D$137:$AE$137,0))</f>
        <v>0</v>
      </c>
      <c r="F388" s="72">
        <f>D388*Supuestos!$C$27</f>
        <v>0</v>
      </c>
      <c r="G388" s="72">
        <f>D388*(1-Supuestos!$C$27)</f>
        <v>0</v>
      </c>
      <c r="I388" s="72">
        <f t="shared" ref="I388:I401" si="21">+F388</f>
        <v>0</v>
      </c>
      <c r="J388" s="72">
        <f>G388*Supuestos!$C$20</f>
        <v>0</v>
      </c>
      <c r="K388" s="72">
        <f>(I388+J388)*(1/Supuestos!$C$20)</f>
        <v>0</v>
      </c>
    </row>
    <row r="389" spans="3:11" x14ac:dyDescent="0.25">
      <c r="C389" s="5" t="str">
        <f>'Informacion del AEP'!$C$141</f>
        <v>Comerciales</v>
      </c>
      <c r="D389" s="70">
        <f>INDEX('Informacion del AEP'!$D$138:$AE$158,MATCH('Costos aguas abajo'!$C389,'Informacion del AEP'!$C$138:$C$158,0),MATCH('Costos aguas abajo'!$C$385,'Informacion del AEP'!$D$137:$AE$137,0))</f>
        <v>300000005</v>
      </c>
      <c r="F389" s="72">
        <f>D389*Supuestos!$C$28</f>
        <v>30000000.5</v>
      </c>
      <c r="G389" s="72">
        <f>D389*(1-Supuestos!$C$28)</f>
        <v>270000004.5</v>
      </c>
      <c r="I389" s="72">
        <f t="shared" si="21"/>
        <v>30000000.5</v>
      </c>
      <c r="J389" s="72">
        <f>G389*Supuestos!$C$20</f>
        <v>30186918.199362457</v>
      </c>
      <c r="K389" s="72">
        <f>(I389+J389)*(1/Supuestos!$C$20)</f>
        <v>538328166.2721107</v>
      </c>
    </row>
    <row r="390" spans="3:11" x14ac:dyDescent="0.25">
      <c r="C390" s="5" t="str">
        <f>'Informacion del AEP'!$C$142</f>
        <v>Facturación</v>
      </c>
      <c r="D390" s="70">
        <f>INDEX('Informacion del AEP'!$D$138:$AE$158,MATCH('Costos aguas abajo'!$C390,'Informacion del AEP'!$C$138:$C$158,0),MATCH('Costos aguas abajo'!$C$385,'Informacion del AEP'!$D$137:$AE$137,0))</f>
        <v>300005</v>
      </c>
      <c r="F390" s="72">
        <f>D390*Supuestos!$C$29</f>
        <v>15000.25</v>
      </c>
      <c r="G390" s="72">
        <f>D390*(1-Supuestos!$C$29)</f>
        <v>285004.75</v>
      </c>
      <c r="I390" s="72">
        <f t="shared" si="21"/>
        <v>15000.25</v>
      </c>
      <c r="J390" s="72">
        <f>G390*Supuestos!$C$20</f>
        <v>31864.499745516659</v>
      </c>
      <c r="K390" s="72">
        <f>(I390+J390)*(1/Supuestos!$C$20)</f>
        <v>419171.06471796491</v>
      </c>
    </row>
    <row r="391" spans="3:11" x14ac:dyDescent="0.25">
      <c r="C391" s="5" t="str">
        <f>'Informacion del AEP'!$C$143</f>
        <v>Cobranza</v>
      </c>
      <c r="D391" s="70">
        <f>INDEX('Informacion del AEP'!$D$138:$AE$158,MATCH('Costos aguas abajo'!$C391,'Informacion del AEP'!$C$138:$C$158,0),MATCH('Costos aguas abajo'!$C$385,'Informacion del AEP'!$D$137:$AE$137,0))</f>
        <v>11666665.6666667</v>
      </c>
      <c r="F391" s="72">
        <f>D391*Supuestos!$C$30</f>
        <v>0</v>
      </c>
      <c r="G391" s="72">
        <f>D391*(1-Supuestos!$C$30)</f>
        <v>11666665.6666667</v>
      </c>
      <c r="I391" s="72">
        <f t="shared" si="21"/>
        <v>0</v>
      </c>
      <c r="J391" s="72">
        <f>G391*Supuestos!$C$20</f>
        <v>1304372.875071482</v>
      </c>
      <c r="K391" s="72">
        <f>(I391+J391)*(1/Supuestos!$C$20)</f>
        <v>11666665.6666667</v>
      </c>
    </row>
    <row r="392" spans="3:11" x14ac:dyDescent="0.25">
      <c r="C392" s="5" t="str">
        <f>'Informacion del AEP'!$C$144</f>
        <v>Tasas e impuestos</v>
      </c>
      <c r="D392" s="70">
        <f>INDEX('Informacion del AEP'!$D$138:$AE$158,MATCH('Costos aguas abajo'!$C392,'Informacion del AEP'!$C$138:$C$158,0),MATCH('Costos aguas abajo'!$C$385,'Informacion del AEP'!$D$137:$AE$137,0))</f>
        <v>3500005</v>
      </c>
      <c r="F392" s="72">
        <f>D392*Supuestos!$C$31</f>
        <v>350000.5</v>
      </c>
      <c r="G392" s="72">
        <f>D392*(1-Supuestos!$C$31)</f>
        <v>3150004.5</v>
      </c>
      <c r="I392" s="72">
        <f t="shared" si="21"/>
        <v>350000.5</v>
      </c>
      <c r="J392" s="72">
        <f>G392*Supuestos!$C$20</f>
        <v>352181.20957151183</v>
      </c>
      <c r="K392" s="72">
        <f>(I392+J392)*(1/Supuestos!$C$20)</f>
        <v>6280504.1406356608</v>
      </c>
    </row>
    <row r="393" spans="3:11" x14ac:dyDescent="0.25">
      <c r="C393" s="5" t="str">
        <f>'Informacion del AEP'!$C$145</f>
        <v>Programas de fidelización</v>
      </c>
      <c r="D393" s="70">
        <f>INDEX('Informacion del AEP'!$D$138:$AE$158,MATCH('Costos aguas abajo'!$C393,'Informacion del AEP'!$C$138:$C$158,0),MATCH('Costos aguas abajo'!$C$385,'Informacion del AEP'!$D$137:$AE$137,0))</f>
        <v>13333335.3333333</v>
      </c>
      <c r="F393" s="72">
        <f>D393*Supuestos!$C$32</f>
        <v>0</v>
      </c>
      <c r="G393" s="72">
        <f>D393*(1-Supuestos!$C$32)</f>
        <v>13333335.3333333</v>
      </c>
      <c r="I393" s="72">
        <f t="shared" si="21"/>
        <v>0</v>
      </c>
      <c r="J393" s="72">
        <f>G393*Supuestos!$C$20</f>
        <v>1490712.2086066538</v>
      </c>
      <c r="K393" s="72">
        <f>(I393+J393)*(1/Supuestos!$C$20)</f>
        <v>13333335.3333333</v>
      </c>
    </row>
    <row r="394" spans="3:11" x14ac:dyDescent="0.25">
      <c r="C394" s="5" t="str">
        <f>'Informacion del AEP'!$C$146</f>
        <v>Acceso internet internacional</v>
      </c>
      <c r="D394" s="70">
        <f>INDEX('Informacion del AEP'!$D$138:$AE$158,MATCH('Costos aguas abajo'!$C394,'Informacion del AEP'!$C$138:$C$158,0),MATCH('Costos aguas abajo'!$C$385,'Informacion del AEP'!$D$137:$AE$137,0))</f>
        <v>3800005</v>
      </c>
      <c r="F394" s="72">
        <f>D394*Supuestos!$C$33</f>
        <v>0</v>
      </c>
      <c r="G394" s="72">
        <f>D394*(1-Supuestos!$C$33)</f>
        <v>3800005</v>
      </c>
      <c r="I394" s="72">
        <f t="shared" si="21"/>
        <v>0</v>
      </c>
      <c r="J394" s="72">
        <f>G394*Supuestos!$C$20</f>
        <v>424853.47474195441</v>
      </c>
      <c r="K394" s="72">
        <f>(I394+J394)*(1/Supuestos!$C$20)</f>
        <v>3800005</v>
      </c>
    </row>
    <row r="395" spans="3:11" x14ac:dyDescent="0.25">
      <c r="C395" s="5" t="str">
        <f>'Informacion del AEP'!$C$147</f>
        <v>Roaming nacional</v>
      </c>
      <c r="D395" s="70">
        <f>INDEX('Informacion del AEP'!$D$138:$AE$158,MATCH('Costos aguas abajo'!$C395,'Informacion del AEP'!$C$138:$C$158,0),MATCH('Costos aguas abajo'!$C$385,'Informacion del AEP'!$D$137:$AE$137,0))</f>
        <v>1500005</v>
      </c>
      <c r="F395" s="72">
        <f>D395*Supuestos!$C$34</f>
        <v>0</v>
      </c>
      <c r="G395" s="72">
        <f>D395*(1-Supuestos!$C$34)</f>
        <v>1500005</v>
      </c>
      <c r="I395" s="72">
        <f t="shared" si="21"/>
        <v>0</v>
      </c>
      <c r="J395" s="72">
        <f>G395*Supuestos!$C$20</f>
        <v>167705.65732947859</v>
      </c>
      <c r="K395" s="72">
        <f>(I395+J395)*(1/Supuestos!$C$20)</f>
        <v>1500005</v>
      </c>
    </row>
    <row r="396" spans="3:11" x14ac:dyDescent="0.25">
      <c r="C396" s="5" t="str">
        <f>'Informacion del AEP'!$C$148</f>
        <v>Roaming internacional</v>
      </c>
      <c r="D396" s="70">
        <f>INDEX('Informacion del AEP'!$D$138:$AE$158,MATCH('Costos aguas abajo'!$C396,'Informacion del AEP'!$C$138:$C$158,0),MATCH('Costos aguas abajo'!$C$385,'Informacion del AEP'!$D$137:$AE$137,0))</f>
        <v>0</v>
      </c>
      <c r="F396" s="72">
        <f>D396*Supuestos!$C$35</f>
        <v>0</v>
      </c>
      <c r="G396" s="72">
        <f>D396*(1-Supuestos!$C$35)</f>
        <v>0</v>
      </c>
      <c r="I396" s="72">
        <f t="shared" si="21"/>
        <v>0</v>
      </c>
      <c r="J396" s="72">
        <f>G396*Supuestos!$C$20</f>
        <v>0</v>
      </c>
      <c r="K396" s="72">
        <f>(I396+J396)*(1/Supuestos!$C$20)</f>
        <v>0</v>
      </c>
    </row>
    <row r="397" spans="3:11" x14ac:dyDescent="0.25">
      <c r="C397" s="5" t="str">
        <f>'Informacion del AEP'!$C$149</f>
        <v>Provisiones</v>
      </c>
      <c r="D397" s="70">
        <f>INDEX('Informacion del AEP'!$D$138:$AE$158,MATCH('Costos aguas abajo'!$C397,'Informacion del AEP'!$C$138:$C$158,0),MATCH('Costos aguas abajo'!$C$385,'Informacion del AEP'!$D$137:$AE$137,0))</f>
        <v>16666665.6666667</v>
      </c>
      <c r="F397" s="72">
        <f>D397*Supuestos!$C$36</f>
        <v>0</v>
      </c>
      <c r="G397" s="72">
        <f>D397*(1-Supuestos!$C$36)</f>
        <v>16666665.6666667</v>
      </c>
      <c r="I397" s="72">
        <f t="shared" si="21"/>
        <v>0</v>
      </c>
      <c r="J397" s="72">
        <f>G397*Supuestos!$C$20</f>
        <v>1863389.8694464294</v>
      </c>
      <c r="K397" s="72">
        <f>(I397+J397)*(1/Supuestos!$C$20)</f>
        <v>16666665.6666667</v>
      </c>
    </row>
    <row r="398" spans="3:11" x14ac:dyDescent="0.25">
      <c r="C398" s="5" t="str">
        <f>'Informacion del AEP'!$C$150</f>
        <v>Costos directos de la venta de terminales</v>
      </c>
      <c r="D398" s="70">
        <f>INDEX('Informacion del AEP'!$D$138:$AE$158,MATCH('Costos aguas abajo'!$C398,'Informacion del AEP'!$C$138:$C$158,0),MATCH('Costos aguas abajo'!$C$385,'Informacion del AEP'!$D$137:$AE$137,0))</f>
        <v>1000000005</v>
      </c>
      <c r="F398" s="72">
        <f>D398*Supuestos!$C$37</f>
        <v>0</v>
      </c>
      <c r="G398" s="72">
        <f>D398*(1-Supuestos!$C$37)</f>
        <v>1000000005</v>
      </c>
      <c r="I398" s="72">
        <f t="shared" si="21"/>
        <v>0</v>
      </c>
      <c r="J398" s="72">
        <f>G398*Supuestos!$C$20</f>
        <v>111803399.43400648</v>
      </c>
      <c r="K398" s="72">
        <f>(I398+J398)*(1/Supuestos!$C$20)</f>
        <v>1000000005.0000001</v>
      </c>
    </row>
    <row r="399" spans="3:11" x14ac:dyDescent="0.25">
      <c r="C399" s="5" t="str">
        <f>'Informacion del AEP'!$C$151</f>
        <v>Servicios generales y de gestión - minoristas</v>
      </c>
      <c r="D399" s="70">
        <f>INDEX('Informacion del AEP'!$D$138:$AE$158,MATCH('Costos aguas abajo'!$C399,'Informacion del AEP'!$C$138:$C$158,0),MATCH('Costos aguas abajo'!$C$385,'Informacion del AEP'!$D$137:$AE$137,0))</f>
        <v>200000005</v>
      </c>
      <c r="F399" s="72">
        <f>D399*Supuestos!$C$38</f>
        <v>10000000.25</v>
      </c>
      <c r="G399" s="72">
        <f>D399*(1-Supuestos!$C$38)</f>
        <v>190000004.75</v>
      </c>
      <c r="I399" s="72">
        <f t="shared" si="21"/>
        <v>10000000.25</v>
      </c>
      <c r="J399" s="72">
        <f>G399*Supuestos!$C$20</f>
        <v>21242646.317314148</v>
      </c>
      <c r="K399" s="72">
        <f>(I399+J399)*(1/Supuestos!$C$20)</f>
        <v>279442726.08605957</v>
      </c>
    </row>
    <row r="400" spans="3:11" x14ac:dyDescent="0.25">
      <c r="C400" s="5" t="str">
        <f>'Informacion del AEP'!$C$152</f>
        <v>Servicios generales y de gestión - red</v>
      </c>
      <c r="D400" s="70">
        <f>INDEX('Informacion del AEP'!$D$138:$AE$158,MATCH('Costos aguas abajo'!$C400,'Informacion del AEP'!$C$138:$C$158,0),MATCH('Costos aguas abajo'!$C$385,'Informacion del AEP'!$D$137:$AE$137,0))</f>
        <v>0</v>
      </c>
      <c r="F400" s="72">
        <f>D400*Supuestos!$C$39</f>
        <v>0</v>
      </c>
      <c r="G400" s="72">
        <f>D400*(1-Supuestos!$C$30)</f>
        <v>0</v>
      </c>
      <c r="I400" s="72">
        <f t="shared" si="21"/>
        <v>0</v>
      </c>
      <c r="J400" s="72">
        <f>G400*Supuestos!$C$20</f>
        <v>0</v>
      </c>
      <c r="K400" s="72">
        <f>(I400+J400)*(1/Supuestos!$C$20)</f>
        <v>0</v>
      </c>
    </row>
    <row r="401" spans="3:11" x14ac:dyDescent="0.25">
      <c r="C401" s="5" t="str">
        <f>'Informacion del AEP'!$C$153</f>
        <v xml:space="preserve">Servicios generales y de gestión - negocio </v>
      </c>
      <c r="D401" s="70">
        <f>INDEX('Informacion del AEP'!$D$138:$AE$158,MATCH('Costos aguas abajo'!$C401,'Informacion del AEP'!$C$138:$C$158,0),MATCH('Costos aguas abajo'!$C$385,'Informacion del AEP'!$D$137:$AE$137,0))</f>
        <v>50000005</v>
      </c>
      <c r="F401" s="72">
        <f>D401*Supuestos!$C$40</f>
        <v>5000000.5</v>
      </c>
      <c r="G401" s="72">
        <f>D401*(1-Supuestos!$C$40)</f>
        <v>45000004.5</v>
      </c>
      <c r="I401" s="72">
        <f t="shared" si="21"/>
        <v>5000000.5</v>
      </c>
      <c r="J401" s="72">
        <f>G401*Supuestos!$C$20</f>
        <v>5031153.4524898212</v>
      </c>
      <c r="K401" s="72">
        <f>(I401+J401)*(1/Supuestos!$C$20)</f>
        <v>89721368.522131756</v>
      </c>
    </row>
    <row r="402" spans="3:11" ht="13" x14ac:dyDescent="0.3">
      <c r="C402" s="64" t="s">
        <v>109</v>
      </c>
      <c r="D402" s="218">
        <f>SUM(D403:D406)</f>
        <v>0</v>
      </c>
      <c r="F402" s="218">
        <f>SUM(F403:F406)</f>
        <v>0</v>
      </c>
      <c r="G402" s="218">
        <f>SUM(G403:G406)</f>
        <v>0</v>
      </c>
      <c r="I402" s="218">
        <f>SUM(I403:I406)</f>
        <v>0</v>
      </c>
      <c r="J402" s="218">
        <f>SUM(J403:J406)</f>
        <v>0</v>
      </c>
      <c r="K402" s="218">
        <f>SUM(K403:K406)</f>
        <v>0</v>
      </c>
    </row>
    <row r="403" spans="3:11" x14ac:dyDescent="0.25">
      <c r="C403" s="5" t="str">
        <f>'Informacion del AEP'!$C$154</f>
        <v>Costo del Capital:Servicios generales y de gestión - minoristas</v>
      </c>
      <c r="D403" s="70">
        <f>INDEX('Informacion del AEP'!$D$138:$AE$158,MATCH('Costos aguas abajo'!$C403,'Informacion del AEP'!$C$138:$C$158,0),MATCH('Costos aguas abajo'!$C$385,'Informacion del AEP'!$D$137:$AE$137,0))</f>
        <v>0</v>
      </c>
      <c r="F403" s="72">
        <f>D403*Supuestos!$C$41</f>
        <v>0</v>
      </c>
      <c r="G403" s="72">
        <f>D403*(1-Supuestos!$C$41)</f>
        <v>0</v>
      </c>
      <c r="I403" s="72">
        <f t="shared" ref="I403" si="22">+F403</f>
        <v>0</v>
      </c>
      <c r="J403" s="72">
        <f>G403*Supuestos!$C$20</f>
        <v>0</v>
      </c>
      <c r="K403" s="72">
        <f>(I403+J403)*(1/Supuestos!$C$20)</f>
        <v>0</v>
      </c>
    </row>
    <row r="404" spans="3:11" x14ac:dyDescent="0.25">
      <c r="C404" s="5" t="str">
        <f>'Informacion del AEP'!$C$155</f>
        <v>Costo del Capital:Servicios generales y de gestión - red</v>
      </c>
      <c r="D404" s="70">
        <f>INDEX('Informacion del AEP'!$D$138:$AE$158,MATCH('Costos aguas abajo'!$C404,'Informacion del AEP'!$C$138:$C$158,0),MATCH('Costos aguas abajo'!$C$385,'Informacion del AEP'!$D$137:$AE$137,0))</f>
        <v>0</v>
      </c>
      <c r="F404" s="72">
        <f>D404*Supuestos!$C$42</f>
        <v>0</v>
      </c>
      <c r="G404" s="72">
        <f>D404*(1-Supuestos!$C$42)</f>
        <v>0</v>
      </c>
      <c r="I404" s="72">
        <f>+F404</f>
        <v>0</v>
      </c>
      <c r="J404" s="72">
        <f>G404*Supuestos!$C$20</f>
        <v>0</v>
      </c>
      <c r="K404" s="72">
        <f>(I404+J404)*(1/Supuestos!$C$20)</f>
        <v>0</v>
      </c>
    </row>
    <row r="405" spans="3:11" x14ac:dyDescent="0.25">
      <c r="C405" s="5" t="str">
        <f>'Informacion del AEP'!$C$156</f>
        <v xml:space="preserve">Costo del Capital:Servicios generales y de gestión - negocio </v>
      </c>
      <c r="D405" s="70">
        <f>INDEX('Informacion del AEP'!$D$138:$AE$158,MATCH('Costos aguas abajo'!$C405,'Informacion del AEP'!$C$138:$C$158,0),MATCH('Costos aguas abajo'!$C$385,'Informacion del AEP'!$D$137:$AE$137,0))</f>
        <v>0</v>
      </c>
      <c r="F405" s="72">
        <f>D405*Supuestos!$C$43</f>
        <v>0</v>
      </c>
      <c r="G405" s="72">
        <f>D405*(1-Supuestos!$C$43)</f>
        <v>0</v>
      </c>
      <c r="I405" s="72">
        <f>+F405</f>
        <v>0</v>
      </c>
      <c r="J405" s="72">
        <f>G405*Supuestos!$C$20</f>
        <v>0</v>
      </c>
      <c r="K405" s="72">
        <f>(I405+J405)*(1/Supuestos!$C$20)</f>
        <v>0</v>
      </c>
    </row>
    <row r="406" spans="3:11" x14ac:dyDescent="0.25">
      <c r="C406" s="5" t="str">
        <f>'Informacion del AEP'!$C$157</f>
        <v>Costo del Capital:Equipos terminales</v>
      </c>
      <c r="D406" s="70">
        <f>INDEX('Informacion del AEP'!$D$138:$AE$158,MATCH('Costos aguas abajo'!$C406,'Informacion del AEP'!$C$138:$C$158,0),MATCH('Costos aguas abajo'!$C$385,'Informacion del AEP'!$D$137:$AE$137,0))</f>
        <v>0</v>
      </c>
      <c r="F406" s="72">
        <f>D406*Supuestos!$C$44</f>
        <v>0</v>
      </c>
      <c r="G406" s="72">
        <f>D406*(1-Supuestos!$C$44)</f>
        <v>0</v>
      </c>
      <c r="I406" s="72">
        <f>+F406</f>
        <v>0</v>
      </c>
      <c r="J406" s="72">
        <f>G406*Supuestos!$C$20</f>
        <v>0</v>
      </c>
      <c r="K406" s="72">
        <f>(I406+J406)*(1/Supuestos!$C$20)</f>
        <v>0</v>
      </c>
    </row>
    <row r="408" spans="3:11" ht="13" x14ac:dyDescent="0.3">
      <c r="C408" s="73" t="s">
        <v>42</v>
      </c>
      <c r="D408" s="38" t="str">
        <f>IF(D385='Informacion del AEP'!U158,"Ok","Error")</f>
        <v>Ok</v>
      </c>
      <c r="I408" s="38" t="str">
        <f>IF(I385=F385,"Ok","Error")</f>
        <v>Ok</v>
      </c>
    </row>
    <row r="410" spans="3:11" ht="13" x14ac:dyDescent="0.3">
      <c r="C410" s="74" t="str">
        <f>Supuestos!B86</f>
        <v>Telcel Pospago 6</v>
      </c>
      <c r="D410" s="75">
        <f>SUM(D411:D427)</f>
        <v>1627433384.3333335</v>
      </c>
      <c r="E410" s="76"/>
      <c r="F410" s="75">
        <f>SUM(F411:F427)</f>
        <v>45365002.400000006</v>
      </c>
      <c r="G410" s="75">
        <f>SUM(G411:G427)</f>
        <v>1582068381.9333336</v>
      </c>
      <c r="H410" s="76"/>
      <c r="I410" s="75">
        <f>SUM(I411:I427)</f>
        <v>45365002.400000006</v>
      </c>
      <c r="J410" s="75">
        <f>SUM(J411:J427)</f>
        <v>176880622.35280171</v>
      </c>
      <c r="K410" s="75">
        <f>SUM(K411:K427)</f>
        <v>1987825298.5966978</v>
      </c>
    </row>
    <row r="411" spans="3:11" x14ac:dyDescent="0.25">
      <c r="C411" s="5" t="str">
        <f>'Informacion del AEP'!$C$138</f>
        <v>Acceso a Internet</v>
      </c>
      <c r="D411" s="70">
        <f>INDEX('Informacion del AEP'!$D$138:$AE$158,MATCH('Costos aguas abajo'!$C411,'Informacion del AEP'!$C$138:$C$158,0),MATCH('Costos aguas abajo'!$C$410,'Informacion del AEP'!$D$137:$AE$137,0))</f>
        <v>0</v>
      </c>
      <c r="F411" s="72">
        <f>D411*Supuestos!$C$25</f>
        <v>0</v>
      </c>
      <c r="G411" s="72">
        <f>D411*(1-Supuestos!$C$25)</f>
        <v>0</v>
      </c>
      <c r="I411" s="72">
        <f>+F411</f>
        <v>0</v>
      </c>
      <c r="J411" s="72">
        <f>G411*Supuestos!$C$20</f>
        <v>0</v>
      </c>
      <c r="K411" s="72">
        <f>(I411+J411)*(1/Supuestos!$C$20)</f>
        <v>0</v>
      </c>
    </row>
    <row r="412" spans="3:11" x14ac:dyDescent="0.25">
      <c r="C412" s="5" t="str">
        <f>'Informacion del AEP'!$C$139</f>
        <v>Servicios OTT de vídeo</v>
      </c>
      <c r="D412" s="70">
        <f>INDEX('Informacion del AEP'!$D$138:$AE$158,MATCH('Costos aguas abajo'!$C412,'Informacion del AEP'!$C$138:$C$158,0),MATCH('Costos aguas abajo'!$C$410,'Informacion del AEP'!$D$137:$AE$137,0))</f>
        <v>26666666.666666668</v>
      </c>
      <c r="F412" s="72">
        <f>D412*Supuestos!$C$26</f>
        <v>0</v>
      </c>
      <c r="G412" s="72">
        <f>D412*(1-Supuestos!$C$26)</f>
        <v>26666666.666666668</v>
      </c>
      <c r="I412" s="72">
        <f>+F412</f>
        <v>0</v>
      </c>
      <c r="J412" s="72">
        <f>G412*Supuestos!$C$20</f>
        <v>2981423.9699997199</v>
      </c>
      <c r="K412" s="72">
        <f>(I412+J412)*(1/Supuestos!$C$20)</f>
        <v>26666666.666666672</v>
      </c>
    </row>
    <row r="413" spans="3:11" x14ac:dyDescent="0.25">
      <c r="C413" s="5" t="str">
        <f>'Informacion del AEP'!$C$140</f>
        <v>Servicios OTT de audio</v>
      </c>
      <c r="D413" s="70">
        <f>INDEX('Informacion del AEP'!$D$138:$AE$158,MATCH('Costos aguas abajo'!$C413,'Informacion del AEP'!$C$138:$C$158,0),MATCH('Costos aguas abajo'!$C$410,'Informacion del AEP'!$D$137:$AE$137,0))</f>
        <v>0</v>
      </c>
      <c r="F413" s="72">
        <f>D413*Supuestos!$C$27</f>
        <v>0</v>
      </c>
      <c r="G413" s="72">
        <f>D413*(1-Supuestos!$C$27)</f>
        <v>0</v>
      </c>
      <c r="I413" s="72">
        <f t="shared" ref="I413:I426" si="23">+F413</f>
        <v>0</v>
      </c>
      <c r="J413" s="72">
        <f>G413*Supuestos!$C$20</f>
        <v>0</v>
      </c>
      <c r="K413" s="72">
        <f>(I413+J413)*(1/Supuestos!$C$20)</f>
        <v>0</v>
      </c>
    </row>
    <row r="414" spans="3:11" x14ac:dyDescent="0.25">
      <c r="C414" s="5" t="str">
        <f>'Informacion del AEP'!$C$141</f>
        <v>Comerciales</v>
      </c>
      <c r="D414" s="70">
        <f>INDEX('Informacion del AEP'!$D$138:$AE$158,MATCH('Costos aguas abajo'!$C414,'Informacion del AEP'!$C$138:$C$158,0),MATCH('Costos aguas abajo'!$C$410,'Informacion del AEP'!$D$137:$AE$137,0))</f>
        <v>300000006</v>
      </c>
      <c r="F414" s="72">
        <f>D414*Supuestos!$C$28</f>
        <v>30000000.600000001</v>
      </c>
      <c r="G414" s="72">
        <f>D414*(1-Supuestos!$C$28)</f>
        <v>270000005.40000004</v>
      </c>
      <c r="I414" s="72">
        <f t="shared" si="23"/>
        <v>30000000.600000001</v>
      </c>
      <c r="J414" s="72">
        <f>G414*Supuestos!$C$20</f>
        <v>30186918.299985517</v>
      </c>
      <c r="K414" s="72">
        <f>(I414+J414)*(1/Supuestos!$C$20)</f>
        <v>538328168.06653798</v>
      </c>
    </row>
    <row r="415" spans="3:11" x14ac:dyDescent="0.25">
      <c r="C415" s="5" t="str">
        <f>'Informacion del AEP'!$C$142</f>
        <v>Facturación</v>
      </c>
      <c r="D415" s="70">
        <f>INDEX('Informacion del AEP'!$D$138:$AE$158,MATCH('Costos aguas abajo'!$C415,'Informacion del AEP'!$C$138:$C$158,0),MATCH('Costos aguas abajo'!$C$410,'Informacion del AEP'!$D$137:$AE$137,0))</f>
        <v>300006</v>
      </c>
      <c r="F415" s="72">
        <f>D415*Supuestos!$C$29</f>
        <v>15000.300000000001</v>
      </c>
      <c r="G415" s="72">
        <f>D415*(1-Supuestos!$C$29)</f>
        <v>285005.7</v>
      </c>
      <c r="I415" s="72">
        <f t="shared" si="23"/>
        <v>15000.300000000001</v>
      </c>
      <c r="J415" s="72">
        <f>G415*Supuestos!$C$20</f>
        <v>31864.605958745589</v>
      </c>
      <c r="K415" s="72">
        <f>(I415+J415)*(1/Supuestos!$C$20)</f>
        <v>419172.46193156042</v>
      </c>
    </row>
    <row r="416" spans="3:11" x14ac:dyDescent="0.25">
      <c r="C416" s="5" t="str">
        <f>'Informacion del AEP'!$C$143</f>
        <v>Cobranza</v>
      </c>
      <c r="D416" s="70">
        <f>INDEX('Informacion del AEP'!$D$138:$AE$158,MATCH('Costos aguas abajo'!$C416,'Informacion del AEP'!$C$138:$C$158,0),MATCH('Costos aguas abajo'!$C$410,'Informacion del AEP'!$D$137:$AE$137,0))</f>
        <v>11666666.666666666</v>
      </c>
      <c r="F416" s="72">
        <f>D416*Supuestos!$C$30</f>
        <v>0</v>
      </c>
      <c r="G416" s="72">
        <f>D416*(1-Supuestos!$C$30)</f>
        <v>11666666.666666666</v>
      </c>
      <c r="I416" s="72">
        <f t="shared" si="23"/>
        <v>0</v>
      </c>
      <c r="J416" s="72">
        <f>G416*Supuestos!$C$20</f>
        <v>1304372.9868748772</v>
      </c>
      <c r="K416" s="72">
        <f>(I416+J416)*(1/Supuestos!$C$20)</f>
        <v>11666666.666666666</v>
      </c>
    </row>
    <row r="417" spans="3:11" x14ac:dyDescent="0.25">
      <c r="C417" s="5" t="str">
        <f>'Informacion del AEP'!$C$144</f>
        <v>Tasas e impuestos</v>
      </c>
      <c r="D417" s="70">
        <f>INDEX('Informacion del AEP'!$D$138:$AE$158,MATCH('Costos aguas abajo'!$C417,'Informacion del AEP'!$C$138:$C$158,0),MATCH('Costos aguas abajo'!$C$410,'Informacion del AEP'!$D$137:$AE$137,0))</f>
        <v>3500006</v>
      </c>
      <c r="F417" s="72">
        <f>D417*Supuestos!$C$31</f>
        <v>350000.60000000003</v>
      </c>
      <c r="G417" s="72">
        <f>D417*(1-Supuestos!$C$31)</f>
        <v>3150005.4</v>
      </c>
      <c r="I417" s="72">
        <f t="shared" si="23"/>
        <v>350000.60000000003</v>
      </c>
      <c r="J417" s="72">
        <f>G417*Supuestos!$C$20</f>
        <v>352181.3101945708</v>
      </c>
      <c r="K417" s="72">
        <f>(I417+J417)*(1/Supuestos!$C$20)</f>
        <v>6280505.9350628527</v>
      </c>
    </row>
    <row r="418" spans="3:11" x14ac:dyDescent="0.25">
      <c r="C418" s="5" t="str">
        <f>'Informacion del AEP'!$C$145</f>
        <v>Programas de fidelización</v>
      </c>
      <c r="D418" s="70">
        <f>INDEX('Informacion del AEP'!$D$138:$AE$158,MATCH('Costos aguas abajo'!$C418,'Informacion del AEP'!$C$138:$C$158,0),MATCH('Costos aguas abajo'!$C$410,'Informacion del AEP'!$D$137:$AE$137,0))</f>
        <v>13333336.3333333</v>
      </c>
      <c r="F418" s="72">
        <f>D418*Supuestos!$C$32</f>
        <v>0</v>
      </c>
      <c r="G418" s="72">
        <f>D418*(1-Supuestos!$C$32)</f>
        <v>13333336.3333333</v>
      </c>
      <c r="I418" s="72">
        <f t="shared" si="23"/>
        <v>0</v>
      </c>
      <c r="J418" s="72">
        <f>G418*Supuestos!$C$20</f>
        <v>1490712.3204100528</v>
      </c>
      <c r="K418" s="72">
        <f>(I418+J418)*(1/Supuestos!$C$20)</f>
        <v>13333336.333333302</v>
      </c>
    </row>
    <row r="419" spans="3:11" x14ac:dyDescent="0.25">
      <c r="C419" s="5" t="str">
        <f>'Informacion del AEP'!$C$146</f>
        <v>Acceso internet internacional</v>
      </c>
      <c r="D419" s="70">
        <f>INDEX('Informacion del AEP'!$D$138:$AE$158,MATCH('Costos aguas abajo'!$C419,'Informacion del AEP'!$C$138:$C$158,0),MATCH('Costos aguas abajo'!$C$410,'Informacion del AEP'!$D$137:$AE$137,0))</f>
        <v>3800006</v>
      </c>
      <c r="F419" s="72">
        <f>D419*Supuestos!$C$33</f>
        <v>0</v>
      </c>
      <c r="G419" s="72">
        <f>D419*(1-Supuestos!$C$33)</f>
        <v>3800006</v>
      </c>
      <c r="I419" s="72">
        <f t="shared" si="23"/>
        <v>0</v>
      </c>
      <c r="J419" s="72">
        <f>G419*Supuestos!$C$20</f>
        <v>424853.58654535329</v>
      </c>
      <c r="K419" s="72">
        <f>(I419+J419)*(1/Supuestos!$C$20)</f>
        <v>3800006</v>
      </c>
    </row>
    <row r="420" spans="3:11" x14ac:dyDescent="0.25">
      <c r="C420" s="5" t="str">
        <f>'Informacion del AEP'!$C$147</f>
        <v>Roaming nacional</v>
      </c>
      <c r="D420" s="70">
        <f>INDEX('Informacion del AEP'!$D$138:$AE$158,MATCH('Costos aguas abajo'!$C420,'Informacion del AEP'!$C$138:$C$158,0),MATCH('Costos aguas abajo'!$C$410,'Informacion del AEP'!$D$137:$AE$137,0))</f>
        <v>1500006</v>
      </c>
      <c r="F420" s="72">
        <f>D420*Supuestos!$C$34</f>
        <v>0</v>
      </c>
      <c r="G420" s="72">
        <f>D420*(1-Supuestos!$C$34)</f>
        <v>1500006</v>
      </c>
      <c r="I420" s="72">
        <f t="shared" si="23"/>
        <v>0</v>
      </c>
      <c r="J420" s="72">
        <f>G420*Supuestos!$C$20</f>
        <v>167705.76913287747</v>
      </c>
      <c r="K420" s="72">
        <f>(I420+J420)*(1/Supuestos!$C$20)</f>
        <v>1500006</v>
      </c>
    </row>
    <row r="421" spans="3:11" x14ac:dyDescent="0.25">
      <c r="C421" s="5" t="str">
        <f>'Informacion del AEP'!$C$148</f>
        <v>Roaming internacional</v>
      </c>
      <c r="D421" s="70">
        <f>INDEX('Informacion del AEP'!$D$138:$AE$158,MATCH('Costos aguas abajo'!$C421,'Informacion del AEP'!$C$138:$C$158,0),MATCH('Costos aguas abajo'!$C$410,'Informacion del AEP'!$D$137:$AE$137,0))</f>
        <v>0</v>
      </c>
      <c r="F421" s="72">
        <f>D421*Supuestos!$C$35</f>
        <v>0</v>
      </c>
      <c r="G421" s="72">
        <f>D421*(1-Supuestos!$C$35)</f>
        <v>0</v>
      </c>
      <c r="I421" s="72">
        <f t="shared" si="23"/>
        <v>0</v>
      </c>
      <c r="J421" s="72">
        <f>G421*Supuestos!$C$20</f>
        <v>0</v>
      </c>
      <c r="K421" s="72">
        <f>(I421+J421)*(1/Supuestos!$C$20)</f>
        <v>0</v>
      </c>
    </row>
    <row r="422" spans="3:11" x14ac:dyDescent="0.25">
      <c r="C422" s="5" t="str">
        <f>'Informacion del AEP'!$C$149</f>
        <v>Provisiones</v>
      </c>
      <c r="D422" s="70">
        <f>INDEX('Informacion del AEP'!$D$138:$AE$158,MATCH('Costos aguas abajo'!$C422,'Informacion del AEP'!$C$138:$C$158,0),MATCH('Costos aguas abajo'!$C$410,'Informacion del AEP'!$D$137:$AE$137,0))</f>
        <v>16666666.666666666</v>
      </c>
      <c r="F422" s="72">
        <f>D422*Supuestos!$C$36</f>
        <v>0</v>
      </c>
      <c r="G422" s="72">
        <f>D422*(1-Supuestos!$C$36)</f>
        <v>16666666.666666666</v>
      </c>
      <c r="I422" s="72">
        <f t="shared" si="23"/>
        <v>0</v>
      </c>
      <c r="J422" s="72">
        <f>G422*Supuestos!$C$20</f>
        <v>1863389.9812498246</v>
      </c>
      <c r="K422" s="72">
        <f>(I422+J422)*(1/Supuestos!$C$20)</f>
        <v>16666666.666666666</v>
      </c>
    </row>
    <row r="423" spans="3:11" x14ac:dyDescent="0.25">
      <c r="C423" s="5" t="str">
        <f>'Informacion del AEP'!$C$150</f>
        <v>Costos directos de la venta de terminales</v>
      </c>
      <c r="D423" s="70">
        <f>INDEX('Informacion del AEP'!$D$138:$AE$158,MATCH('Costos aguas abajo'!$C423,'Informacion del AEP'!$C$138:$C$158,0),MATCH('Costos aguas abajo'!$C$410,'Informacion del AEP'!$D$137:$AE$137,0))</f>
        <v>1000000006</v>
      </c>
      <c r="F423" s="72">
        <f>D423*Supuestos!$C$37</f>
        <v>0</v>
      </c>
      <c r="G423" s="72">
        <f>D423*(1-Supuestos!$C$37)</f>
        <v>1000000006</v>
      </c>
      <c r="I423" s="72">
        <f t="shared" si="23"/>
        <v>0</v>
      </c>
      <c r="J423" s="72">
        <f>G423*Supuestos!$C$20</f>
        <v>111803399.54580988</v>
      </c>
      <c r="K423" s="72">
        <f>(I423+J423)*(1/Supuestos!$C$20)</f>
        <v>1000000006.0000001</v>
      </c>
    </row>
    <row r="424" spans="3:11" x14ac:dyDescent="0.25">
      <c r="C424" s="5" t="str">
        <f>'Informacion del AEP'!$C$151</f>
        <v>Servicios generales y de gestión - minoristas</v>
      </c>
      <c r="D424" s="70">
        <f>INDEX('Informacion del AEP'!$D$138:$AE$158,MATCH('Costos aguas abajo'!$C424,'Informacion del AEP'!$C$138:$C$158,0),MATCH('Costos aguas abajo'!$C$410,'Informacion del AEP'!$D$137:$AE$137,0))</f>
        <v>200000006</v>
      </c>
      <c r="F424" s="72">
        <f>D424*Supuestos!$C$38</f>
        <v>10000000.300000001</v>
      </c>
      <c r="G424" s="72">
        <f>D424*(1-Supuestos!$C$38)</f>
        <v>190000005.69999999</v>
      </c>
      <c r="I424" s="72">
        <f t="shared" si="23"/>
        <v>10000000.300000001</v>
      </c>
      <c r="J424" s="72">
        <f>G424*Supuestos!$C$20</f>
        <v>21242646.423527375</v>
      </c>
      <c r="K424" s="72">
        <f>(I424+J424)*(1/Supuestos!$C$20)</f>
        <v>279442727.48327315</v>
      </c>
    </row>
    <row r="425" spans="3:11" x14ac:dyDescent="0.25">
      <c r="C425" s="5" t="str">
        <f>'Informacion del AEP'!$C$152</f>
        <v>Servicios generales y de gestión - red</v>
      </c>
      <c r="D425" s="70">
        <f>INDEX('Informacion del AEP'!$D$138:$AE$158,MATCH('Costos aguas abajo'!$C425,'Informacion del AEP'!$C$138:$C$158,0),MATCH('Costos aguas abajo'!$C$410,'Informacion del AEP'!$D$137:$AE$137,0))</f>
        <v>0</v>
      </c>
      <c r="F425" s="72">
        <f>D425*Supuestos!$C$39</f>
        <v>0</v>
      </c>
      <c r="G425" s="72">
        <f>D425*(1-Supuestos!$C$30)</f>
        <v>0</v>
      </c>
      <c r="I425" s="72">
        <f t="shared" si="23"/>
        <v>0</v>
      </c>
      <c r="J425" s="72">
        <f>G425*Supuestos!$C$20</f>
        <v>0</v>
      </c>
      <c r="K425" s="72">
        <f>(I425+J425)*(1/Supuestos!$C$20)</f>
        <v>0</v>
      </c>
    </row>
    <row r="426" spans="3:11" x14ac:dyDescent="0.25">
      <c r="C426" s="5" t="str">
        <f>'Informacion del AEP'!$C$153</f>
        <v xml:space="preserve">Servicios generales y de gestión - negocio </v>
      </c>
      <c r="D426" s="70">
        <f>INDEX('Informacion del AEP'!$D$138:$AE$158,MATCH('Costos aguas abajo'!$C426,'Informacion del AEP'!$C$138:$C$158,0),MATCH('Costos aguas abajo'!$C$410,'Informacion del AEP'!$D$137:$AE$137,0))</f>
        <v>50000006</v>
      </c>
      <c r="F426" s="72">
        <f>D426*Supuestos!$C$40</f>
        <v>5000000.6000000006</v>
      </c>
      <c r="G426" s="72">
        <f>D426*(1-Supuestos!$C$40)</f>
        <v>45000005.399999999</v>
      </c>
      <c r="I426" s="72">
        <f t="shared" si="23"/>
        <v>5000000.6000000006</v>
      </c>
      <c r="J426" s="72">
        <f>G426*Supuestos!$C$20</f>
        <v>5031153.5531128803</v>
      </c>
      <c r="K426" s="72">
        <f>(I426+J426)*(1/Supuestos!$C$20)</f>
        <v>89721370.316558942</v>
      </c>
    </row>
    <row r="427" spans="3:11" ht="13" x14ac:dyDescent="0.3">
      <c r="C427" s="64" t="s">
        <v>109</v>
      </c>
      <c r="D427" s="218">
        <f>SUM(D428:D431)</f>
        <v>0</v>
      </c>
      <c r="F427" s="218">
        <f>SUM(F428:F431)</f>
        <v>0</v>
      </c>
      <c r="G427" s="218">
        <f>SUM(G428:G431)</f>
        <v>0</v>
      </c>
      <c r="I427" s="218">
        <f>SUM(I428:I431)</f>
        <v>0</v>
      </c>
      <c r="J427" s="218">
        <f>SUM(J428:J431)</f>
        <v>0</v>
      </c>
      <c r="K427" s="218">
        <f>SUM(K428:K431)</f>
        <v>0</v>
      </c>
    </row>
    <row r="428" spans="3:11" x14ac:dyDescent="0.25">
      <c r="C428" s="5" t="str">
        <f>'Informacion del AEP'!$C$154</f>
        <v>Costo del Capital:Servicios generales y de gestión - minoristas</v>
      </c>
      <c r="D428" s="70">
        <f>INDEX('Informacion del AEP'!$D$138:$AE$158,MATCH('Costos aguas abajo'!$C428,'Informacion del AEP'!$C$138:$C$158,0),MATCH('Costos aguas abajo'!$C$410,'Informacion del AEP'!$D$137:$AE$137,0))</f>
        <v>0</v>
      </c>
      <c r="F428" s="72">
        <f>D428*Supuestos!$C$41</f>
        <v>0</v>
      </c>
      <c r="G428" s="72">
        <f>D428*(1-Supuestos!$C$41)</f>
        <v>0</v>
      </c>
      <c r="I428" s="72">
        <f t="shared" ref="I428" si="24">+F428</f>
        <v>0</v>
      </c>
      <c r="J428" s="72">
        <f>G428*Supuestos!$C$20</f>
        <v>0</v>
      </c>
      <c r="K428" s="72">
        <f>(I428+J428)*(1/Supuestos!$C$20)</f>
        <v>0</v>
      </c>
    </row>
    <row r="429" spans="3:11" x14ac:dyDescent="0.25">
      <c r="C429" s="5" t="str">
        <f>'Informacion del AEP'!$C$155</f>
        <v>Costo del Capital:Servicios generales y de gestión - red</v>
      </c>
      <c r="D429" s="70">
        <f>INDEX('Informacion del AEP'!$D$138:$AE$158,MATCH('Costos aguas abajo'!$C429,'Informacion del AEP'!$C$138:$C$158,0),MATCH('Costos aguas abajo'!$C$410,'Informacion del AEP'!$D$137:$AE$137,0))</f>
        <v>0</v>
      </c>
      <c r="F429" s="72">
        <f>D429*Supuestos!$C$42</f>
        <v>0</v>
      </c>
      <c r="G429" s="72">
        <f>D429*(1-Supuestos!$C$42)</f>
        <v>0</v>
      </c>
      <c r="I429" s="72">
        <f>+F429</f>
        <v>0</v>
      </c>
      <c r="J429" s="72">
        <f>G429*Supuestos!$C$20</f>
        <v>0</v>
      </c>
      <c r="K429" s="72">
        <f>(I429+J429)*(1/Supuestos!$C$20)</f>
        <v>0</v>
      </c>
    </row>
    <row r="430" spans="3:11" x14ac:dyDescent="0.25">
      <c r="C430" s="5" t="str">
        <f>'Informacion del AEP'!$C$156</f>
        <v xml:space="preserve">Costo del Capital:Servicios generales y de gestión - negocio </v>
      </c>
      <c r="D430" s="70">
        <f>INDEX('Informacion del AEP'!$D$138:$AE$158,MATCH('Costos aguas abajo'!$C430,'Informacion del AEP'!$C$138:$C$158,0),MATCH('Costos aguas abajo'!$C$410,'Informacion del AEP'!$D$137:$AE$137,0))</f>
        <v>0</v>
      </c>
      <c r="F430" s="72">
        <f>D430*Supuestos!$C$43</f>
        <v>0</v>
      </c>
      <c r="G430" s="72">
        <f>D430*(1-Supuestos!$C$43)</f>
        <v>0</v>
      </c>
      <c r="I430" s="72">
        <f>+F430</f>
        <v>0</v>
      </c>
      <c r="J430" s="72">
        <f>G430*Supuestos!$C$20</f>
        <v>0</v>
      </c>
      <c r="K430" s="72">
        <f>(I430+J430)*(1/Supuestos!$C$20)</f>
        <v>0</v>
      </c>
    </row>
    <row r="431" spans="3:11" x14ac:dyDescent="0.25">
      <c r="C431" s="5" t="str">
        <f>'Informacion del AEP'!$C$157</f>
        <v>Costo del Capital:Equipos terminales</v>
      </c>
      <c r="D431" s="70">
        <f>INDEX('Informacion del AEP'!$D$138:$AE$158,MATCH('Costos aguas abajo'!$C431,'Informacion del AEP'!$C$138:$C$158,0),MATCH('Costos aguas abajo'!$C$410,'Informacion del AEP'!$D$137:$AE$137,0))</f>
        <v>0</v>
      </c>
      <c r="F431" s="72">
        <f>D431*Supuestos!$C$44</f>
        <v>0</v>
      </c>
      <c r="G431" s="72">
        <f>D431*(1-Supuestos!$C$44)</f>
        <v>0</v>
      </c>
      <c r="I431" s="72">
        <f>+F431</f>
        <v>0</v>
      </c>
      <c r="J431" s="72">
        <f>G431*Supuestos!$C$20</f>
        <v>0</v>
      </c>
      <c r="K431" s="72">
        <f>(I431+J431)*(1/Supuestos!$C$20)</f>
        <v>0</v>
      </c>
    </row>
    <row r="433" spans="3:11" ht="13" x14ac:dyDescent="0.3">
      <c r="C433" s="73" t="s">
        <v>42</v>
      </c>
      <c r="D433" s="38" t="str">
        <f>IF(D410='Informacion del AEP'!V158,"Ok","Error")</f>
        <v>Ok</v>
      </c>
      <c r="I433" s="38" t="str">
        <f>IF(I410=F410,"Ok","Error")</f>
        <v>Ok</v>
      </c>
    </row>
    <row r="435" spans="3:11" ht="13" x14ac:dyDescent="0.3">
      <c r="C435" s="74" t="str">
        <f>Supuestos!B87</f>
        <v>Telcel Pospago 7</v>
      </c>
      <c r="D435" s="75">
        <f>SUM(D436:D452)</f>
        <v>1627433396.3333335</v>
      </c>
      <c r="E435" s="76"/>
      <c r="F435" s="75">
        <f>SUM(F436:F452)</f>
        <v>45365002.800000004</v>
      </c>
      <c r="G435" s="75">
        <f>SUM(G436:G452)</f>
        <v>1582068393.5333335</v>
      </c>
      <c r="H435" s="76"/>
      <c r="I435" s="75">
        <f>SUM(I436:I452)</f>
        <v>45365002.800000004</v>
      </c>
      <c r="J435" s="75">
        <f>SUM(J436:J452)</f>
        <v>176880623.64972112</v>
      </c>
      <c r="K435" s="75">
        <f>SUM(K436:K452)</f>
        <v>1987825313.7744067</v>
      </c>
    </row>
    <row r="436" spans="3:11" x14ac:dyDescent="0.25">
      <c r="C436" s="5" t="str">
        <f>'Informacion del AEP'!$C$138</f>
        <v>Acceso a Internet</v>
      </c>
      <c r="D436" s="70">
        <f>INDEX('Informacion del AEP'!$D$138:$AE$158,MATCH('Costos aguas abajo'!$C436,'Informacion del AEP'!$C$138:$C$158,0),MATCH('Costos aguas abajo'!$C$435,'Informacion del AEP'!$D$137:$AE$137,0))</f>
        <v>0</v>
      </c>
      <c r="F436" s="72">
        <f>D436*Supuestos!$C$25</f>
        <v>0</v>
      </c>
      <c r="G436" s="72">
        <f>D436*(1-Supuestos!$C$25)</f>
        <v>0</v>
      </c>
      <c r="I436" s="72">
        <f>+F436</f>
        <v>0</v>
      </c>
      <c r="J436" s="72">
        <f>G436*Supuestos!$C$20</f>
        <v>0</v>
      </c>
      <c r="K436" s="72">
        <f>(I436+J436)*(1/Supuestos!$C$20)</f>
        <v>0</v>
      </c>
    </row>
    <row r="437" spans="3:11" x14ac:dyDescent="0.25">
      <c r="C437" s="5" t="str">
        <f>'Informacion del AEP'!$C$139</f>
        <v>Servicios OTT de vídeo</v>
      </c>
      <c r="D437" s="70">
        <f>INDEX('Informacion del AEP'!$D$138:$AE$158,MATCH('Costos aguas abajo'!$C437,'Informacion del AEP'!$C$138:$C$158,0),MATCH('Costos aguas abajo'!$C$435,'Informacion del AEP'!$D$137:$AE$137,0))</f>
        <v>26666667.666666701</v>
      </c>
      <c r="F437" s="72">
        <f>D437*Supuestos!$C$26</f>
        <v>0</v>
      </c>
      <c r="G437" s="72">
        <f>D437*(1-Supuestos!$C$26)</f>
        <v>26666667.666666701</v>
      </c>
      <c r="I437" s="72">
        <f>+F437</f>
        <v>0</v>
      </c>
      <c r="J437" s="72">
        <f>G437*Supuestos!$C$20</f>
        <v>2981424.0818031221</v>
      </c>
      <c r="K437" s="72">
        <f>(I437+J437)*(1/Supuestos!$C$20)</f>
        <v>26666667.666666701</v>
      </c>
    </row>
    <row r="438" spans="3:11" x14ac:dyDescent="0.25">
      <c r="C438" s="5" t="str">
        <f>'Informacion del AEP'!$C$140</f>
        <v>Servicios OTT de audio</v>
      </c>
      <c r="D438" s="70">
        <f>INDEX('Informacion del AEP'!$D$138:$AE$158,MATCH('Costos aguas abajo'!$C438,'Informacion del AEP'!$C$138:$C$158,0),MATCH('Costos aguas abajo'!$C$435,'Informacion del AEP'!$D$137:$AE$137,0))</f>
        <v>0</v>
      </c>
      <c r="F438" s="72">
        <f>D438*Supuestos!$C$27</f>
        <v>0</v>
      </c>
      <c r="G438" s="72">
        <f>D438*(1-Supuestos!$C$27)</f>
        <v>0</v>
      </c>
      <c r="I438" s="72">
        <f t="shared" ref="I438:I451" si="25">+F438</f>
        <v>0</v>
      </c>
      <c r="J438" s="72">
        <f>G438*Supuestos!$C$20</f>
        <v>0</v>
      </c>
      <c r="K438" s="72">
        <f>(I438+J438)*(1/Supuestos!$C$20)</f>
        <v>0</v>
      </c>
    </row>
    <row r="439" spans="3:11" x14ac:dyDescent="0.25">
      <c r="C439" s="5" t="str">
        <f>'Informacion del AEP'!$C$141</f>
        <v>Comerciales</v>
      </c>
      <c r="D439" s="70">
        <f>INDEX('Informacion del AEP'!$D$138:$AE$158,MATCH('Costos aguas abajo'!$C439,'Informacion del AEP'!$C$138:$C$158,0),MATCH('Costos aguas abajo'!$C$435,'Informacion del AEP'!$D$137:$AE$137,0))</f>
        <v>300000007</v>
      </c>
      <c r="F439" s="72">
        <f>D439*Supuestos!$C$28</f>
        <v>30000000.700000003</v>
      </c>
      <c r="G439" s="72">
        <f>D439*(1-Supuestos!$C$28)</f>
        <v>270000006.30000001</v>
      </c>
      <c r="I439" s="72">
        <f t="shared" si="25"/>
        <v>30000000.700000003</v>
      </c>
      <c r="J439" s="72">
        <f>G439*Supuestos!$C$20</f>
        <v>30186918.400608573</v>
      </c>
      <c r="K439" s="72">
        <f>(I439+J439)*(1/Supuestos!$C$20)</f>
        <v>538328169.86096513</v>
      </c>
    </row>
    <row r="440" spans="3:11" x14ac:dyDescent="0.25">
      <c r="C440" s="5" t="str">
        <f>'Informacion del AEP'!$C$142</f>
        <v>Facturación</v>
      </c>
      <c r="D440" s="70">
        <f>INDEX('Informacion del AEP'!$D$138:$AE$158,MATCH('Costos aguas abajo'!$C440,'Informacion del AEP'!$C$138:$C$158,0),MATCH('Costos aguas abajo'!$C$435,'Informacion del AEP'!$D$137:$AE$137,0))</f>
        <v>300007</v>
      </c>
      <c r="F440" s="72">
        <f>D440*Supuestos!$C$29</f>
        <v>15000.35</v>
      </c>
      <c r="G440" s="72">
        <f>D440*(1-Supuestos!$C$29)</f>
        <v>285006.64999999997</v>
      </c>
      <c r="I440" s="72">
        <f t="shared" si="25"/>
        <v>15000.35</v>
      </c>
      <c r="J440" s="72">
        <f>G440*Supuestos!$C$20</f>
        <v>31864.712171974516</v>
      </c>
      <c r="K440" s="72">
        <f>(I440+J440)*(1/Supuestos!$C$20)</f>
        <v>419173.85914515588</v>
      </c>
    </row>
    <row r="441" spans="3:11" x14ac:dyDescent="0.25">
      <c r="C441" s="5" t="str">
        <f>'Informacion del AEP'!$C$143</f>
        <v>Cobranza</v>
      </c>
      <c r="D441" s="70">
        <f>INDEX('Informacion del AEP'!$D$138:$AE$158,MATCH('Costos aguas abajo'!$C441,'Informacion del AEP'!$C$138:$C$158,0),MATCH('Costos aguas abajo'!$C$435,'Informacion del AEP'!$D$137:$AE$137,0))</f>
        <v>11666667.6666667</v>
      </c>
      <c r="F441" s="72">
        <f>D441*Supuestos!$C$30</f>
        <v>0</v>
      </c>
      <c r="G441" s="72">
        <f>D441*(1-Supuestos!$C$30)</f>
        <v>11666667.6666667</v>
      </c>
      <c r="I441" s="72">
        <f t="shared" si="25"/>
        <v>0</v>
      </c>
      <c r="J441" s="72">
        <f>G441*Supuestos!$C$20</f>
        <v>1304373.0986782799</v>
      </c>
      <c r="K441" s="72">
        <f>(I441+J441)*(1/Supuestos!$C$20)</f>
        <v>11666667.6666667</v>
      </c>
    </row>
    <row r="442" spans="3:11" x14ac:dyDescent="0.25">
      <c r="C442" s="5" t="str">
        <f>'Informacion del AEP'!$C$144</f>
        <v>Tasas e impuestos</v>
      </c>
      <c r="D442" s="70">
        <f>INDEX('Informacion del AEP'!$D$138:$AE$158,MATCH('Costos aguas abajo'!$C442,'Informacion del AEP'!$C$138:$C$158,0),MATCH('Costos aguas abajo'!$C$435,'Informacion del AEP'!$D$137:$AE$137,0))</f>
        <v>3500007</v>
      </c>
      <c r="F442" s="72">
        <f>D442*Supuestos!$C$31</f>
        <v>350000.7</v>
      </c>
      <c r="G442" s="72">
        <f>D442*(1-Supuestos!$C$31)</f>
        <v>3150006.3000000003</v>
      </c>
      <c r="I442" s="72">
        <f t="shared" si="25"/>
        <v>350000.7</v>
      </c>
      <c r="J442" s="72">
        <f>G442*Supuestos!$C$20</f>
        <v>352181.41081762983</v>
      </c>
      <c r="K442" s="72">
        <f>(I442+J442)*(1/Supuestos!$C$20)</f>
        <v>6280507.7294900436</v>
      </c>
    </row>
    <row r="443" spans="3:11" x14ac:dyDescent="0.25">
      <c r="C443" s="5" t="str">
        <f>'Informacion del AEP'!$C$145</f>
        <v>Programas de fidelización</v>
      </c>
      <c r="D443" s="70">
        <f>INDEX('Informacion del AEP'!$D$138:$AE$158,MATCH('Costos aguas abajo'!$C443,'Informacion del AEP'!$C$138:$C$158,0),MATCH('Costos aguas abajo'!$C$435,'Informacion del AEP'!$D$137:$AE$137,0))</f>
        <v>13333337.3333333</v>
      </c>
      <c r="F443" s="72">
        <f>D443*Supuestos!$C$32</f>
        <v>0</v>
      </c>
      <c r="G443" s="72">
        <f>D443*(1-Supuestos!$C$32)</f>
        <v>13333337.3333333</v>
      </c>
      <c r="I443" s="72">
        <f t="shared" si="25"/>
        <v>0</v>
      </c>
      <c r="J443" s="72">
        <f>G443*Supuestos!$C$20</f>
        <v>1490712.4322134515</v>
      </c>
      <c r="K443" s="72">
        <f>(I443+J443)*(1/Supuestos!$C$20)</f>
        <v>13333337.3333333</v>
      </c>
    </row>
    <row r="444" spans="3:11" x14ac:dyDescent="0.25">
      <c r="C444" s="5" t="str">
        <f>'Informacion del AEP'!$C$146</f>
        <v>Acceso internet internacional</v>
      </c>
      <c r="D444" s="70">
        <f>INDEX('Informacion del AEP'!$D$138:$AE$158,MATCH('Costos aguas abajo'!$C444,'Informacion del AEP'!$C$138:$C$158,0),MATCH('Costos aguas abajo'!$C$435,'Informacion del AEP'!$D$137:$AE$137,0))</f>
        <v>3800007</v>
      </c>
      <c r="F444" s="72">
        <f>D444*Supuestos!$C$33</f>
        <v>0</v>
      </c>
      <c r="G444" s="72">
        <f>D444*(1-Supuestos!$C$33)</f>
        <v>3800007</v>
      </c>
      <c r="I444" s="72">
        <f t="shared" si="25"/>
        <v>0</v>
      </c>
      <c r="J444" s="72">
        <f>G444*Supuestos!$C$20</f>
        <v>424853.69834875216</v>
      </c>
      <c r="K444" s="72">
        <f>(I444+J444)*(1/Supuestos!$C$20)</f>
        <v>3800007</v>
      </c>
    </row>
    <row r="445" spans="3:11" x14ac:dyDescent="0.25">
      <c r="C445" s="5" t="str">
        <f>'Informacion del AEP'!$C$147</f>
        <v>Roaming nacional</v>
      </c>
      <c r="D445" s="70">
        <f>INDEX('Informacion del AEP'!$D$138:$AE$158,MATCH('Costos aguas abajo'!$C445,'Informacion del AEP'!$C$138:$C$158,0),MATCH('Costos aguas abajo'!$C$435,'Informacion del AEP'!$D$137:$AE$137,0))</f>
        <v>1500007</v>
      </c>
      <c r="F445" s="72">
        <f>D445*Supuestos!$C$34</f>
        <v>0</v>
      </c>
      <c r="G445" s="72">
        <f>D445*(1-Supuestos!$C$34)</f>
        <v>1500007</v>
      </c>
      <c r="I445" s="72">
        <f t="shared" si="25"/>
        <v>0</v>
      </c>
      <c r="J445" s="72">
        <f>G445*Supuestos!$C$20</f>
        <v>167705.88093627634</v>
      </c>
      <c r="K445" s="72">
        <f>(I445+J445)*(1/Supuestos!$C$20)</f>
        <v>1500007</v>
      </c>
    </row>
    <row r="446" spans="3:11" x14ac:dyDescent="0.25">
      <c r="C446" s="5" t="str">
        <f>'Informacion del AEP'!$C$148</f>
        <v>Roaming internacional</v>
      </c>
      <c r="D446" s="70">
        <f>INDEX('Informacion del AEP'!$D$138:$AE$158,MATCH('Costos aguas abajo'!$C446,'Informacion del AEP'!$C$138:$C$158,0),MATCH('Costos aguas abajo'!$C$435,'Informacion del AEP'!$D$137:$AE$137,0))</f>
        <v>0</v>
      </c>
      <c r="F446" s="72">
        <f>D446*Supuestos!$C$35</f>
        <v>0</v>
      </c>
      <c r="G446" s="72">
        <f>D446*(1-Supuestos!$C$35)</f>
        <v>0</v>
      </c>
      <c r="I446" s="72">
        <f t="shared" si="25"/>
        <v>0</v>
      </c>
      <c r="J446" s="72">
        <f>G446*Supuestos!$C$20</f>
        <v>0</v>
      </c>
      <c r="K446" s="72">
        <f>(I446+J446)*(1/Supuestos!$C$20)</f>
        <v>0</v>
      </c>
    </row>
    <row r="447" spans="3:11" x14ac:dyDescent="0.25">
      <c r="C447" s="5" t="str">
        <f>'Informacion del AEP'!$C$149</f>
        <v>Provisiones</v>
      </c>
      <c r="D447" s="70">
        <f>INDEX('Informacion del AEP'!$D$138:$AE$158,MATCH('Costos aguas abajo'!$C447,'Informacion del AEP'!$C$138:$C$158,0),MATCH('Costos aguas abajo'!$C$435,'Informacion del AEP'!$D$137:$AE$137,0))</f>
        <v>16666667.6666667</v>
      </c>
      <c r="F447" s="72">
        <f>D447*Supuestos!$C$36</f>
        <v>0</v>
      </c>
      <c r="G447" s="72">
        <f>D447*(1-Supuestos!$C$36)</f>
        <v>16666667.6666667</v>
      </c>
      <c r="I447" s="72">
        <f t="shared" si="25"/>
        <v>0</v>
      </c>
      <c r="J447" s="72">
        <f>G447*Supuestos!$C$20</f>
        <v>1863390.0930532273</v>
      </c>
      <c r="K447" s="72">
        <f>(I447+J447)*(1/Supuestos!$C$20)</f>
        <v>16666667.6666667</v>
      </c>
    </row>
    <row r="448" spans="3:11" x14ac:dyDescent="0.25">
      <c r="C448" s="5" t="str">
        <f>'Informacion del AEP'!$C$150</f>
        <v>Costos directos de la venta de terminales</v>
      </c>
      <c r="D448" s="70">
        <f>INDEX('Informacion del AEP'!$D$138:$AE$158,MATCH('Costos aguas abajo'!$C448,'Informacion del AEP'!$C$138:$C$158,0),MATCH('Costos aguas abajo'!$C$435,'Informacion del AEP'!$D$137:$AE$137,0))</f>
        <v>1000000007</v>
      </c>
      <c r="F448" s="72">
        <f>D448*Supuestos!$C$37</f>
        <v>0</v>
      </c>
      <c r="G448" s="72">
        <f>D448*(1-Supuestos!$C$37)</f>
        <v>1000000007</v>
      </c>
      <c r="I448" s="72">
        <f t="shared" si="25"/>
        <v>0</v>
      </c>
      <c r="J448" s="72">
        <f>G448*Supuestos!$C$20</f>
        <v>111803399.65761328</v>
      </c>
      <c r="K448" s="72">
        <f>(I448+J448)*(1/Supuestos!$C$20)</f>
        <v>1000000007</v>
      </c>
    </row>
    <row r="449" spans="3:11" x14ac:dyDescent="0.25">
      <c r="C449" s="5" t="str">
        <f>'Informacion del AEP'!$C$151</f>
        <v>Servicios generales y de gestión - minoristas</v>
      </c>
      <c r="D449" s="70">
        <f>INDEX('Informacion del AEP'!$D$138:$AE$158,MATCH('Costos aguas abajo'!$C449,'Informacion del AEP'!$C$138:$C$158,0),MATCH('Costos aguas abajo'!$C$435,'Informacion del AEP'!$D$137:$AE$137,0))</f>
        <v>200000007</v>
      </c>
      <c r="F449" s="72">
        <f>D449*Supuestos!$C$38</f>
        <v>10000000.35</v>
      </c>
      <c r="G449" s="72">
        <f>D449*(1-Supuestos!$C$38)</f>
        <v>190000006.65000001</v>
      </c>
      <c r="I449" s="72">
        <f t="shared" si="25"/>
        <v>10000000.35</v>
      </c>
      <c r="J449" s="72">
        <f>G449*Supuestos!$C$20</f>
        <v>21242646.529740606</v>
      </c>
      <c r="K449" s="72">
        <f>(I449+J449)*(1/Supuestos!$C$20)</f>
        <v>279442728.88048679</v>
      </c>
    </row>
    <row r="450" spans="3:11" x14ac:dyDescent="0.25">
      <c r="C450" s="5" t="str">
        <f>'Informacion del AEP'!$C$152</f>
        <v>Servicios generales y de gestión - red</v>
      </c>
      <c r="D450" s="70">
        <f>INDEX('Informacion del AEP'!$D$138:$AE$158,MATCH('Costos aguas abajo'!$C450,'Informacion del AEP'!$C$138:$C$158,0),MATCH('Costos aguas abajo'!$C$435,'Informacion del AEP'!$D$137:$AE$137,0))</f>
        <v>0</v>
      </c>
      <c r="F450" s="72">
        <f>D450*Supuestos!$C$39</f>
        <v>0</v>
      </c>
      <c r="G450" s="72">
        <f>D450*(1-Supuestos!$C$30)</f>
        <v>0</v>
      </c>
      <c r="I450" s="72">
        <f t="shared" si="25"/>
        <v>0</v>
      </c>
      <c r="J450" s="72">
        <f>G450*Supuestos!$C$20</f>
        <v>0</v>
      </c>
      <c r="K450" s="72">
        <f>(I450+J450)*(1/Supuestos!$C$20)</f>
        <v>0</v>
      </c>
    </row>
    <row r="451" spans="3:11" x14ac:dyDescent="0.25">
      <c r="C451" s="5" t="str">
        <f>'Informacion del AEP'!$C$153</f>
        <v xml:space="preserve">Servicios generales y de gestión - negocio </v>
      </c>
      <c r="D451" s="70">
        <f>INDEX('Informacion del AEP'!$D$138:$AE$158,MATCH('Costos aguas abajo'!$C451,'Informacion del AEP'!$C$138:$C$158,0),MATCH('Costos aguas abajo'!$C$435,'Informacion del AEP'!$D$137:$AE$137,0))</f>
        <v>50000007</v>
      </c>
      <c r="F451" s="72">
        <f>D451*Supuestos!$C$40</f>
        <v>5000000.7</v>
      </c>
      <c r="G451" s="72">
        <f>D451*(1-Supuestos!$C$40)</f>
        <v>45000006.300000004</v>
      </c>
      <c r="I451" s="72">
        <f t="shared" si="25"/>
        <v>5000000.7</v>
      </c>
      <c r="J451" s="72">
        <f>G451*Supuestos!$C$20</f>
        <v>5031153.6537359403</v>
      </c>
      <c r="K451" s="72">
        <f>(I451+J451)*(1/Supuestos!$C$20)</f>
        <v>89721372.110986143</v>
      </c>
    </row>
    <row r="452" spans="3:11" ht="13" x14ac:dyDescent="0.3">
      <c r="C452" s="64" t="s">
        <v>109</v>
      </c>
      <c r="D452" s="218">
        <f>SUM(D453:D456)</f>
        <v>0</v>
      </c>
      <c r="F452" s="218">
        <f>SUM(F453:F456)</f>
        <v>0</v>
      </c>
      <c r="G452" s="218">
        <f>SUM(G453:G456)</f>
        <v>0</v>
      </c>
      <c r="I452" s="218">
        <f>SUM(I453:I456)</f>
        <v>0</v>
      </c>
      <c r="J452" s="218">
        <f>SUM(J453:J456)</f>
        <v>0</v>
      </c>
      <c r="K452" s="218">
        <f>SUM(K453:K456)</f>
        <v>0</v>
      </c>
    </row>
    <row r="453" spans="3:11" x14ac:dyDescent="0.25">
      <c r="C453" s="5" t="str">
        <f>'Informacion del AEP'!$C$154</f>
        <v>Costo del Capital:Servicios generales y de gestión - minoristas</v>
      </c>
      <c r="D453" s="70">
        <f>INDEX('Informacion del AEP'!$D$138:$AE$158,MATCH('Costos aguas abajo'!$C453,'Informacion del AEP'!$C$138:$C$158,0),MATCH('Costos aguas abajo'!$C$435,'Informacion del AEP'!$D$137:$AE$137,0))</f>
        <v>0</v>
      </c>
      <c r="F453" s="72">
        <f>D453*Supuestos!$C$41</f>
        <v>0</v>
      </c>
      <c r="G453" s="72">
        <f>D453*(1-Supuestos!$C$41)</f>
        <v>0</v>
      </c>
      <c r="I453" s="72">
        <f t="shared" ref="I453" si="26">+F453</f>
        <v>0</v>
      </c>
      <c r="J453" s="72">
        <f>G453*Supuestos!$C$20</f>
        <v>0</v>
      </c>
      <c r="K453" s="72">
        <f>(I453+J453)*(1/Supuestos!$C$20)</f>
        <v>0</v>
      </c>
    </row>
    <row r="454" spans="3:11" x14ac:dyDescent="0.25">
      <c r="C454" s="5" t="str">
        <f>'Informacion del AEP'!$C$155</f>
        <v>Costo del Capital:Servicios generales y de gestión - red</v>
      </c>
      <c r="D454" s="70">
        <f>INDEX('Informacion del AEP'!$D$138:$AE$158,MATCH('Costos aguas abajo'!$C454,'Informacion del AEP'!$C$138:$C$158,0),MATCH('Costos aguas abajo'!$C$435,'Informacion del AEP'!$D$137:$AE$137,0))</f>
        <v>0</v>
      </c>
      <c r="F454" s="72">
        <f>D454*Supuestos!$C$42</f>
        <v>0</v>
      </c>
      <c r="G454" s="72">
        <f>D454*(1-Supuestos!$C$42)</f>
        <v>0</v>
      </c>
      <c r="I454" s="72">
        <f>+F454</f>
        <v>0</v>
      </c>
      <c r="J454" s="72">
        <f>G454*Supuestos!$C$20</f>
        <v>0</v>
      </c>
      <c r="K454" s="72">
        <f>(I454+J454)*(1/Supuestos!$C$20)</f>
        <v>0</v>
      </c>
    </row>
    <row r="455" spans="3:11" x14ac:dyDescent="0.25">
      <c r="C455" s="5" t="str">
        <f>'Informacion del AEP'!$C$156</f>
        <v xml:space="preserve">Costo del Capital:Servicios generales y de gestión - negocio </v>
      </c>
      <c r="D455" s="70">
        <f>INDEX('Informacion del AEP'!$D$138:$AE$158,MATCH('Costos aguas abajo'!$C455,'Informacion del AEP'!$C$138:$C$158,0),MATCH('Costos aguas abajo'!$C$435,'Informacion del AEP'!$D$137:$AE$137,0))</f>
        <v>0</v>
      </c>
      <c r="F455" s="72">
        <f>D455*Supuestos!$C$43</f>
        <v>0</v>
      </c>
      <c r="G455" s="72">
        <f>D455*(1-Supuestos!$C$43)</f>
        <v>0</v>
      </c>
      <c r="I455" s="72">
        <f>+F455</f>
        <v>0</v>
      </c>
      <c r="J455" s="72">
        <f>G455*Supuestos!$C$20</f>
        <v>0</v>
      </c>
      <c r="K455" s="72">
        <f>(I455+J455)*(1/Supuestos!$C$20)</f>
        <v>0</v>
      </c>
    </row>
    <row r="456" spans="3:11" x14ac:dyDescent="0.25">
      <c r="C456" s="5" t="str">
        <f>'Informacion del AEP'!$C$157</f>
        <v>Costo del Capital:Equipos terminales</v>
      </c>
      <c r="D456" s="70">
        <f>INDEX('Informacion del AEP'!$D$138:$AE$158,MATCH('Costos aguas abajo'!$C456,'Informacion del AEP'!$C$138:$C$158,0),MATCH('Costos aguas abajo'!$C$435,'Informacion del AEP'!$D$137:$AE$137,0))</f>
        <v>0</v>
      </c>
      <c r="F456" s="72">
        <f>D456*Supuestos!$C$44</f>
        <v>0</v>
      </c>
      <c r="G456" s="72">
        <f>D456*(1-Supuestos!$C$44)</f>
        <v>0</v>
      </c>
      <c r="I456" s="72">
        <f>+F456</f>
        <v>0</v>
      </c>
      <c r="J456" s="72">
        <f>G456*Supuestos!$C$20</f>
        <v>0</v>
      </c>
      <c r="K456" s="72">
        <f>(I456+J456)*(1/Supuestos!$C$20)</f>
        <v>0</v>
      </c>
    </row>
    <row r="458" spans="3:11" ht="13" x14ac:dyDescent="0.3">
      <c r="C458" s="73" t="s">
        <v>42</v>
      </c>
      <c r="D458" s="38" t="str">
        <f>IF(D435='Informacion del AEP'!W158,"Ok","Error")</f>
        <v>Ok</v>
      </c>
      <c r="I458" s="38" t="str">
        <f>IF(I435=F435,"Ok","Error")</f>
        <v>Ok</v>
      </c>
    </row>
    <row r="460" spans="3:11" ht="13" x14ac:dyDescent="0.3">
      <c r="C460" s="74" t="str">
        <f>Supuestos!B88</f>
        <v>Telcel Pospago 9</v>
      </c>
      <c r="D460" s="75">
        <f>SUM(D461:D477)</f>
        <v>1627433408.3333335</v>
      </c>
      <c r="E460" s="76"/>
      <c r="F460" s="75">
        <f>SUM(F461:F477)</f>
        <v>45365003.199999996</v>
      </c>
      <c r="G460" s="75">
        <f>SUM(G461:G477)</f>
        <v>1582068405.1333334</v>
      </c>
      <c r="H460" s="76"/>
      <c r="I460" s="75">
        <f>SUM(I461:I477)</f>
        <v>45365003.199999996</v>
      </c>
      <c r="J460" s="75">
        <f>SUM(J461:J477)</f>
        <v>176880624.94664055</v>
      </c>
      <c r="K460" s="75">
        <f>SUM(K461:K477)</f>
        <v>1987825328.9521155</v>
      </c>
    </row>
    <row r="461" spans="3:11" x14ac:dyDescent="0.25">
      <c r="C461" s="5" t="str">
        <f>'Informacion del AEP'!$C$138</f>
        <v>Acceso a Internet</v>
      </c>
      <c r="D461" s="70">
        <f>INDEX('Informacion del AEP'!$D$138:$AE$158,MATCH('Costos aguas abajo'!$C461,'Informacion del AEP'!$C$138:$C$158,0),MATCH('Costos aguas abajo'!$C$460,'Informacion del AEP'!$D$137:$AE$137,0))</f>
        <v>0</v>
      </c>
      <c r="F461" s="72">
        <f>D461*Supuestos!$C$25</f>
        <v>0</v>
      </c>
      <c r="G461" s="72">
        <f>D461*(1-Supuestos!$C$25)</f>
        <v>0</v>
      </c>
      <c r="I461" s="72">
        <f>+F461</f>
        <v>0</v>
      </c>
      <c r="J461" s="72">
        <f>G461*Supuestos!$C$20</f>
        <v>0</v>
      </c>
      <c r="K461" s="72">
        <f>(I461+J461)*(1/Supuestos!$C$20)</f>
        <v>0</v>
      </c>
    </row>
    <row r="462" spans="3:11" x14ac:dyDescent="0.25">
      <c r="C462" s="5" t="str">
        <f>'Informacion del AEP'!$C$139</f>
        <v>Servicios OTT de vídeo</v>
      </c>
      <c r="D462" s="70">
        <f>INDEX('Informacion del AEP'!$D$138:$AE$158,MATCH('Costos aguas abajo'!$C462,'Informacion del AEP'!$C$138:$C$158,0),MATCH('Costos aguas abajo'!$C$460,'Informacion del AEP'!$D$137:$AE$137,0))</f>
        <v>26666668.666666701</v>
      </c>
      <c r="F462" s="72">
        <f>D462*Supuestos!$C$26</f>
        <v>0</v>
      </c>
      <c r="G462" s="72">
        <f>D462*(1-Supuestos!$C$26)</f>
        <v>26666668.666666701</v>
      </c>
      <c r="I462" s="72">
        <f>+F462</f>
        <v>0</v>
      </c>
      <c r="J462" s="72">
        <f>G462*Supuestos!$C$20</f>
        <v>2981424.193606521</v>
      </c>
      <c r="K462" s="72">
        <f>(I462+J462)*(1/Supuestos!$C$20)</f>
        <v>26666668.666666701</v>
      </c>
    </row>
    <row r="463" spans="3:11" x14ac:dyDescent="0.25">
      <c r="C463" s="5" t="str">
        <f>'Informacion del AEP'!$C$140</f>
        <v>Servicios OTT de audio</v>
      </c>
      <c r="D463" s="70">
        <f>INDEX('Informacion del AEP'!$D$138:$AE$158,MATCH('Costos aguas abajo'!$C463,'Informacion del AEP'!$C$138:$C$158,0),MATCH('Costos aguas abajo'!$C$460,'Informacion del AEP'!$D$137:$AE$137,0))</f>
        <v>0</v>
      </c>
      <c r="F463" s="72">
        <f>D463*Supuestos!$C$27</f>
        <v>0</v>
      </c>
      <c r="G463" s="72">
        <f>D463*(1-Supuestos!$C$27)</f>
        <v>0</v>
      </c>
      <c r="I463" s="72">
        <f t="shared" ref="I463:I476" si="27">+F463</f>
        <v>0</v>
      </c>
      <c r="J463" s="72">
        <f>G463*Supuestos!$C$20</f>
        <v>0</v>
      </c>
      <c r="K463" s="72">
        <f>(I463+J463)*(1/Supuestos!$C$20)</f>
        <v>0</v>
      </c>
    </row>
    <row r="464" spans="3:11" x14ac:dyDescent="0.25">
      <c r="C464" s="5" t="str">
        <f>'Informacion del AEP'!$C$141</f>
        <v>Comerciales</v>
      </c>
      <c r="D464" s="70">
        <f>INDEX('Informacion del AEP'!$D$138:$AE$158,MATCH('Costos aguas abajo'!$C464,'Informacion del AEP'!$C$138:$C$158,0),MATCH('Costos aguas abajo'!$C$460,'Informacion del AEP'!$D$137:$AE$137,0))</f>
        <v>300000008</v>
      </c>
      <c r="F464" s="72">
        <f>D464*Supuestos!$C$28</f>
        <v>30000000.800000001</v>
      </c>
      <c r="G464" s="72">
        <f>D464*(1-Supuestos!$C$28)</f>
        <v>270000007.19999999</v>
      </c>
      <c r="I464" s="72">
        <f t="shared" si="27"/>
        <v>30000000.800000001</v>
      </c>
      <c r="J464" s="72">
        <f>G464*Supuestos!$C$20</f>
        <v>30186918.501231629</v>
      </c>
      <c r="K464" s="72">
        <f>(I464+J464)*(1/Supuestos!$C$20)</f>
        <v>538328171.65539229</v>
      </c>
    </row>
    <row r="465" spans="3:11" x14ac:dyDescent="0.25">
      <c r="C465" s="5" t="str">
        <f>'Informacion del AEP'!$C$142</f>
        <v>Facturación</v>
      </c>
      <c r="D465" s="70">
        <f>INDEX('Informacion del AEP'!$D$138:$AE$158,MATCH('Costos aguas abajo'!$C465,'Informacion del AEP'!$C$138:$C$158,0),MATCH('Costos aguas abajo'!$C$460,'Informacion del AEP'!$D$137:$AE$137,0))</f>
        <v>300008</v>
      </c>
      <c r="F465" s="72">
        <f>D465*Supuestos!$C$29</f>
        <v>15000.400000000001</v>
      </c>
      <c r="G465" s="72">
        <f>D465*(1-Supuestos!$C$29)</f>
        <v>285007.59999999998</v>
      </c>
      <c r="I465" s="72">
        <f t="shared" si="27"/>
        <v>15000.400000000001</v>
      </c>
      <c r="J465" s="72">
        <f>G465*Supuestos!$C$20</f>
        <v>31864.818385203449</v>
      </c>
      <c r="K465" s="72">
        <f>(I465+J465)*(1/Supuestos!$C$20)</f>
        <v>419175.25635875139</v>
      </c>
    </row>
    <row r="466" spans="3:11" x14ac:dyDescent="0.25">
      <c r="C466" s="5" t="str">
        <f>'Informacion del AEP'!$C$143</f>
        <v>Cobranza</v>
      </c>
      <c r="D466" s="70">
        <f>INDEX('Informacion del AEP'!$D$138:$AE$158,MATCH('Costos aguas abajo'!$C466,'Informacion del AEP'!$C$138:$C$158,0),MATCH('Costos aguas abajo'!$C$460,'Informacion del AEP'!$D$137:$AE$137,0))</f>
        <v>11666668.6666667</v>
      </c>
      <c r="F466" s="72">
        <f>D466*Supuestos!$C$30</f>
        <v>0</v>
      </c>
      <c r="G466" s="72">
        <f>D466*(1-Supuestos!$C$30)</f>
        <v>11666668.6666667</v>
      </c>
      <c r="I466" s="72">
        <f t="shared" si="27"/>
        <v>0</v>
      </c>
      <c r="J466" s="72">
        <f>G466*Supuestos!$C$20</f>
        <v>1304373.2104816788</v>
      </c>
      <c r="K466" s="72">
        <f>(I466+J466)*(1/Supuestos!$C$20)</f>
        <v>11666668.666666701</v>
      </c>
    </row>
    <row r="467" spans="3:11" x14ac:dyDescent="0.25">
      <c r="C467" s="5" t="str">
        <f>'Informacion del AEP'!$C$144</f>
        <v>Tasas e impuestos</v>
      </c>
      <c r="D467" s="70">
        <f>INDEX('Informacion del AEP'!$D$138:$AE$158,MATCH('Costos aguas abajo'!$C467,'Informacion del AEP'!$C$138:$C$158,0),MATCH('Costos aguas abajo'!$C$460,'Informacion del AEP'!$D$137:$AE$137,0))</f>
        <v>3500008</v>
      </c>
      <c r="F467" s="72">
        <f>D467*Supuestos!$C$31</f>
        <v>350000.80000000005</v>
      </c>
      <c r="G467" s="72">
        <f>D467*(1-Supuestos!$C$31)</f>
        <v>3150007.2</v>
      </c>
      <c r="I467" s="72">
        <f t="shared" si="27"/>
        <v>350000.80000000005</v>
      </c>
      <c r="J467" s="72">
        <f>G467*Supuestos!$C$20</f>
        <v>352181.5114406888</v>
      </c>
      <c r="K467" s="72">
        <f>(I467+J467)*(1/Supuestos!$C$20)</f>
        <v>6280509.5239172336</v>
      </c>
    </row>
    <row r="468" spans="3:11" x14ac:dyDescent="0.25">
      <c r="C468" s="5" t="str">
        <f>'Informacion del AEP'!$C$145</f>
        <v>Programas de fidelización</v>
      </c>
      <c r="D468" s="70">
        <f>INDEX('Informacion del AEP'!$D$138:$AE$158,MATCH('Costos aguas abajo'!$C468,'Informacion del AEP'!$C$138:$C$158,0),MATCH('Costos aguas abajo'!$C$460,'Informacion del AEP'!$D$137:$AE$137,0))</f>
        <v>13333338.3333333</v>
      </c>
      <c r="F468" s="72">
        <f>D468*Supuestos!$C$32</f>
        <v>0</v>
      </c>
      <c r="G468" s="72">
        <f>D468*(1-Supuestos!$C$32)</f>
        <v>13333338.3333333</v>
      </c>
      <c r="I468" s="72">
        <f t="shared" si="27"/>
        <v>0</v>
      </c>
      <c r="J468" s="72">
        <f>G468*Supuestos!$C$20</f>
        <v>1490712.5440168504</v>
      </c>
      <c r="K468" s="72">
        <f>(I468+J468)*(1/Supuestos!$C$20)</f>
        <v>13333338.3333333</v>
      </c>
    </row>
    <row r="469" spans="3:11" x14ac:dyDescent="0.25">
      <c r="C469" s="5" t="str">
        <f>'Informacion del AEP'!$C$146</f>
        <v>Acceso internet internacional</v>
      </c>
      <c r="D469" s="70">
        <f>INDEX('Informacion del AEP'!$D$138:$AE$158,MATCH('Costos aguas abajo'!$C469,'Informacion del AEP'!$C$138:$C$158,0),MATCH('Costos aguas abajo'!$C$460,'Informacion del AEP'!$D$137:$AE$137,0))</f>
        <v>3800008</v>
      </c>
      <c r="F469" s="72">
        <f>D469*Supuestos!$C$33</f>
        <v>0</v>
      </c>
      <c r="G469" s="72">
        <f>D469*(1-Supuestos!$C$33)</f>
        <v>3800008</v>
      </c>
      <c r="I469" s="72">
        <f t="shared" si="27"/>
        <v>0</v>
      </c>
      <c r="J469" s="72">
        <f>G469*Supuestos!$C$20</f>
        <v>424853.81015215104</v>
      </c>
      <c r="K469" s="72">
        <f>(I469+J469)*(1/Supuestos!$C$20)</f>
        <v>3800008</v>
      </c>
    </row>
    <row r="470" spans="3:11" x14ac:dyDescent="0.25">
      <c r="C470" s="5" t="str">
        <f>'Informacion del AEP'!$C$147</f>
        <v>Roaming nacional</v>
      </c>
      <c r="D470" s="70">
        <f>INDEX('Informacion del AEP'!$D$138:$AE$158,MATCH('Costos aguas abajo'!$C470,'Informacion del AEP'!$C$138:$C$158,0),MATCH('Costos aguas abajo'!$C$460,'Informacion del AEP'!$D$137:$AE$137,0))</f>
        <v>1500008</v>
      </c>
      <c r="F470" s="72">
        <f>D470*Supuestos!$C$34</f>
        <v>0</v>
      </c>
      <c r="G470" s="72">
        <f>D470*(1-Supuestos!$C$34)</f>
        <v>1500008</v>
      </c>
      <c r="I470" s="72">
        <f t="shared" si="27"/>
        <v>0</v>
      </c>
      <c r="J470" s="72">
        <f>G470*Supuestos!$C$20</f>
        <v>167705.99273967522</v>
      </c>
      <c r="K470" s="72">
        <f>(I470+J470)*(1/Supuestos!$C$20)</f>
        <v>1500008</v>
      </c>
    </row>
    <row r="471" spans="3:11" x14ac:dyDescent="0.25">
      <c r="C471" s="5" t="str">
        <f>'Informacion del AEP'!$C$148</f>
        <v>Roaming internacional</v>
      </c>
      <c r="D471" s="70">
        <f>INDEX('Informacion del AEP'!$D$138:$AE$158,MATCH('Costos aguas abajo'!$C471,'Informacion del AEP'!$C$138:$C$158,0),MATCH('Costos aguas abajo'!$C$460,'Informacion del AEP'!$D$137:$AE$137,0))</f>
        <v>0</v>
      </c>
      <c r="F471" s="72">
        <f>D471*Supuestos!$C$35</f>
        <v>0</v>
      </c>
      <c r="G471" s="72">
        <f>D471*(1-Supuestos!$C$35)</f>
        <v>0</v>
      </c>
      <c r="I471" s="72">
        <f t="shared" si="27"/>
        <v>0</v>
      </c>
      <c r="J471" s="72">
        <f>G471*Supuestos!$C$20</f>
        <v>0</v>
      </c>
      <c r="K471" s="72">
        <f>(I471+J471)*(1/Supuestos!$C$20)</f>
        <v>0</v>
      </c>
    </row>
    <row r="472" spans="3:11" x14ac:dyDescent="0.25">
      <c r="C472" s="5" t="str">
        <f>'Informacion del AEP'!$C$149</f>
        <v>Provisiones</v>
      </c>
      <c r="D472" s="70">
        <f>INDEX('Informacion del AEP'!$D$138:$AE$158,MATCH('Costos aguas abajo'!$C472,'Informacion del AEP'!$C$138:$C$158,0),MATCH('Costos aguas abajo'!$C$460,'Informacion del AEP'!$D$137:$AE$137,0))</f>
        <v>16666668.6666667</v>
      </c>
      <c r="F472" s="72">
        <f>D472*Supuestos!$C$36</f>
        <v>0</v>
      </c>
      <c r="G472" s="72">
        <f>D472*(1-Supuestos!$C$36)</f>
        <v>16666668.6666667</v>
      </c>
      <c r="I472" s="72">
        <f t="shared" si="27"/>
        <v>0</v>
      </c>
      <c r="J472" s="72">
        <f>G472*Supuestos!$C$20</f>
        <v>1863390.2048566262</v>
      </c>
      <c r="K472" s="72">
        <f>(I472+J472)*(1/Supuestos!$C$20)</f>
        <v>16666668.666666701</v>
      </c>
    </row>
    <row r="473" spans="3:11" x14ac:dyDescent="0.25">
      <c r="C473" s="5" t="str">
        <f>'Informacion del AEP'!$C$150</f>
        <v>Costos directos de la venta de terminales</v>
      </c>
      <c r="D473" s="70">
        <f>INDEX('Informacion del AEP'!$D$138:$AE$158,MATCH('Costos aguas abajo'!$C473,'Informacion del AEP'!$C$138:$C$158,0),MATCH('Costos aguas abajo'!$C$460,'Informacion del AEP'!$D$137:$AE$137,0))</f>
        <v>1000000008</v>
      </c>
      <c r="F473" s="72">
        <f>D473*Supuestos!$C$37</f>
        <v>0</v>
      </c>
      <c r="G473" s="72">
        <f>D473*(1-Supuestos!$C$37)</f>
        <v>1000000008</v>
      </c>
      <c r="I473" s="72">
        <f t="shared" si="27"/>
        <v>0</v>
      </c>
      <c r="J473" s="72">
        <f>G473*Supuestos!$C$20</f>
        <v>111803399.76941667</v>
      </c>
      <c r="K473" s="72">
        <f>(I473+J473)*(1/Supuestos!$C$20)</f>
        <v>1000000008</v>
      </c>
    </row>
    <row r="474" spans="3:11" x14ac:dyDescent="0.25">
      <c r="C474" s="5" t="str">
        <f>'Informacion del AEP'!$C$151</f>
        <v>Servicios generales y de gestión - minoristas</v>
      </c>
      <c r="D474" s="70">
        <f>INDEX('Informacion del AEP'!$D$138:$AE$158,MATCH('Costos aguas abajo'!$C474,'Informacion del AEP'!$C$138:$C$158,0),MATCH('Costos aguas abajo'!$C$460,'Informacion del AEP'!$D$137:$AE$137,0))</f>
        <v>200000008</v>
      </c>
      <c r="F474" s="72">
        <f>D474*Supuestos!$C$38</f>
        <v>10000000.4</v>
      </c>
      <c r="G474" s="72">
        <f>D474*(1-Supuestos!$C$38)</f>
        <v>190000007.59999999</v>
      </c>
      <c r="I474" s="72">
        <f t="shared" si="27"/>
        <v>10000000.4</v>
      </c>
      <c r="J474" s="72">
        <f>G474*Supuestos!$C$20</f>
        <v>21242646.635953832</v>
      </c>
      <c r="K474" s="72">
        <f>(I474+J474)*(1/Supuestos!$C$20)</f>
        <v>279442730.27770036</v>
      </c>
    </row>
    <row r="475" spans="3:11" x14ac:dyDescent="0.25">
      <c r="C475" s="5" t="str">
        <f>'Informacion del AEP'!$C$152</f>
        <v>Servicios generales y de gestión - red</v>
      </c>
      <c r="D475" s="70">
        <f>INDEX('Informacion del AEP'!$D$138:$AE$158,MATCH('Costos aguas abajo'!$C475,'Informacion del AEP'!$C$138:$C$158,0),MATCH('Costos aguas abajo'!$C$460,'Informacion del AEP'!$D$137:$AE$137,0))</f>
        <v>0</v>
      </c>
      <c r="F475" s="72">
        <f>D475*Supuestos!$C$39</f>
        <v>0</v>
      </c>
      <c r="G475" s="72">
        <f>D475*(1-Supuestos!$C$30)</f>
        <v>0</v>
      </c>
      <c r="I475" s="72">
        <f t="shared" si="27"/>
        <v>0</v>
      </c>
      <c r="J475" s="72">
        <f>G475*Supuestos!$C$20</f>
        <v>0</v>
      </c>
      <c r="K475" s="72">
        <f>(I475+J475)*(1/Supuestos!$C$20)</f>
        <v>0</v>
      </c>
    </row>
    <row r="476" spans="3:11" x14ac:dyDescent="0.25">
      <c r="C476" s="5" t="str">
        <f>'Informacion del AEP'!$C$153</f>
        <v xml:space="preserve">Servicios generales y de gestión - negocio </v>
      </c>
      <c r="D476" s="70">
        <f>INDEX('Informacion del AEP'!$D$138:$AE$158,MATCH('Costos aguas abajo'!$C476,'Informacion del AEP'!$C$138:$C$158,0),MATCH('Costos aguas abajo'!$C$460,'Informacion del AEP'!$D$137:$AE$137,0))</f>
        <v>50000008</v>
      </c>
      <c r="F476" s="72">
        <f>D476*Supuestos!$C$40</f>
        <v>5000000.8</v>
      </c>
      <c r="G476" s="72">
        <f>D476*(1-Supuestos!$C$40)</f>
        <v>45000007.200000003</v>
      </c>
      <c r="I476" s="72">
        <f t="shared" si="27"/>
        <v>5000000.8</v>
      </c>
      <c r="J476" s="72">
        <f>G476*Supuestos!$C$20</f>
        <v>5031153.7543589985</v>
      </c>
      <c r="K476" s="72">
        <f>(I476+J476)*(1/Supuestos!$C$20)</f>
        <v>89721373.90541333</v>
      </c>
    </row>
    <row r="477" spans="3:11" ht="13" x14ac:dyDescent="0.3">
      <c r="C477" s="64" t="s">
        <v>109</v>
      </c>
      <c r="D477" s="218">
        <f>SUM(D478:D481)</f>
        <v>0</v>
      </c>
      <c r="F477" s="218">
        <f>SUM(F478:F481)</f>
        <v>0</v>
      </c>
      <c r="G477" s="218">
        <f>SUM(G478:G481)</f>
        <v>0</v>
      </c>
      <c r="I477" s="218">
        <f>SUM(I478:I481)</f>
        <v>0</v>
      </c>
      <c r="J477" s="218">
        <f>SUM(J478:J481)</f>
        <v>0</v>
      </c>
      <c r="K477" s="218">
        <f>SUM(K478:K481)</f>
        <v>0</v>
      </c>
    </row>
    <row r="478" spans="3:11" x14ac:dyDescent="0.25">
      <c r="C478" s="5" t="str">
        <f>'Informacion del AEP'!$C$154</f>
        <v>Costo del Capital:Servicios generales y de gestión - minoristas</v>
      </c>
      <c r="D478" s="70">
        <f>INDEX('Informacion del AEP'!$D$138:$AE$158,MATCH('Costos aguas abajo'!$C478,'Informacion del AEP'!$C$138:$C$158,0),MATCH('Costos aguas abajo'!$C$460,'Informacion del AEP'!$D$137:$AE$137,0))</f>
        <v>0</v>
      </c>
      <c r="F478" s="72">
        <f>D478*Supuestos!$C$41</f>
        <v>0</v>
      </c>
      <c r="G478" s="72">
        <f>D478*(1-Supuestos!$C$41)</f>
        <v>0</v>
      </c>
      <c r="I478" s="72">
        <f t="shared" ref="I478" si="28">+F478</f>
        <v>0</v>
      </c>
      <c r="J478" s="72">
        <f>G478*Supuestos!$C$20</f>
        <v>0</v>
      </c>
      <c r="K478" s="72">
        <f>(I478+J478)*(1/Supuestos!$C$20)</f>
        <v>0</v>
      </c>
    </row>
    <row r="479" spans="3:11" x14ac:dyDescent="0.25">
      <c r="C479" s="5" t="str">
        <f>'Informacion del AEP'!$C$155</f>
        <v>Costo del Capital:Servicios generales y de gestión - red</v>
      </c>
      <c r="D479" s="70">
        <f>INDEX('Informacion del AEP'!$D$138:$AE$158,MATCH('Costos aguas abajo'!$C479,'Informacion del AEP'!$C$138:$C$158,0),MATCH('Costos aguas abajo'!$C$460,'Informacion del AEP'!$D$137:$AE$137,0))</f>
        <v>0</v>
      </c>
      <c r="F479" s="72">
        <f>D479*Supuestos!$C$42</f>
        <v>0</v>
      </c>
      <c r="G479" s="72">
        <f>D479*(1-Supuestos!$C$42)</f>
        <v>0</v>
      </c>
      <c r="I479" s="72">
        <f>+F479</f>
        <v>0</v>
      </c>
      <c r="J479" s="72">
        <f>G479*Supuestos!$C$20</f>
        <v>0</v>
      </c>
      <c r="K479" s="72">
        <f>(I479+J479)*(1/Supuestos!$C$20)</f>
        <v>0</v>
      </c>
    </row>
    <row r="480" spans="3:11" x14ac:dyDescent="0.25">
      <c r="C480" s="5" t="str">
        <f>'Informacion del AEP'!$C$156</f>
        <v xml:space="preserve">Costo del Capital:Servicios generales y de gestión - negocio </v>
      </c>
      <c r="D480" s="70">
        <f>INDEX('Informacion del AEP'!$D$138:$AE$158,MATCH('Costos aguas abajo'!$C480,'Informacion del AEP'!$C$138:$C$158,0),MATCH('Costos aguas abajo'!$C$460,'Informacion del AEP'!$D$137:$AE$137,0))</f>
        <v>0</v>
      </c>
      <c r="F480" s="72">
        <f>D480*Supuestos!$C$43</f>
        <v>0</v>
      </c>
      <c r="G480" s="72">
        <f>D480*(1-Supuestos!$C$43)</f>
        <v>0</v>
      </c>
      <c r="I480" s="72">
        <f>+F480</f>
        <v>0</v>
      </c>
      <c r="J480" s="72">
        <f>G480*Supuestos!$C$20</f>
        <v>0</v>
      </c>
      <c r="K480" s="72">
        <f>(I480+J480)*(1/Supuestos!$C$20)</f>
        <v>0</v>
      </c>
    </row>
    <row r="481" spans="3:11" x14ac:dyDescent="0.25">
      <c r="C481" s="5" t="str">
        <f>'Informacion del AEP'!$C$157</f>
        <v>Costo del Capital:Equipos terminales</v>
      </c>
      <c r="D481" s="70">
        <f>INDEX('Informacion del AEP'!$D$138:$AE$158,MATCH('Costos aguas abajo'!$C481,'Informacion del AEP'!$C$138:$C$158,0),MATCH('Costos aguas abajo'!$C$460,'Informacion del AEP'!$D$137:$AE$137,0))</f>
        <v>0</v>
      </c>
      <c r="F481" s="72">
        <f>D481*Supuestos!$C$44</f>
        <v>0</v>
      </c>
      <c r="G481" s="72">
        <f>D481*(1-Supuestos!$C$44)</f>
        <v>0</v>
      </c>
      <c r="I481" s="72">
        <f>+F481</f>
        <v>0</v>
      </c>
      <c r="J481" s="72">
        <f>G481*Supuestos!$C$20</f>
        <v>0</v>
      </c>
      <c r="K481" s="72">
        <f>(I481+J481)*(1/Supuestos!$C$20)</f>
        <v>0</v>
      </c>
    </row>
    <row r="483" spans="3:11" ht="13" x14ac:dyDescent="0.3">
      <c r="C483" s="73" t="s">
        <v>42</v>
      </c>
      <c r="D483" s="38" t="str">
        <f>IF(D460='Informacion del AEP'!X158,"Ok","Error")</f>
        <v>Ok</v>
      </c>
      <c r="I483" s="38" t="str">
        <f>IF(I460=F460,"Ok","Error")</f>
        <v>Ok</v>
      </c>
    </row>
    <row r="485" spans="3:11" ht="13" x14ac:dyDescent="0.3">
      <c r="C485" s="74" t="str">
        <f>Supuestos!B89</f>
        <v>Telcel Pospago 8</v>
      </c>
      <c r="D485" s="75">
        <f>SUM(D486:D502)</f>
        <v>1627433420.3333335</v>
      </c>
      <c r="E485" s="76"/>
      <c r="F485" s="75">
        <f>SUM(F486:F502)</f>
        <v>45365003.600000001</v>
      </c>
      <c r="G485" s="75">
        <f>SUM(G486:G502)</f>
        <v>1582068416.7333333</v>
      </c>
      <c r="H485" s="76"/>
      <c r="I485" s="75">
        <f>SUM(I486:I502)</f>
        <v>45365003.600000001</v>
      </c>
      <c r="J485" s="75">
        <f>SUM(J486:J502)</f>
        <v>176880626.24355996</v>
      </c>
      <c r="K485" s="75">
        <f>SUM(K486:K502)</f>
        <v>1987825344.1298242</v>
      </c>
    </row>
    <row r="486" spans="3:11" x14ac:dyDescent="0.25">
      <c r="C486" s="5" t="str">
        <f>'Informacion del AEP'!$C$138</f>
        <v>Acceso a Internet</v>
      </c>
      <c r="D486" s="70">
        <f>INDEX('Informacion del AEP'!$D$138:$AE$158,MATCH('Costos aguas abajo'!$C486,'Informacion del AEP'!$C$138:$C$158,0),MATCH('Costos aguas abajo'!$C$485,'Informacion del AEP'!$D$137:$AE$137,0))</f>
        <v>0</v>
      </c>
      <c r="F486" s="72">
        <f>D486*Supuestos!$C$25</f>
        <v>0</v>
      </c>
      <c r="G486" s="72">
        <f>D486*(1-Supuestos!$C$25)</f>
        <v>0</v>
      </c>
      <c r="I486" s="72">
        <f>+F486</f>
        <v>0</v>
      </c>
      <c r="J486" s="72">
        <f>G486*Supuestos!$C$20</f>
        <v>0</v>
      </c>
      <c r="K486" s="72">
        <f>(I486+J486)*(1/Supuestos!$C$20)</f>
        <v>0</v>
      </c>
    </row>
    <row r="487" spans="3:11" x14ac:dyDescent="0.25">
      <c r="C487" s="5" t="str">
        <f>'Informacion del AEP'!$C$139</f>
        <v>Servicios OTT de vídeo</v>
      </c>
      <c r="D487" s="70">
        <f>INDEX('Informacion del AEP'!$D$138:$AE$158,MATCH('Costos aguas abajo'!$C487,'Informacion del AEP'!$C$138:$C$158,0),MATCH('Costos aguas abajo'!$C$485,'Informacion del AEP'!$D$137:$AE$137,0))</f>
        <v>26666669.666666701</v>
      </c>
      <c r="F487" s="72">
        <f>D487*Supuestos!$C$26</f>
        <v>0</v>
      </c>
      <c r="G487" s="72">
        <f>D487*(1-Supuestos!$C$26)</f>
        <v>26666669.666666701</v>
      </c>
      <c r="I487" s="72">
        <f>+F487</f>
        <v>0</v>
      </c>
      <c r="J487" s="72">
        <f>G487*Supuestos!$C$20</f>
        <v>2981424.3054099199</v>
      </c>
      <c r="K487" s="72">
        <f>(I487+J487)*(1/Supuestos!$C$20)</f>
        <v>26666669.666666701</v>
      </c>
    </row>
    <row r="488" spans="3:11" x14ac:dyDescent="0.25">
      <c r="C488" s="5" t="str">
        <f>'Informacion del AEP'!$C$140</f>
        <v>Servicios OTT de audio</v>
      </c>
      <c r="D488" s="70">
        <f>INDEX('Informacion del AEP'!$D$138:$AE$158,MATCH('Costos aguas abajo'!$C488,'Informacion del AEP'!$C$138:$C$158,0),MATCH('Costos aguas abajo'!$C$485,'Informacion del AEP'!$D$137:$AE$137,0))</f>
        <v>0</v>
      </c>
      <c r="F488" s="72">
        <f>D488*Supuestos!$C$27</f>
        <v>0</v>
      </c>
      <c r="G488" s="72">
        <f>D488*(1-Supuestos!$C$27)</f>
        <v>0</v>
      </c>
      <c r="I488" s="72">
        <f t="shared" ref="I488:I501" si="29">+F488</f>
        <v>0</v>
      </c>
      <c r="J488" s="72">
        <f>G488*Supuestos!$C$20</f>
        <v>0</v>
      </c>
      <c r="K488" s="72">
        <f>(I488+J488)*(1/Supuestos!$C$20)</f>
        <v>0</v>
      </c>
    </row>
    <row r="489" spans="3:11" x14ac:dyDescent="0.25">
      <c r="C489" s="5" t="str">
        <f>'Informacion del AEP'!$C$141</f>
        <v>Comerciales</v>
      </c>
      <c r="D489" s="70">
        <f>INDEX('Informacion del AEP'!$D$138:$AE$158,MATCH('Costos aguas abajo'!$C489,'Informacion del AEP'!$C$138:$C$158,0),MATCH('Costos aguas abajo'!$C$485,'Informacion del AEP'!$D$137:$AE$137,0))</f>
        <v>300000009</v>
      </c>
      <c r="F489" s="72">
        <f>D489*Supuestos!$C$28</f>
        <v>30000000.900000002</v>
      </c>
      <c r="G489" s="72">
        <f>D489*(1-Supuestos!$C$28)</f>
        <v>270000008.10000002</v>
      </c>
      <c r="I489" s="72">
        <f t="shared" si="29"/>
        <v>30000000.900000002</v>
      </c>
      <c r="J489" s="72">
        <f>G489*Supuestos!$C$20</f>
        <v>30186918.601854693</v>
      </c>
      <c r="K489" s="72">
        <f>(I489+J489)*(1/Supuestos!$C$20)</f>
        <v>538328173.44981956</v>
      </c>
    </row>
    <row r="490" spans="3:11" x14ac:dyDescent="0.25">
      <c r="C490" s="5" t="str">
        <f>'Informacion del AEP'!$C$142</f>
        <v>Facturación</v>
      </c>
      <c r="D490" s="70">
        <f>INDEX('Informacion del AEP'!$D$138:$AE$158,MATCH('Costos aguas abajo'!$C490,'Informacion del AEP'!$C$138:$C$158,0),MATCH('Costos aguas abajo'!$C$485,'Informacion del AEP'!$D$137:$AE$137,0))</f>
        <v>300009</v>
      </c>
      <c r="F490" s="72">
        <f>D490*Supuestos!$C$29</f>
        <v>15000.45</v>
      </c>
      <c r="G490" s="72">
        <f>D490*(1-Supuestos!$C$29)</f>
        <v>285008.55</v>
      </c>
      <c r="I490" s="72">
        <f t="shared" si="29"/>
        <v>15000.45</v>
      </c>
      <c r="J490" s="72">
        <f>G490*Supuestos!$C$20</f>
        <v>31864.924598432382</v>
      </c>
      <c r="K490" s="72">
        <f>(I490+J490)*(1/Supuestos!$C$20)</f>
        <v>419176.6535723469</v>
      </c>
    </row>
    <row r="491" spans="3:11" x14ac:dyDescent="0.25">
      <c r="C491" s="5" t="str">
        <f>'Informacion del AEP'!$C$143</f>
        <v>Cobranza</v>
      </c>
      <c r="D491" s="70">
        <f>INDEX('Informacion del AEP'!$D$138:$AE$158,MATCH('Costos aguas abajo'!$C491,'Informacion del AEP'!$C$138:$C$158,0),MATCH('Costos aguas abajo'!$C$485,'Informacion del AEP'!$D$137:$AE$137,0))</f>
        <v>11666669.6666667</v>
      </c>
      <c r="F491" s="72">
        <f>D491*Supuestos!$C$30</f>
        <v>0</v>
      </c>
      <c r="G491" s="72">
        <f>D491*(1-Supuestos!$C$30)</f>
        <v>11666669.6666667</v>
      </c>
      <c r="I491" s="72">
        <f t="shared" si="29"/>
        <v>0</v>
      </c>
      <c r="J491" s="72">
        <f>G491*Supuestos!$C$20</f>
        <v>1304373.3222850775</v>
      </c>
      <c r="K491" s="72">
        <f>(I491+J491)*(1/Supuestos!$C$20)</f>
        <v>11666669.6666667</v>
      </c>
    </row>
    <row r="492" spans="3:11" x14ac:dyDescent="0.25">
      <c r="C492" s="5" t="str">
        <f>'Informacion del AEP'!$C$144</f>
        <v>Tasas e impuestos</v>
      </c>
      <c r="D492" s="70">
        <f>INDEX('Informacion del AEP'!$D$138:$AE$158,MATCH('Costos aguas abajo'!$C492,'Informacion del AEP'!$C$138:$C$158,0),MATCH('Costos aguas abajo'!$C$485,'Informacion del AEP'!$D$137:$AE$137,0))</f>
        <v>3500009</v>
      </c>
      <c r="F492" s="72">
        <f>D492*Supuestos!$C$31</f>
        <v>350000.9</v>
      </c>
      <c r="G492" s="72">
        <f>D492*(1-Supuestos!$C$31)</f>
        <v>3150008.1</v>
      </c>
      <c r="I492" s="72">
        <f t="shared" si="29"/>
        <v>350000.9</v>
      </c>
      <c r="J492" s="72">
        <f>G492*Supuestos!$C$20</f>
        <v>352181.61206374777</v>
      </c>
      <c r="K492" s="72">
        <f>(I492+J492)*(1/Supuestos!$C$20)</f>
        <v>6280511.3183444245</v>
      </c>
    </row>
    <row r="493" spans="3:11" x14ac:dyDescent="0.25">
      <c r="C493" s="5" t="str">
        <f>'Informacion del AEP'!$C$145</f>
        <v>Programas de fidelización</v>
      </c>
      <c r="D493" s="70">
        <f>INDEX('Informacion del AEP'!$D$138:$AE$158,MATCH('Costos aguas abajo'!$C493,'Informacion del AEP'!$C$138:$C$158,0),MATCH('Costos aguas abajo'!$C$485,'Informacion del AEP'!$D$137:$AE$137,0))</f>
        <v>13333339.3333333</v>
      </c>
      <c r="F493" s="72">
        <f>D493*Supuestos!$C$32</f>
        <v>0</v>
      </c>
      <c r="G493" s="72">
        <f>D493*(1-Supuestos!$C$32)</f>
        <v>13333339.3333333</v>
      </c>
      <c r="I493" s="72">
        <f t="shared" si="29"/>
        <v>0</v>
      </c>
      <c r="J493" s="72">
        <f>G493*Supuestos!$C$20</f>
        <v>1490712.6558202493</v>
      </c>
      <c r="K493" s="72">
        <f>(I493+J493)*(1/Supuestos!$C$20)</f>
        <v>13333339.3333333</v>
      </c>
    </row>
    <row r="494" spans="3:11" x14ac:dyDescent="0.25">
      <c r="C494" s="5" t="str">
        <f>'Informacion del AEP'!$C$146</f>
        <v>Acceso internet internacional</v>
      </c>
      <c r="D494" s="70">
        <f>INDEX('Informacion del AEP'!$D$138:$AE$158,MATCH('Costos aguas abajo'!$C494,'Informacion del AEP'!$C$138:$C$158,0),MATCH('Costos aguas abajo'!$C$485,'Informacion del AEP'!$D$137:$AE$137,0))</f>
        <v>3800009</v>
      </c>
      <c r="F494" s="72">
        <f>D494*Supuestos!$C$33</f>
        <v>0</v>
      </c>
      <c r="G494" s="72">
        <f>D494*(1-Supuestos!$C$33)</f>
        <v>3800009</v>
      </c>
      <c r="I494" s="72">
        <f t="shared" si="29"/>
        <v>0</v>
      </c>
      <c r="J494" s="72">
        <f>G494*Supuestos!$C$20</f>
        <v>424853.92195554991</v>
      </c>
      <c r="K494" s="72">
        <f>(I494+J494)*(1/Supuestos!$C$20)</f>
        <v>3800009</v>
      </c>
    </row>
    <row r="495" spans="3:11" x14ac:dyDescent="0.25">
      <c r="C495" s="5" t="str">
        <f>'Informacion del AEP'!$C$147</f>
        <v>Roaming nacional</v>
      </c>
      <c r="D495" s="70">
        <f>INDEX('Informacion del AEP'!$D$138:$AE$158,MATCH('Costos aguas abajo'!$C495,'Informacion del AEP'!$C$138:$C$158,0),MATCH('Costos aguas abajo'!$C$485,'Informacion del AEP'!$D$137:$AE$137,0))</f>
        <v>1500009</v>
      </c>
      <c r="F495" s="72">
        <f>D495*Supuestos!$C$34</f>
        <v>0</v>
      </c>
      <c r="G495" s="72">
        <f>D495*(1-Supuestos!$C$34)</f>
        <v>1500009</v>
      </c>
      <c r="I495" s="72">
        <f t="shared" si="29"/>
        <v>0</v>
      </c>
      <c r="J495" s="72">
        <f>G495*Supuestos!$C$20</f>
        <v>167706.10454307409</v>
      </c>
      <c r="K495" s="72">
        <f>(I495+J495)*(1/Supuestos!$C$20)</f>
        <v>1500009</v>
      </c>
    </row>
    <row r="496" spans="3:11" x14ac:dyDescent="0.25">
      <c r="C496" s="5" t="str">
        <f>'Informacion del AEP'!$C$148</f>
        <v>Roaming internacional</v>
      </c>
      <c r="D496" s="70">
        <f>INDEX('Informacion del AEP'!$D$138:$AE$158,MATCH('Costos aguas abajo'!$C496,'Informacion del AEP'!$C$138:$C$158,0),MATCH('Costos aguas abajo'!$C$485,'Informacion del AEP'!$D$137:$AE$137,0))</f>
        <v>0</v>
      </c>
      <c r="F496" s="72">
        <f>D496*Supuestos!$C$35</f>
        <v>0</v>
      </c>
      <c r="G496" s="72">
        <f>D496*(1-Supuestos!$C$35)</f>
        <v>0</v>
      </c>
      <c r="I496" s="72">
        <f t="shared" si="29"/>
        <v>0</v>
      </c>
      <c r="J496" s="72">
        <f>G496*Supuestos!$C$20</f>
        <v>0</v>
      </c>
      <c r="K496" s="72">
        <f>(I496+J496)*(1/Supuestos!$C$20)</f>
        <v>0</v>
      </c>
    </row>
    <row r="497" spans="3:11" x14ac:dyDescent="0.25">
      <c r="C497" s="5" t="str">
        <f>'Informacion del AEP'!$C$149</f>
        <v>Provisiones</v>
      </c>
      <c r="D497" s="70">
        <f>INDEX('Informacion del AEP'!$D$138:$AE$158,MATCH('Costos aguas abajo'!$C497,'Informacion del AEP'!$C$138:$C$158,0),MATCH('Costos aguas abajo'!$C$485,'Informacion del AEP'!$D$137:$AE$137,0))</f>
        <v>16666669.6666667</v>
      </c>
      <c r="F497" s="72">
        <f>D497*Supuestos!$C$36</f>
        <v>0</v>
      </c>
      <c r="G497" s="72">
        <f>D497*(1-Supuestos!$C$36)</f>
        <v>16666669.6666667</v>
      </c>
      <c r="I497" s="72">
        <f t="shared" si="29"/>
        <v>0</v>
      </c>
      <c r="J497" s="72">
        <f>G497*Supuestos!$C$20</f>
        <v>1863390.3166600249</v>
      </c>
      <c r="K497" s="72">
        <f>(I497+J497)*(1/Supuestos!$C$20)</f>
        <v>16666669.6666667</v>
      </c>
    </row>
    <row r="498" spans="3:11" x14ac:dyDescent="0.25">
      <c r="C498" s="5" t="str">
        <f>'Informacion del AEP'!$C$150</f>
        <v>Costos directos de la venta de terminales</v>
      </c>
      <c r="D498" s="70">
        <f>INDEX('Informacion del AEP'!$D$138:$AE$158,MATCH('Costos aguas abajo'!$C498,'Informacion del AEP'!$C$138:$C$158,0),MATCH('Costos aguas abajo'!$C$485,'Informacion del AEP'!$D$137:$AE$137,0))</f>
        <v>1000000009</v>
      </c>
      <c r="F498" s="72">
        <f>D498*Supuestos!$C$37</f>
        <v>0</v>
      </c>
      <c r="G498" s="72">
        <f>D498*(1-Supuestos!$C$37)</f>
        <v>1000000009</v>
      </c>
      <c r="I498" s="72">
        <f t="shared" si="29"/>
        <v>0</v>
      </c>
      <c r="J498" s="72">
        <f>G498*Supuestos!$C$20</f>
        <v>111803399.88122007</v>
      </c>
      <c r="K498" s="72">
        <f>(I498+J498)*(1/Supuestos!$C$20)</f>
        <v>1000000009</v>
      </c>
    </row>
    <row r="499" spans="3:11" x14ac:dyDescent="0.25">
      <c r="C499" s="5" t="str">
        <f>'Informacion del AEP'!$C$151</f>
        <v>Servicios generales y de gestión - minoristas</v>
      </c>
      <c r="D499" s="70">
        <f>INDEX('Informacion del AEP'!$D$138:$AE$158,MATCH('Costos aguas abajo'!$C499,'Informacion del AEP'!$C$138:$C$158,0),MATCH('Costos aguas abajo'!$C$485,'Informacion del AEP'!$D$137:$AE$137,0))</f>
        <v>200000009</v>
      </c>
      <c r="F499" s="72">
        <f>D499*Supuestos!$C$38</f>
        <v>10000000.450000001</v>
      </c>
      <c r="G499" s="72">
        <f>D499*(1-Supuestos!$C$38)</f>
        <v>190000008.54999998</v>
      </c>
      <c r="I499" s="72">
        <f t="shared" si="29"/>
        <v>10000000.450000001</v>
      </c>
      <c r="J499" s="72">
        <f>G499*Supuestos!$C$20</f>
        <v>21242646.742167059</v>
      </c>
      <c r="K499" s="72">
        <f>(I499+J499)*(1/Supuestos!$C$20)</f>
        <v>279442731.67491394</v>
      </c>
    </row>
    <row r="500" spans="3:11" x14ac:dyDescent="0.25">
      <c r="C500" s="5" t="str">
        <f>'Informacion del AEP'!$C$152</f>
        <v>Servicios generales y de gestión - red</v>
      </c>
      <c r="D500" s="70">
        <f>INDEX('Informacion del AEP'!$D$138:$AE$158,MATCH('Costos aguas abajo'!$C500,'Informacion del AEP'!$C$138:$C$158,0),MATCH('Costos aguas abajo'!$C$485,'Informacion del AEP'!$D$137:$AE$137,0))</f>
        <v>0</v>
      </c>
      <c r="F500" s="72">
        <f>D500*Supuestos!$C$39</f>
        <v>0</v>
      </c>
      <c r="G500" s="72">
        <f>D500*(1-Supuestos!$C$30)</f>
        <v>0</v>
      </c>
      <c r="I500" s="72">
        <f t="shared" si="29"/>
        <v>0</v>
      </c>
      <c r="J500" s="72">
        <f>G500*Supuestos!$C$20</f>
        <v>0</v>
      </c>
      <c r="K500" s="72">
        <f>(I500+J500)*(1/Supuestos!$C$20)</f>
        <v>0</v>
      </c>
    </row>
    <row r="501" spans="3:11" x14ac:dyDescent="0.25">
      <c r="C501" s="5" t="str">
        <f>'Informacion del AEP'!$C$153</f>
        <v xml:space="preserve">Servicios generales y de gestión - negocio </v>
      </c>
      <c r="D501" s="70">
        <f>INDEX('Informacion del AEP'!$D$138:$AE$158,MATCH('Costos aguas abajo'!$C501,'Informacion del AEP'!$C$138:$C$158,0),MATCH('Costos aguas abajo'!$C$485,'Informacion del AEP'!$D$137:$AE$137,0))</f>
        <v>50000009</v>
      </c>
      <c r="F501" s="72">
        <f>D501*Supuestos!$C$40</f>
        <v>5000000.9000000004</v>
      </c>
      <c r="G501" s="72">
        <f>D501*(1-Supuestos!$C$40)</f>
        <v>45000008.100000001</v>
      </c>
      <c r="I501" s="72">
        <f t="shared" si="29"/>
        <v>5000000.9000000004</v>
      </c>
      <c r="J501" s="72">
        <f>G501*Supuestos!$C$20</f>
        <v>5031153.8549820576</v>
      </c>
      <c r="K501" s="72">
        <f>(I501+J501)*(1/Supuestos!$C$20)</f>
        <v>89721375.699840516</v>
      </c>
    </row>
    <row r="502" spans="3:11" ht="13" x14ac:dyDescent="0.3">
      <c r="C502" s="64" t="s">
        <v>109</v>
      </c>
      <c r="D502" s="218">
        <f>SUM(D503:D506)</f>
        <v>0</v>
      </c>
      <c r="F502" s="218">
        <f>SUM(F503:F506)</f>
        <v>0</v>
      </c>
      <c r="G502" s="218">
        <f>SUM(G503:G506)</f>
        <v>0</v>
      </c>
      <c r="I502" s="218">
        <f>SUM(I503:I506)</f>
        <v>0</v>
      </c>
      <c r="J502" s="218">
        <f>SUM(J503:J506)</f>
        <v>0</v>
      </c>
      <c r="K502" s="218">
        <f>SUM(K503:K506)</f>
        <v>0</v>
      </c>
    </row>
    <row r="503" spans="3:11" x14ac:dyDescent="0.25">
      <c r="C503" s="5" t="str">
        <f>'Informacion del AEP'!$C$154</f>
        <v>Costo del Capital:Servicios generales y de gestión - minoristas</v>
      </c>
      <c r="D503" s="70">
        <f>INDEX('Informacion del AEP'!$D$138:$AE$158,MATCH('Costos aguas abajo'!$C503,'Informacion del AEP'!$C$138:$C$158,0),MATCH('Costos aguas abajo'!$C$485,'Informacion del AEP'!$D$137:$AE$137,0))</f>
        <v>0</v>
      </c>
      <c r="F503" s="72">
        <f>D503*Supuestos!$C$41</f>
        <v>0</v>
      </c>
      <c r="G503" s="72">
        <f>D503*(1-Supuestos!$C$41)</f>
        <v>0</v>
      </c>
      <c r="I503" s="72">
        <f t="shared" ref="I503" si="30">+F503</f>
        <v>0</v>
      </c>
      <c r="J503" s="72">
        <f>G503*Supuestos!$C$20</f>
        <v>0</v>
      </c>
      <c r="K503" s="72">
        <f>(I503+J503)*(1/Supuestos!$C$20)</f>
        <v>0</v>
      </c>
    </row>
    <row r="504" spans="3:11" x14ac:dyDescent="0.25">
      <c r="C504" s="5" t="str">
        <f>'Informacion del AEP'!$C$155</f>
        <v>Costo del Capital:Servicios generales y de gestión - red</v>
      </c>
      <c r="D504" s="70">
        <f>INDEX('Informacion del AEP'!$D$138:$AE$158,MATCH('Costos aguas abajo'!$C504,'Informacion del AEP'!$C$138:$C$158,0),MATCH('Costos aguas abajo'!$C$485,'Informacion del AEP'!$D$137:$AE$137,0))</f>
        <v>0</v>
      </c>
      <c r="F504" s="72">
        <f>D504*Supuestos!$C$42</f>
        <v>0</v>
      </c>
      <c r="G504" s="72">
        <f>D504*(1-Supuestos!$C$42)</f>
        <v>0</v>
      </c>
      <c r="I504" s="72">
        <f>+F504</f>
        <v>0</v>
      </c>
      <c r="J504" s="72">
        <f>G504*Supuestos!$C$20</f>
        <v>0</v>
      </c>
      <c r="K504" s="72">
        <f>(I504+J504)*(1/Supuestos!$C$20)</f>
        <v>0</v>
      </c>
    </row>
    <row r="505" spans="3:11" x14ac:dyDescent="0.25">
      <c r="C505" s="5" t="str">
        <f>'Informacion del AEP'!$C$156</f>
        <v xml:space="preserve">Costo del Capital:Servicios generales y de gestión - negocio </v>
      </c>
      <c r="D505" s="70">
        <f>INDEX('Informacion del AEP'!$D$138:$AE$158,MATCH('Costos aguas abajo'!$C505,'Informacion del AEP'!$C$138:$C$158,0),MATCH('Costos aguas abajo'!$C$485,'Informacion del AEP'!$D$137:$AE$137,0))</f>
        <v>0</v>
      </c>
      <c r="F505" s="72">
        <f>D505*Supuestos!$C$43</f>
        <v>0</v>
      </c>
      <c r="G505" s="72">
        <f>D505*(1-Supuestos!$C$43)</f>
        <v>0</v>
      </c>
      <c r="I505" s="72">
        <f>+F505</f>
        <v>0</v>
      </c>
      <c r="J505" s="72">
        <f>G505*Supuestos!$C$20</f>
        <v>0</v>
      </c>
      <c r="K505" s="72">
        <f>(I505+J505)*(1/Supuestos!$C$20)</f>
        <v>0</v>
      </c>
    </row>
    <row r="506" spans="3:11" x14ac:dyDescent="0.25">
      <c r="C506" s="5" t="str">
        <f>'Informacion del AEP'!$C$157</f>
        <v>Costo del Capital:Equipos terminales</v>
      </c>
      <c r="D506" s="70">
        <f>INDEX('Informacion del AEP'!$D$138:$AE$158,MATCH('Costos aguas abajo'!$C506,'Informacion del AEP'!$C$138:$C$158,0),MATCH('Costos aguas abajo'!$C$485,'Informacion del AEP'!$D$137:$AE$137,0))</f>
        <v>0</v>
      </c>
      <c r="F506" s="72">
        <f>D506*Supuestos!$C$44</f>
        <v>0</v>
      </c>
      <c r="G506" s="72">
        <f>D506*(1-Supuestos!$C$44)</f>
        <v>0</v>
      </c>
      <c r="I506" s="72">
        <f>+F506</f>
        <v>0</v>
      </c>
      <c r="J506" s="72">
        <f>G506*Supuestos!$C$20</f>
        <v>0</v>
      </c>
      <c r="K506" s="72">
        <f>(I506+J506)*(1/Supuestos!$C$20)</f>
        <v>0</v>
      </c>
    </row>
    <row r="508" spans="3:11" ht="13" x14ac:dyDescent="0.3">
      <c r="C508" s="73" t="s">
        <v>42</v>
      </c>
      <c r="D508" s="38" t="str">
        <f>IF(D485='Informacion del AEP'!Y158,"Ok","Error")</f>
        <v>Ok</v>
      </c>
      <c r="I508" s="38" t="str">
        <f>IF(I485=F485,"Ok","Error")</f>
        <v>Ok</v>
      </c>
    </row>
    <row r="510" spans="3:11" ht="13" x14ac:dyDescent="0.3">
      <c r="C510" s="74" t="str">
        <f>Supuestos!B90</f>
        <v>Telcel Pospago 19</v>
      </c>
      <c r="D510" s="75">
        <f>SUM(D511:D527)</f>
        <v>1627433312.3333335</v>
      </c>
      <c r="E510" s="76"/>
      <c r="F510" s="75">
        <f>SUM(F511:F527)</f>
        <v>45365000</v>
      </c>
      <c r="G510" s="75">
        <f>SUM(G511:G527)</f>
        <v>1582068312.3333335</v>
      </c>
      <c r="H510" s="76"/>
      <c r="I510" s="75">
        <f>SUM(I511:I527)</f>
        <v>45365000</v>
      </c>
      <c r="J510" s="75">
        <f>SUM(J511:J527)</f>
        <v>176880614.57128513</v>
      </c>
      <c r="K510" s="75">
        <f>SUM(K511:K527)</f>
        <v>1987825207.5304453</v>
      </c>
    </row>
    <row r="511" spans="3:11" x14ac:dyDescent="0.25">
      <c r="C511" s="5" t="str">
        <f>'Informacion del AEP'!$C$138</f>
        <v>Acceso a Internet</v>
      </c>
      <c r="D511" s="70">
        <f>INDEX('Informacion del AEP'!$D$138:$AE$158,MATCH('Costos aguas abajo'!$C511,'Informacion del AEP'!$C$138:$C$158,0),MATCH('Costos aguas abajo'!$C$510,'Informacion del AEP'!$D$137:$AE$137,0))</f>
        <v>0</v>
      </c>
      <c r="F511" s="72">
        <f>D511*Supuestos!$C$25</f>
        <v>0</v>
      </c>
      <c r="G511" s="72">
        <f>D511*(1-Supuestos!$C$25)</f>
        <v>0</v>
      </c>
      <c r="I511" s="72">
        <f>+F511</f>
        <v>0</v>
      </c>
      <c r="J511" s="72">
        <f>G511*Supuestos!$C$20</f>
        <v>0</v>
      </c>
      <c r="K511" s="72">
        <f>(I511+J511)*(1/Supuestos!$C$20)</f>
        <v>0</v>
      </c>
    </row>
    <row r="512" spans="3:11" x14ac:dyDescent="0.25">
      <c r="C512" s="5" t="str">
        <f>'Informacion del AEP'!$C$139</f>
        <v>Servicios OTT de vídeo</v>
      </c>
      <c r="D512" s="70">
        <f>INDEX('Informacion del AEP'!$D$138:$AE$158,MATCH('Costos aguas abajo'!$C512,'Informacion del AEP'!$C$138:$C$158,0),MATCH('Costos aguas abajo'!$C$510,'Informacion del AEP'!$D$137:$AE$137,0))</f>
        <v>26666660.666666701</v>
      </c>
      <c r="F512" s="72">
        <f>D512*Supuestos!$C$26</f>
        <v>0</v>
      </c>
      <c r="G512" s="72">
        <f>D512*(1-Supuestos!$C$26)</f>
        <v>26666660.666666701</v>
      </c>
      <c r="I512" s="72">
        <f>+F512</f>
        <v>0</v>
      </c>
      <c r="J512" s="72">
        <f>G512*Supuestos!$C$20</f>
        <v>2981423.29917933</v>
      </c>
      <c r="K512" s="72">
        <f>(I512+J512)*(1/Supuestos!$C$20)</f>
        <v>26666660.666666701</v>
      </c>
    </row>
    <row r="513" spans="3:11" x14ac:dyDescent="0.25">
      <c r="C513" s="5" t="str">
        <f>'Informacion del AEP'!$C$140</f>
        <v>Servicios OTT de audio</v>
      </c>
      <c r="D513" s="70">
        <f>INDEX('Informacion del AEP'!$D$138:$AE$158,MATCH('Costos aguas abajo'!$C513,'Informacion del AEP'!$C$138:$C$158,0),MATCH('Costos aguas abajo'!$C$510,'Informacion del AEP'!$D$137:$AE$137,0))</f>
        <v>0</v>
      </c>
      <c r="F513" s="72">
        <f>D513*Supuestos!$C$27</f>
        <v>0</v>
      </c>
      <c r="G513" s="72">
        <f>D513*(1-Supuestos!$C$27)</f>
        <v>0</v>
      </c>
      <c r="I513" s="72">
        <f t="shared" ref="I513:I526" si="31">+F513</f>
        <v>0</v>
      </c>
      <c r="J513" s="72">
        <f>G513*Supuestos!$C$20</f>
        <v>0</v>
      </c>
      <c r="K513" s="72">
        <f>(I513+J513)*(1/Supuestos!$C$20)</f>
        <v>0</v>
      </c>
    </row>
    <row r="514" spans="3:11" x14ac:dyDescent="0.25">
      <c r="C514" s="5" t="str">
        <f>'Informacion del AEP'!$C$141</f>
        <v>Comerciales</v>
      </c>
      <c r="D514" s="70">
        <f>INDEX('Informacion del AEP'!$D$138:$AE$158,MATCH('Costos aguas abajo'!$C514,'Informacion del AEP'!$C$138:$C$158,0),MATCH('Costos aguas abajo'!$C$510,'Informacion del AEP'!$D$137:$AE$137,0))</f>
        <v>300000000</v>
      </c>
      <c r="F514" s="72">
        <f>D514*Supuestos!$C$28</f>
        <v>30000000</v>
      </c>
      <c r="G514" s="72">
        <f>D514*(1-Supuestos!$C$28)</f>
        <v>270000000</v>
      </c>
      <c r="I514" s="72">
        <f t="shared" si="31"/>
        <v>30000000</v>
      </c>
      <c r="J514" s="72">
        <f>G514*Supuestos!$C$20</f>
        <v>30186917.69624716</v>
      </c>
      <c r="K514" s="72">
        <f>(I514+J514)*(1/Supuestos!$C$20)</f>
        <v>538328157.2999748</v>
      </c>
    </row>
    <row r="515" spans="3:11" x14ac:dyDescent="0.25">
      <c r="C515" s="5" t="str">
        <f>'Informacion del AEP'!$C$142</f>
        <v>Facturación</v>
      </c>
      <c r="D515" s="70">
        <f>INDEX('Informacion del AEP'!$D$138:$AE$158,MATCH('Costos aguas abajo'!$C515,'Informacion del AEP'!$C$138:$C$158,0),MATCH('Costos aguas abajo'!$C$510,'Informacion del AEP'!$D$137:$AE$137,0))</f>
        <v>300000</v>
      </c>
      <c r="F515" s="72">
        <f>D515*Supuestos!$C$29</f>
        <v>15000</v>
      </c>
      <c r="G515" s="72">
        <f>D515*(1-Supuestos!$C$29)</f>
        <v>285000</v>
      </c>
      <c r="I515" s="72">
        <f t="shared" si="31"/>
        <v>15000</v>
      </c>
      <c r="J515" s="72">
        <f>G515*Supuestos!$C$20</f>
        <v>31863.968679372003</v>
      </c>
      <c r="K515" s="72">
        <f>(I515+J515)*(1/Supuestos!$C$20)</f>
        <v>419164.07864998741</v>
      </c>
    </row>
    <row r="516" spans="3:11" x14ac:dyDescent="0.25">
      <c r="C516" s="5" t="str">
        <f>'Informacion del AEP'!$C$143</f>
        <v>Cobranza</v>
      </c>
      <c r="D516" s="70">
        <f>INDEX('Informacion del AEP'!$D$138:$AE$158,MATCH('Costos aguas abajo'!$C516,'Informacion del AEP'!$C$138:$C$158,0),MATCH('Costos aguas abajo'!$C$510,'Informacion del AEP'!$D$137:$AE$137,0))</f>
        <v>11666660.6666667</v>
      </c>
      <c r="F516" s="72">
        <f>D516*Supuestos!$C$30</f>
        <v>0</v>
      </c>
      <c r="G516" s="72">
        <f>D516*(1-Supuestos!$C$30)</f>
        <v>11666660.6666667</v>
      </c>
      <c r="I516" s="72">
        <f t="shared" si="31"/>
        <v>0</v>
      </c>
      <c r="J516" s="72">
        <f>G516*Supuestos!$C$20</f>
        <v>1304372.3160544878</v>
      </c>
      <c r="K516" s="72">
        <f>(I516+J516)*(1/Supuestos!$C$20)</f>
        <v>11666660.666666701</v>
      </c>
    </row>
    <row r="517" spans="3:11" x14ac:dyDescent="0.25">
      <c r="C517" s="5" t="str">
        <f>'Informacion del AEP'!$C$144</f>
        <v>Tasas e impuestos</v>
      </c>
      <c r="D517" s="70">
        <f>INDEX('Informacion del AEP'!$D$138:$AE$158,MATCH('Costos aguas abajo'!$C517,'Informacion del AEP'!$C$138:$C$158,0),MATCH('Costos aguas abajo'!$C$510,'Informacion del AEP'!$D$137:$AE$137,0))</f>
        <v>3500000</v>
      </c>
      <c r="F517" s="72">
        <f>D517*Supuestos!$C$31</f>
        <v>350000</v>
      </c>
      <c r="G517" s="72">
        <f>D517*(1-Supuestos!$C$31)</f>
        <v>3150000</v>
      </c>
      <c r="I517" s="72">
        <f t="shared" si="31"/>
        <v>350000</v>
      </c>
      <c r="J517" s="72">
        <f>G517*Supuestos!$C$20</f>
        <v>352180.70645621687</v>
      </c>
      <c r="K517" s="72">
        <f>(I517+J517)*(1/Supuestos!$C$20)</f>
        <v>6280495.1684997054</v>
      </c>
    </row>
    <row r="518" spans="3:11" x14ac:dyDescent="0.25">
      <c r="C518" s="5" t="str">
        <f>'Informacion del AEP'!$C$145</f>
        <v>Programas de fidelización</v>
      </c>
      <c r="D518" s="70">
        <f>INDEX('Informacion del AEP'!$D$138:$AE$158,MATCH('Costos aguas abajo'!$C518,'Informacion del AEP'!$C$138:$C$158,0),MATCH('Costos aguas abajo'!$C$510,'Informacion del AEP'!$D$137:$AE$137,0))</f>
        <v>13333330.3333333</v>
      </c>
      <c r="F518" s="72">
        <f>D518*Supuestos!$C$32</f>
        <v>0</v>
      </c>
      <c r="G518" s="72">
        <f>D518*(1-Supuestos!$C$32)</f>
        <v>13333330.3333333</v>
      </c>
      <c r="I518" s="72">
        <f t="shared" si="31"/>
        <v>0</v>
      </c>
      <c r="J518" s="72">
        <f>G518*Supuestos!$C$20</f>
        <v>1490711.6495896594</v>
      </c>
      <c r="K518" s="72">
        <f>(I518+J518)*(1/Supuestos!$C$20)</f>
        <v>13333330.3333333</v>
      </c>
    </row>
    <row r="519" spans="3:11" x14ac:dyDescent="0.25">
      <c r="C519" s="5" t="str">
        <f>'Informacion del AEP'!$C$146</f>
        <v>Acceso internet internacional</v>
      </c>
      <c r="D519" s="70">
        <f>INDEX('Informacion del AEP'!$D$138:$AE$158,MATCH('Costos aguas abajo'!$C519,'Informacion del AEP'!$C$138:$C$158,0),MATCH('Costos aguas abajo'!$C$510,'Informacion del AEP'!$D$137:$AE$137,0))</f>
        <v>3800000</v>
      </c>
      <c r="F519" s="72">
        <f>D519*Supuestos!$C$33</f>
        <v>0</v>
      </c>
      <c r="G519" s="72">
        <f>D519*(1-Supuestos!$C$33)</f>
        <v>3800000</v>
      </c>
      <c r="I519" s="72">
        <f t="shared" si="31"/>
        <v>0</v>
      </c>
      <c r="J519" s="72">
        <f>G519*Supuestos!$C$20</f>
        <v>424852.91572496004</v>
      </c>
      <c r="K519" s="72">
        <f>(I519+J519)*(1/Supuestos!$C$20)</f>
        <v>3800000</v>
      </c>
    </row>
    <row r="520" spans="3:11" x14ac:dyDescent="0.25">
      <c r="C520" s="5" t="str">
        <f>'Informacion del AEP'!$C$147</f>
        <v>Roaming nacional</v>
      </c>
      <c r="D520" s="70">
        <f>INDEX('Informacion del AEP'!$D$138:$AE$158,MATCH('Costos aguas abajo'!$C520,'Informacion del AEP'!$C$138:$C$158,0),MATCH('Costos aguas abajo'!$C$510,'Informacion del AEP'!$D$137:$AE$137,0))</f>
        <v>1500000</v>
      </c>
      <c r="F520" s="72">
        <f>D520*Supuestos!$C$34</f>
        <v>0</v>
      </c>
      <c r="G520" s="72">
        <f>D520*(1-Supuestos!$C$34)</f>
        <v>1500000</v>
      </c>
      <c r="I520" s="72">
        <f t="shared" si="31"/>
        <v>0</v>
      </c>
      <c r="J520" s="72">
        <f>G520*Supuestos!$C$20</f>
        <v>167705.09831248422</v>
      </c>
      <c r="K520" s="72">
        <f>(I520+J520)*(1/Supuestos!$C$20)</f>
        <v>1500000</v>
      </c>
    </row>
    <row r="521" spans="3:11" x14ac:dyDescent="0.25">
      <c r="C521" s="5" t="str">
        <f>'Informacion del AEP'!$C$148</f>
        <v>Roaming internacional</v>
      </c>
      <c r="D521" s="70">
        <f>INDEX('Informacion del AEP'!$D$138:$AE$158,MATCH('Costos aguas abajo'!$C521,'Informacion del AEP'!$C$138:$C$158,0),MATCH('Costos aguas abajo'!$C$510,'Informacion del AEP'!$D$137:$AE$137,0))</f>
        <v>0</v>
      </c>
      <c r="F521" s="72">
        <f>D521*Supuestos!$C$35</f>
        <v>0</v>
      </c>
      <c r="G521" s="72">
        <f>D521*(1-Supuestos!$C$35)</f>
        <v>0</v>
      </c>
      <c r="I521" s="72">
        <f t="shared" si="31"/>
        <v>0</v>
      </c>
      <c r="J521" s="72">
        <f>G521*Supuestos!$C$20</f>
        <v>0</v>
      </c>
      <c r="K521" s="72">
        <f>(I521+J521)*(1/Supuestos!$C$20)</f>
        <v>0</v>
      </c>
    </row>
    <row r="522" spans="3:11" x14ac:dyDescent="0.25">
      <c r="C522" s="5" t="str">
        <f>'Informacion del AEP'!$C$149</f>
        <v>Provisiones</v>
      </c>
      <c r="D522" s="70">
        <f>INDEX('Informacion del AEP'!$D$138:$AE$158,MATCH('Costos aguas abajo'!$C522,'Informacion del AEP'!$C$138:$C$158,0),MATCH('Costos aguas abajo'!$C$510,'Informacion del AEP'!$D$137:$AE$137,0))</f>
        <v>16666660.6666667</v>
      </c>
      <c r="F522" s="72">
        <f>D522*Supuestos!$C$36</f>
        <v>0</v>
      </c>
      <c r="G522" s="72">
        <f>D522*(1-Supuestos!$C$36)</f>
        <v>16666660.6666667</v>
      </c>
      <c r="I522" s="72">
        <f t="shared" si="31"/>
        <v>0</v>
      </c>
      <c r="J522" s="72">
        <f>G522*Supuestos!$C$20</f>
        <v>1863389.3104294352</v>
      </c>
      <c r="K522" s="72">
        <f>(I522+J522)*(1/Supuestos!$C$20)</f>
        <v>16666660.666666701</v>
      </c>
    </row>
    <row r="523" spans="3:11" x14ac:dyDescent="0.25">
      <c r="C523" s="5" t="str">
        <f>'Informacion del AEP'!$C$150</f>
        <v>Costos directos de la venta de terminales</v>
      </c>
      <c r="D523" s="70">
        <f>INDEX('Informacion del AEP'!$D$138:$AE$158,MATCH('Costos aguas abajo'!$C523,'Informacion del AEP'!$C$138:$C$158,0),MATCH('Costos aguas abajo'!$C$510,'Informacion del AEP'!$D$137:$AE$137,0))</f>
        <v>1000000000</v>
      </c>
      <c r="F523" s="72">
        <f>D523*Supuestos!$C$37</f>
        <v>0</v>
      </c>
      <c r="G523" s="72">
        <f>D523*(1-Supuestos!$C$37)</f>
        <v>1000000000</v>
      </c>
      <c r="I523" s="72">
        <f t="shared" si="31"/>
        <v>0</v>
      </c>
      <c r="J523" s="72">
        <f>G523*Supuestos!$C$20</f>
        <v>111803398.87498948</v>
      </c>
      <c r="K523" s="72">
        <f>(I523+J523)*(1/Supuestos!$C$20)</f>
        <v>1000000000</v>
      </c>
    </row>
    <row r="524" spans="3:11" x14ac:dyDescent="0.25">
      <c r="C524" s="5" t="str">
        <f>'Informacion del AEP'!$C$151</f>
        <v>Servicios generales y de gestión - minoristas</v>
      </c>
      <c r="D524" s="70">
        <f>INDEX('Informacion del AEP'!$D$138:$AE$158,MATCH('Costos aguas abajo'!$C524,'Informacion del AEP'!$C$138:$C$158,0),MATCH('Costos aguas abajo'!$C$510,'Informacion del AEP'!$D$137:$AE$137,0))</f>
        <v>200000000</v>
      </c>
      <c r="F524" s="72">
        <f>D524*Supuestos!$C$38</f>
        <v>10000000</v>
      </c>
      <c r="G524" s="72">
        <f>D524*(1-Supuestos!$C$38)</f>
        <v>190000000</v>
      </c>
      <c r="I524" s="72">
        <f t="shared" si="31"/>
        <v>10000000</v>
      </c>
      <c r="J524" s="72">
        <f>G524*Supuestos!$C$20</f>
        <v>21242645.786248002</v>
      </c>
      <c r="K524" s="72">
        <f>(I524+J524)*(1/Supuestos!$C$20)</f>
        <v>279442719.09999162</v>
      </c>
    </row>
    <row r="525" spans="3:11" x14ac:dyDescent="0.25">
      <c r="C525" s="5" t="str">
        <f>'Informacion del AEP'!$C$152</f>
        <v>Servicios generales y de gestión - red</v>
      </c>
      <c r="D525" s="70">
        <f>INDEX('Informacion del AEP'!$D$138:$AE$158,MATCH('Costos aguas abajo'!$C525,'Informacion del AEP'!$C$138:$C$158,0),MATCH('Costos aguas abajo'!$C$510,'Informacion del AEP'!$D$137:$AE$137,0))</f>
        <v>0</v>
      </c>
      <c r="F525" s="72">
        <f>D525*Supuestos!$C$39</f>
        <v>0</v>
      </c>
      <c r="G525" s="72">
        <f>D525*(1-Supuestos!$C$30)</f>
        <v>0</v>
      </c>
      <c r="I525" s="72">
        <f t="shared" si="31"/>
        <v>0</v>
      </c>
      <c r="J525" s="72">
        <f>G525*Supuestos!$C$20</f>
        <v>0</v>
      </c>
      <c r="K525" s="72">
        <f>(I525+J525)*(1/Supuestos!$C$20)</f>
        <v>0</v>
      </c>
    </row>
    <row r="526" spans="3:11" x14ac:dyDescent="0.25">
      <c r="C526" s="5" t="str">
        <f>'Informacion del AEP'!$C$153</f>
        <v xml:space="preserve">Servicios generales y de gestión - negocio </v>
      </c>
      <c r="D526" s="70">
        <f>INDEX('Informacion del AEP'!$D$138:$AE$158,MATCH('Costos aguas abajo'!$C526,'Informacion del AEP'!$C$138:$C$158,0),MATCH('Costos aguas abajo'!$C$510,'Informacion del AEP'!$D$137:$AE$137,0))</f>
        <v>50000000</v>
      </c>
      <c r="F526" s="72">
        <f>D526*Supuestos!$C$40</f>
        <v>5000000</v>
      </c>
      <c r="G526" s="72">
        <f>D526*(1-Supuestos!$C$40)</f>
        <v>45000000</v>
      </c>
      <c r="I526" s="72">
        <f t="shared" si="31"/>
        <v>5000000</v>
      </c>
      <c r="J526" s="72">
        <f>G526*Supuestos!$C$20</f>
        <v>5031152.9493745267</v>
      </c>
      <c r="K526" s="72">
        <f>(I526+J526)*(1/Supuestos!$C$20)</f>
        <v>89721359.549995795</v>
      </c>
    </row>
    <row r="527" spans="3:11" ht="13" x14ac:dyDescent="0.3">
      <c r="C527" s="64" t="s">
        <v>109</v>
      </c>
      <c r="D527" s="218">
        <f>SUM(D528:D531)</f>
        <v>0</v>
      </c>
      <c r="F527" s="218">
        <f>SUM(F528:F531)</f>
        <v>0</v>
      </c>
      <c r="G527" s="218">
        <f>SUM(G528:G531)</f>
        <v>0</v>
      </c>
      <c r="I527" s="218">
        <f>SUM(I528:I531)</f>
        <v>0</v>
      </c>
      <c r="J527" s="218">
        <f>SUM(J528:J531)</f>
        <v>0</v>
      </c>
      <c r="K527" s="218">
        <f>SUM(K528:K531)</f>
        <v>0</v>
      </c>
    </row>
    <row r="528" spans="3:11" x14ac:dyDescent="0.25">
      <c r="C528" s="5" t="str">
        <f>'Informacion del AEP'!$C$154</f>
        <v>Costo del Capital:Servicios generales y de gestión - minoristas</v>
      </c>
      <c r="D528" s="70">
        <f>INDEX('Informacion del AEP'!$D$138:$AE$158,MATCH('Costos aguas abajo'!$C528,'Informacion del AEP'!$C$138:$C$158,0),MATCH('Costos aguas abajo'!$C$510,'Informacion del AEP'!$D$137:$AE$137,0))</f>
        <v>0</v>
      </c>
      <c r="F528" s="72">
        <f>D528*Supuestos!$C$41</f>
        <v>0</v>
      </c>
      <c r="G528" s="72">
        <f>D528*(1-Supuestos!$C$41)</f>
        <v>0</v>
      </c>
      <c r="I528" s="72">
        <f t="shared" ref="I528" si="32">+F528</f>
        <v>0</v>
      </c>
      <c r="J528" s="72">
        <f>G528*Supuestos!$C$20</f>
        <v>0</v>
      </c>
      <c r="K528" s="72">
        <f>(I528+J528)*(1/Supuestos!$C$20)</f>
        <v>0</v>
      </c>
    </row>
    <row r="529" spans="3:11" x14ac:dyDescent="0.25">
      <c r="C529" s="5" t="str">
        <f>'Informacion del AEP'!$C$155</f>
        <v>Costo del Capital:Servicios generales y de gestión - red</v>
      </c>
      <c r="D529" s="70">
        <f>INDEX('Informacion del AEP'!$D$138:$AE$158,MATCH('Costos aguas abajo'!$C529,'Informacion del AEP'!$C$138:$C$158,0),MATCH('Costos aguas abajo'!$C$510,'Informacion del AEP'!$D$137:$AE$137,0))</f>
        <v>0</v>
      </c>
      <c r="F529" s="72">
        <f>D529*Supuestos!$C$42</f>
        <v>0</v>
      </c>
      <c r="G529" s="72">
        <f>D529*(1-Supuestos!$C$42)</f>
        <v>0</v>
      </c>
      <c r="I529" s="72">
        <f>+F529</f>
        <v>0</v>
      </c>
      <c r="J529" s="72">
        <f>G529*Supuestos!$C$20</f>
        <v>0</v>
      </c>
      <c r="K529" s="72">
        <f>(I529+J529)*(1/Supuestos!$C$20)</f>
        <v>0</v>
      </c>
    </row>
    <row r="530" spans="3:11" x14ac:dyDescent="0.25">
      <c r="C530" s="5" t="str">
        <f>'Informacion del AEP'!$C$156</f>
        <v xml:space="preserve">Costo del Capital:Servicios generales y de gestión - negocio </v>
      </c>
      <c r="D530" s="70">
        <f>INDEX('Informacion del AEP'!$D$138:$AE$158,MATCH('Costos aguas abajo'!$C530,'Informacion del AEP'!$C$138:$C$158,0),MATCH('Costos aguas abajo'!$C$510,'Informacion del AEP'!$D$137:$AE$137,0))</f>
        <v>0</v>
      </c>
      <c r="F530" s="72">
        <f>D530*Supuestos!$C$43</f>
        <v>0</v>
      </c>
      <c r="G530" s="72">
        <f>D530*(1-Supuestos!$C$43)</f>
        <v>0</v>
      </c>
      <c r="I530" s="72">
        <f>+F530</f>
        <v>0</v>
      </c>
      <c r="J530" s="72">
        <f>G530*Supuestos!$C$20</f>
        <v>0</v>
      </c>
      <c r="K530" s="72">
        <f>(I530+J530)*(1/Supuestos!$C$20)</f>
        <v>0</v>
      </c>
    </row>
    <row r="531" spans="3:11" x14ac:dyDescent="0.25">
      <c r="C531" s="5" t="str">
        <f>'Informacion del AEP'!$C$157</f>
        <v>Costo del Capital:Equipos terminales</v>
      </c>
      <c r="D531" s="70">
        <f>INDEX('Informacion del AEP'!$D$138:$AE$158,MATCH('Costos aguas abajo'!$C531,'Informacion del AEP'!$C$138:$C$158,0),MATCH('Costos aguas abajo'!$C$510,'Informacion del AEP'!$D$137:$AE$137,0))</f>
        <v>0</v>
      </c>
      <c r="F531" s="72">
        <f>D531*Supuestos!$C$44</f>
        <v>0</v>
      </c>
      <c r="G531" s="72">
        <f>D531*(1-Supuestos!$C$44)</f>
        <v>0</v>
      </c>
      <c r="I531" s="72">
        <f>+F531</f>
        <v>0</v>
      </c>
      <c r="J531" s="72">
        <f>G531*Supuestos!$C$20</f>
        <v>0</v>
      </c>
      <c r="K531" s="72">
        <f>(I531+J531)*(1/Supuestos!$C$20)</f>
        <v>0</v>
      </c>
    </row>
    <row r="533" spans="3:11" ht="13" x14ac:dyDescent="0.3">
      <c r="C533" s="73" t="s">
        <v>42</v>
      </c>
      <c r="D533" s="38" t="str">
        <f>IF(D510='Informacion del AEP'!Z158,"Ok","Error")</f>
        <v>Ok</v>
      </c>
      <c r="I533" s="38" t="str">
        <f>IF(I510=F510,"Ok","Error")</f>
        <v>Ok</v>
      </c>
    </row>
    <row r="535" spans="3:11" ht="13" x14ac:dyDescent="0.3">
      <c r="C535" s="74" t="str">
        <f>Supuestos!B96</f>
        <v>Telcel Pospago 22</v>
      </c>
      <c r="D535" s="75">
        <f>SUM(D536:D552)</f>
        <v>1627433324.3333335</v>
      </c>
      <c r="E535" s="76"/>
      <c r="F535" s="75">
        <f>SUM(F536:F552)</f>
        <v>45365000.400000006</v>
      </c>
      <c r="G535" s="75">
        <f>SUM(G536:G552)</f>
        <v>1582068323.9333336</v>
      </c>
      <c r="H535" s="76"/>
      <c r="I535" s="75">
        <f>SUM(I536:I552)</f>
        <v>45365000.400000006</v>
      </c>
      <c r="J535" s="75">
        <f>SUM(J536:J552)</f>
        <v>176880615.86820456</v>
      </c>
      <c r="K535" s="75">
        <f>SUM(K536:K552)</f>
        <v>1987825222.7081544</v>
      </c>
    </row>
    <row r="536" spans="3:11" x14ac:dyDescent="0.25">
      <c r="C536" s="5" t="str">
        <f>'Informacion del AEP'!$C$138</f>
        <v>Acceso a Internet</v>
      </c>
      <c r="D536" s="70">
        <f>INDEX('Informacion del AEP'!$D$138:$AE$158,MATCH('Costos aguas abajo'!$C536,'Informacion del AEP'!$C$138:$C$158,0),MATCH('Costos aguas abajo'!$C$535,'Informacion del AEP'!$D$137:$AE$137,0))</f>
        <v>0</v>
      </c>
      <c r="F536" s="72">
        <f>D536*Supuestos!$C$25</f>
        <v>0</v>
      </c>
      <c r="G536" s="72">
        <f>D536*(1-Supuestos!$C$25)</f>
        <v>0</v>
      </c>
      <c r="I536" s="72">
        <f>+F536</f>
        <v>0</v>
      </c>
      <c r="J536" s="72">
        <f>G536*Supuestos!$C$20</f>
        <v>0</v>
      </c>
      <c r="K536" s="72">
        <f>(I536+J536)*(1/Supuestos!$C$20)</f>
        <v>0</v>
      </c>
    </row>
    <row r="537" spans="3:11" x14ac:dyDescent="0.25">
      <c r="C537" s="5" t="str">
        <f>'Informacion del AEP'!$C$139</f>
        <v>Servicios OTT de vídeo</v>
      </c>
      <c r="D537" s="70">
        <f>INDEX('Informacion del AEP'!$D$138:$AE$158,MATCH('Costos aguas abajo'!$C537,'Informacion del AEP'!$C$138:$C$158,0),MATCH('Costos aguas abajo'!$C$535,'Informacion del AEP'!$D$137:$AE$137,0))</f>
        <v>26666661.666666701</v>
      </c>
      <c r="F537" s="72">
        <f>D537*Supuestos!$C$26</f>
        <v>0</v>
      </c>
      <c r="G537" s="72">
        <f>D537*(1-Supuestos!$C$26)</f>
        <v>26666661.666666701</v>
      </c>
      <c r="I537" s="72">
        <f>+F537</f>
        <v>0</v>
      </c>
      <c r="J537" s="72">
        <f>G537*Supuestos!$C$20</f>
        <v>2981423.4109827289</v>
      </c>
      <c r="K537" s="72">
        <f>(I537+J537)*(1/Supuestos!$C$20)</f>
        <v>26666661.666666701</v>
      </c>
    </row>
    <row r="538" spans="3:11" x14ac:dyDescent="0.25">
      <c r="C538" s="5" t="str">
        <f>'Informacion del AEP'!$C$140</f>
        <v>Servicios OTT de audio</v>
      </c>
      <c r="D538" s="70">
        <f>INDEX('Informacion del AEP'!$D$138:$AE$158,MATCH('Costos aguas abajo'!$C538,'Informacion del AEP'!$C$138:$C$158,0),MATCH('Costos aguas abajo'!$C$535,'Informacion del AEP'!$D$137:$AE$137,0))</f>
        <v>0</v>
      </c>
      <c r="F538" s="72">
        <f>D538*Supuestos!$C$27</f>
        <v>0</v>
      </c>
      <c r="G538" s="72">
        <f>D538*(1-Supuestos!$C$27)</f>
        <v>0</v>
      </c>
      <c r="I538" s="72">
        <f t="shared" ref="I538:I551" si="33">+F538</f>
        <v>0</v>
      </c>
      <c r="J538" s="72">
        <f>G538*Supuestos!$C$20</f>
        <v>0</v>
      </c>
      <c r="K538" s="72">
        <f>(I538+J538)*(1/Supuestos!$C$20)</f>
        <v>0</v>
      </c>
    </row>
    <row r="539" spans="3:11" x14ac:dyDescent="0.25">
      <c r="C539" s="5" t="str">
        <f>'Informacion del AEP'!$C$141</f>
        <v>Comerciales</v>
      </c>
      <c r="D539" s="70">
        <f>INDEX('Informacion del AEP'!$D$138:$AE$158,MATCH('Costos aguas abajo'!$C539,'Informacion del AEP'!$C$138:$C$158,0),MATCH('Costos aguas abajo'!$C$535,'Informacion del AEP'!$D$137:$AE$137,0))</f>
        <v>300000001</v>
      </c>
      <c r="F539" s="72">
        <f>D539*Supuestos!$C$28</f>
        <v>30000000.100000001</v>
      </c>
      <c r="G539" s="72">
        <f>D539*(1-Supuestos!$C$28)</f>
        <v>270000000.90000004</v>
      </c>
      <c r="I539" s="72">
        <f t="shared" si="33"/>
        <v>30000000.100000001</v>
      </c>
      <c r="J539" s="72">
        <f>G539*Supuestos!$C$20</f>
        <v>30186917.796870224</v>
      </c>
      <c r="K539" s="72">
        <f>(I539+J539)*(1/Supuestos!$C$20)</f>
        <v>538328159.09440207</v>
      </c>
    </row>
    <row r="540" spans="3:11" x14ac:dyDescent="0.25">
      <c r="C540" s="5" t="str">
        <f>'Informacion del AEP'!$C$142</f>
        <v>Facturación</v>
      </c>
      <c r="D540" s="70">
        <f>INDEX('Informacion del AEP'!$D$138:$AE$158,MATCH('Costos aguas abajo'!$C540,'Informacion del AEP'!$C$138:$C$158,0),MATCH('Costos aguas abajo'!$C$535,'Informacion del AEP'!$D$137:$AE$137,0))</f>
        <v>300001</v>
      </c>
      <c r="F540" s="72">
        <f>D540*Supuestos!$C$29</f>
        <v>15000.050000000001</v>
      </c>
      <c r="G540" s="72">
        <f>D540*(1-Supuestos!$C$29)</f>
        <v>285000.95</v>
      </c>
      <c r="I540" s="72">
        <f t="shared" si="33"/>
        <v>15000.050000000001</v>
      </c>
      <c r="J540" s="72">
        <f>G540*Supuestos!$C$20</f>
        <v>31864.074892600936</v>
      </c>
      <c r="K540" s="72">
        <f>(I540+J540)*(1/Supuestos!$C$20)</f>
        <v>419165.47586358292</v>
      </c>
    </row>
    <row r="541" spans="3:11" x14ac:dyDescent="0.25">
      <c r="C541" s="5" t="str">
        <f>'Informacion del AEP'!$C$143</f>
        <v>Cobranza</v>
      </c>
      <c r="D541" s="70">
        <f>INDEX('Informacion del AEP'!$D$138:$AE$158,MATCH('Costos aguas abajo'!$C541,'Informacion del AEP'!$C$138:$C$158,0),MATCH('Costos aguas abajo'!$C$535,'Informacion del AEP'!$D$137:$AE$137,0))</f>
        <v>11666661.6666667</v>
      </c>
      <c r="F541" s="72">
        <f>D541*Supuestos!$C$30</f>
        <v>0</v>
      </c>
      <c r="G541" s="72">
        <f>D541*(1-Supuestos!$C$30)</f>
        <v>11666661.6666667</v>
      </c>
      <c r="I541" s="72">
        <f t="shared" si="33"/>
        <v>0</v>
      </c>
      <c r="J541" s="72">
        <f>G541*Supuestos!$C$20</f>
        <v>1304372.4278578865</v>
      </c>
      <c r="K541" s="72">
        <f>(I541+J541)*(1/Supuestos!$C$20)</f>
        <v>11666661.6666667</v>
      </c>
    </row>
    <row r="542" spans="3:11" x14ac:dyDescent="0.25">
      <c r="C542" s="5" t="str">
        <f>'Informacion del AEP'!$C$144</f>
        <v>Tasas e impuestos</v>
      </c>
      <c r="D542" s="70">
        <f>INDEX('Informacion del AEP'!$D$138:$AE$158,MATCH('Costos aguas abajo'!$C542,'Informacion del AEP'!$C$138:$C$158,0),MATCH('Costos aguas abajo'!$C$535,'Informacion del AEP'!$D$137:$AE$137,0))</f>
        <v>3500001</v>
      </c>
      <c r="F542" s="72">
        <f>D542*Supuestos!$C$31</f>
        <v>350000.10000000003</v>
      </c>
      <c r="G542" s="72">
        <f>D542*(1-Supuestos!$C$31)</f>
        <v>3150000.9</v>
      </c>
      <c r="I542" s="72">
        <f t="shared" si="33"/>
        <v>350000.10000000003</v>
      </c>
      <c r="J542" s="72">
        <f>G542*Supuestos!$C$20</f>
        <v>352180.80707927584</v>
      </c>
      <c r="K542" s="72">
        <f>(I542+J542)*(1/Supuestos!$C$20)</f>
        <v>6280496.9629268972</v>
      </c>
    </row>
    <row r="543" spans="3:11" x14ac:dyDescent="0.25">
      <c r="C543" s="5" t="str">
        <f>'Informacion del AEP'!$C$145</f>
        <v>Programas de fidelización</v>
      </c>
      <c r="D543" s="70">
        <f>INDEX('Informacion del AEP'!$D$138:$AE$158,MATCH('Costos aguas abajo'!$C543,'Informacion del AEP'!$C$138:$C$158,0),MATCH('Costos aguas abajo'!$C$535,'Informacion del AEP'!$D$137:$AE$137,0))</f>
        <v>13333331.3333333</v>
      </c>
      <c r="F543" s="72">
        <f>D543*Supuestos!$C$32</f>
        <v>0</v>
      </c>
      <c r="G543" s="72">
        <f>D543*(1-Supuestos!$C$32)</f>
        <v>13333331.3333333</v>
      </c>
      <c r="I543" s="72">
        <f t="shared" si="33"/>
        <v>0</v>
      </c>
      <c r="J543" s="72">
        <f>G543*Supuestos!$C$20</f>
        <v>1490711.7613930583</v>
      </c>
      <c r="K543" s="72">
        <f>(I543+J543)*(1/Supuestos!$C$20)</f>
        <v>13333331.3333333</v>
      </c>
    </row>
    <row r="544" spans="3:11" x14ac:dyDescent="0.25">
      <c r="C544" s="5" t="str">
        <f>'Informacion del AEP'!$C$146</f>
        <v>Acceso internet internacional</v>
      </c>
      <c r="D544" s="70">
        <f>INDEX('Informacion del AEP'!$D$138:$AE$158,MATCH('Costos aguas abajo'!$C544,'Informacion del AEP'!$C$138:$C$158,0),MATCH('Costos aguas abajo'!$C$535,'Informacion del AEP'!$D$137:$AE$137,0))</f>
        <v>3800001</v>
      </c>
      <c r="F544" s="72">
        <f>D544*Supuestos!$C$33</f>
        <v>0</v>
      </c>
      <c r="G544" s="72">
        <f>D544*(1-Supuestos!$C$33)</f>
        <v>3800001</v>
      </c>
      <c r="I544" s="72">
        <f t="shared" si="33"/>
        <v>0</v>
      </c>
      <c r="J544" s="72">
        <f>G544*Supuestos!$C$20</f>
        <v>424853.02752835891</v>
      </c>
      <c r="K544" s="72">
        <f>(I544+J544)*(1/Supuestos!$C$20)</f>
        <v>3800001</v>
      </c>
    </row>
    <row r="545" spans="3:11" x14ac:dyDescent="0.25">
      <c r="C545" s="5" t="str">
        <f>'Informacion del AEP'!$C$147</f>
        <v>Roaming nacional</v>
      </c>
      <c r="D545" s="70">
        <f>INDEX('Informacion del AEP'!$D$138:$AE$158,MATCH('Costos aguas abajo'!$C545,'Informacion del AEP'!$C$138:$C$158,0),MATCH('Costos aguas abajo'!$C$535,'Informacion del AEP'!$D$137:$AE$137,0))</f>
        <v>1500001</v>
      </c>
      <c r="F545" s="72">
        <f>D545*Supuestos!$C$34</f>
        <v>0</v>
      </c>
      <c r="G545" s="72">
        <f>D545*(1-Supuestos!$C$34)</f>
        <v>1500001</v>
      </c>
      <c r="I545" s="72">
        <f t="shared" si="33"/>
        <v>0</v>
      </c>
      <c r="J545" s="72">
        <f>G545*Supuestos!$C$20</f>
        <v>167705.21011588309</v>
      </c>
      <c r="K545" s="72">
        <f>(I545+J545)*(1/Supuestos!$C$20)</f>
        <v>1500001</v>
      </c>
    </row>
    <row r="546" spans="3:11" x14ac:dyDescent="0.25">
      <c r="C546" s="5" t="str">
        <f>'Informacion del AEP'!$C$148</f>
        <v>Roaming internacional</v>
      </c>
      <c r="D546" s="70">
        <f>INDEX('Informacion del AEP'!$D$138:$AE$158,MATCH('Costos aguas abajo'!$C546,'Informacion del AEP'!$C$138:$C$158,0),MATCH('Costos aguas abajo'!$C$535,'Informacion del AEP'!$D$137:$AE$137,0))</f>
        <v>0</v>
      </c>
      <c r="F546" s="72">
        <f>D546*Supuestos!$C$35</f>
        <v>0</v>
      </c>
      <c r="G546" s="72">
        <f>D546*(1-Supuestos!$C$35)</f>
        <v>0</v>
      </c>
      <c r="I546" s="72">
        <f t="shared" si="33"/>
        <v>0</v>
      </c>
      <c r="J546" s="72">
        <f>G546*Supuestos!$C$20</f>
        <v>0</v>
      </c>
      <c r="K546" s="72">
        <f>(I546+J546)*(1/Supuestos!$C$20)</f>
        <v>0</v>
      </c>
    </row>
    <row r="547" spans="3:11" x14ac:dyDescent="0.25">
      <c r="C547" s="5" t="str">
        <f>'Informacion del AEP'!$C$149</f>
        <v>Provisiones</v>
      </c>
      <c r="D547" s="70">
        <f>INDEX('Informacion del AEP'!$D$138:$AE$158,MATCH('Costos aguas abajo'!$C547,'Informacion del AEP'!$C$138:$C$158,0),MATCH('Costos aguas abajo'!$C$535,'Informacion del AEP'!$D$137:$AE$137,0))</f>
        <v>16666661.6666667</v>
      </c>
      <c r="F547" s="72">
        <f>D547*Supuestos!$C$36</f>
        <v>0</v>
      </c>
      <c r="G547" s="72">
        <f>D547*(1-Supuestos!$C$36)</f>
        <v>16666661.6666667</v>
      </c>
      <c r="I547" s="72">
        <f t="shared" si="33"/>
        <v>0</v>
      </c>
      <c r="J547" s="72">
        <f>G547*Supuestos!$C$20</f>
        <v>1863389.4222328339</v>
      </c>
      <c r="K547" s="72">
        <f>(I547+J547)*(1/Supuestos!$C$20)</f>
        <v>16666661.6666667</v>
      </c>
    </row>
    <row r="548" spans="3:11" x14ac:dyDescent="0.25">
      <c r="C548" s="5" t="str">
        <f>'Informacion del AEP'!$C$150</f>
        <v>Costos directos de la venta de terminales</v>
      </c>
      <c r="D548" s="70">
        <f>INDEX('Informacion del AEP'!$D$138:$AE$158,MATCH('Costos aguas abajo'!$C548,'Informacion del AEP'!$C$138:$C$158,0),MATCH('Costos aguas abajo'!$C$535,'Informacion del AEP'!$D$137:$AE$137,0))</f>
        <v>1000000001</v>
      </c>
      <c r="F548" s="72">
        <f>D548*Supuestos!$C$37</f>
        <v>0</v>
      </c>
      <c r="G548" s="72">
        <f>D548*(1-Supuestos!$C$37)</f>
        <v>1000000001</v>
      </c>
      <c r="I548" s="72">
        <f t="shared" si="33"/>
        <v>0</v>
      </c>
      <c r="J548" s="72">
        <f>G548*Supuestos!$C$20</f>
        <v>111803398.98679288</v>
      </c>
      <c r="K548" s="72">
        <f>(I548+J548)*(1/Supuestos!$C$20)</f>
        <v>1000000001</v>
      </c>
    </row>
    <row r="549" spans="3:11" x14ac:dyDescent="0.25">
      <c r="C549" s="5" t="str">
        <f>'Informacion del AEP'!$C$151</f>
        <v>Servicios generales y de gestión - minoristas</v>
      </c>
      <c r="D549" s="70">
        <f>INDEX('Informacion del AEP'!$D$138:$AE$158,MATCH('Costos aguas abajo'!$C549,'Informacion del AEP'!$C$138:$C$158,0),MATCH('Costos aguas abajo'!$C$535,'Informacion del AEP'!$D$137:$AE$137,0))</f>
        <v>200000001</v>
      </c>
      <c r="F549" s="72">
        <f>D549*Supuestos!$C$38</f>
        <v>10000000.050000001</v>
      </c>
      <c r="G549" s="72">
        <f>D549*(1-Supuestos!$C$38)</f>
        <v>190000000.94999999</v>
      </c>
      <c r="I549" s="72">
        <f t="shared" si="33"/>
        <v>10000000.050000001</v>
      </c>
      <c r="J549" s="72">
        <f>G549*Supuestos!$C$20</f>
        <v>21242645.892461229</v>
      </c>
      <c r="K549" s="72">
        <f>(I549+J549)*(1/Supuestos!$C$20)</f>
        <v>279442720.4972052</v>
      </c>
    </row>
    <row r="550" spans="3:11" x14ac:dyDescent="0.25">
      <c r="C550" s="5" t="str">
        <f>'Informacion del AEP'!$C$152</f>
        <v>Servicios generales y de gestión - red</v>
      </c>
      <c r="D550" s="70">
        <f>INDEX('Informacion del AEP'!$D$138:$AE$158,MATCH('Costos aguas abajo'!$C550,'Informacion del AEP'!$C$138:$C$158,0),MATCH('Costos aguas abajo'!$C$535,'Informacion del AEP'!$D$137:$AE$137,0))</f>
        <v>0</v>
      </c>
      <c r="F550" s="72">
        <f>D550*Supuestos!$C$39</f>
        <v>0</v>
      </c>
      <c r="G550" s="72">
        <f>D550*(1-Supuestos!$C$30)</f>
        <v>0</v>
      </c>
      <c r="I550" s="72">
        <f t="shared" si="33"/>
        <v>0</v>
      </c>
      <c r="J550" s="72">
        <f>G550*Supuestos!$C$20</f>
        <v>0</v>
      </c>
      <c r="K550" s="72">
        <f>(I550+J550)*(1/Supuestos!$C$20)</f>
        <v>0</v>
      </c>
    </row>
    <row r="551" spans="3:11" x14ac:dyDescent="0.25">
      <c r="C551" s="5" t="str">
        <f>'Informacion del AEP'!$C$153</f>
        <v xml:space="preserve">Servicios generales y de gestión - negocio </v>
      </c>
      <c r="D551" s="70">
        <f>INDEX('Informacion del AEP'!$D$138:$AE$158,MATCH('Costos aguas abajo'!$C551,'Informacion del AEP'!$C$138:$C$158,0),MATCH('Costos aguas abajo'!$C$535,'Informacion del AEP'!$D$137:$AE$137,0))</f>
        <v>50000001</v>
      </c>
      <c r="F551" s="72">
        <f>D551*Supuestos!$C$40</f>
        <v>5000000.1000000006</v>
      </c>
      <c r="G551" s="72">
        <f>D551*(1-Supuestos!$C$40)</f>
        <v>45000000.899999999</v>
      </c>
      <c r="I551" s="72">
        <f t="shared" si="33"/>
        <v>5000000.1000000006</v>
      </c>
      <c r="J551" s="72">
        <f>G551*Supuestos!$C$20</f>
        <v>5031153.0499975858</v>
      </c>
      <c r="K551" s="72">
        <f>(I551+J551)*(1/Supuestos!$C$20)</f>
        <v>89721361.344422996</v>
      </c>
    </row>
    <row r="552" spans="3:11" ht="13" x14ac:dyDescent="0.3">
      <c r="C552" s="64" t="s">
        <v>109</v>
      </c>
      <c r="D552" s="218">
        <f>SUM(D553:D556)</f>
        <v>0</v>
      </c>
      <c r="F552" s="218">
        <f>SUM(F553:F556)</f>
        <v>0</v>
      </c>
      <c r="G552" s="218">
        <f>SUM(G553:G556)</f>
        <v>0</v>
      </c>
      <c r="I552" s="218">
        <f>SUM(I553:I556)</f>
        <v>0</v>
      </c>
      <c r="J552" s="218">
        <f>SUM(J553:J556)</f>
        <v>0</v>
      </c>
      <c r="K552" s="218">
        <f>SUM(K553:K556)</f>
        <v>0</v>
      </c>
    </row>
    <row r="553" spans="3:11" x14ac:dyDescent="0.25">
      <c r="C553" s="5" t="str">
        <f>'Informacion del AEP'!$C$154</f>
        <v>Costo del Capital:Servicios generales y de gestión - minoristas</v>
      </c>
      <c r="D553" s="70">
        <f>INDEX('Informacion del AEP'!$D$138:$AE$158,MATCH('Costos aguas abajo'!$C553,'Informacion del AEP'!$C$138:$C$158,0),MATCH('Costos aguas abajo'!$C$535,'Informacion del AEP'!$D$137:$AE$137,0))</f>
        <v>0</v>
      </c>
      <c r="F553" s="72">
        <f>D553*Supuestos!$C$41</f>
        <v>0</v>
      </c>
      <c r="G553" s="72">
        <f>D553*(1-Supuestos!$C$41)</f>
        <v>0</v>
      </c>
      <c r="I553" s="72">
        <f t="shared" ref="I553" si="34">+F553</f>
        <v>0</v>
      </c>
      <c r="J553" s="72">
        <f>G553*Supuestos!$C$20</f>
        <v>0</v>
      </c>
      <c r="K553" s="72">
        <f>(I553+J553)*(1/Supuestos!$C$20)</f>
        <v>0</v>
      </c>
    </row>
    <row r="554" spans="3:11" x14ac:dyDescent="0.25">
      <c r="C554" s="5" t="str">
        <f>'Informacion del AEP'!$C$155</f>
        <v>Costo del Capital:Servicios generales y de gestión - red</v>
      </c>
      <c r="D554" s="70">
        <f>INDEX('Informacion del AEP'!$D$138:$AE$158,MATCH('Costos aguas abajo'!$C554,'Informacion del AEP'!$C$138:$C$158,0),MATCH('Costos aguas abajo'!$C$535,'Informacion del AEP'!$D$137:$AE$137,0))</f>
        <v>0</v>
      </c>
      <c r="F554" s="72">
        <f>D554*Supuestos!$C$42</f>
        <v>0</v>
      </c>
      <c r="G554" s="72">
        <f>D554*(1-Supuestos!$C$42)</f>
        <v>0</v>
      </c>
      <c r="I554" s="72">
        <f>+F554</f>
        <v>0</v>
      </c>
      <c r="J554" s="72">
        <f>G554*Supuestos!$C$20</f>
        <v>0</v>
      </c>
      <c r="K554" s="72">
        <f>(I554+J554)*(1/Supuestos!$C$20)</f>
        <v>0</v>
      </c>
    </row>
    <row r="555" spans="3:11" x14ac:dyDescent="0.25">
      <c r="C555" s="5" t="str">
        <f>'Informacion del AEP'!$C$156</f>
        <v xml:space="preserve">Costo del Capital:Servicios generales y de gestión - negocio </v>
      </c>
      <c r="D555" s="70">
        <f>INDEX('Informacion del AEP'!$D$138:$AE$158,MATCH('Costos aguas abajo'!$C555,'Informacion del AEP'!$C$138:$C$158,0),MATCH('Costos aguas abajo'!$C$535,'Informacion del AEP'!$D$137:$AE$137,0))</f>
        <v>0</v>
      </c>
      <c r="F555" s="72">
        <f>D555*Supuestos!$C$43</f>
        <v>0</v>
      </c>
      <c r="G555" s="72">
        <f>D555*(1-Supuestos!$C$43)</f>
        <v>0</v>
      </c>
      <c r="I555" s="72">
        <f>+F555</f>
        <v>0</v>
      </c>
      <c r="J555" s="72">
        <f>G555*Supuestos!$C$20</f>
        <v>0</v>
      </c>
      <c r="K555" s="72">
        <f>(I555+J555)*(1/Supuestos!$C$20)</f>
        <v>0</v>
      </c>
    </row>
    <row r="556" spans="3:11" x14ac:dyDescent="0.25">
      <c r="C556" s="5" t="str">
        <f>'Informacion del AEP'!$C$157</f>
        <v>Costo del Capital:Equipos terminales</v>
      </c>
      <c r="D556" s="70">
        <f>INDEX('Informacion del AEP'!$D$138:$AE$158,MATCH('Costos aguas abajo'!$C556,'Informacion del AEP'!$C$138:$C$158,0),MATCH('Costos aguas abajo'!$C$535,'Informacion del AEP'!$D$137:$AE$137,0))</f>
        <v>0</v>
      </c>
      <c r="F556" s="72">
        <f>D556*Supuestos!$C$44</f>
        <v>0</v>
      </c>
      <c r="G556" s="72">
        <f>D556*(1-Supuestos!$C$44)</f>
        <v>0</v>
      </c>
      <c r="I556" s="72">
        <f>+F556</f>
        <v>0</v>
      </c>
      <c r="J556" s="72">
        <f>G556*Supuestos!$C$20</f>
        <v>0</v>
      </c>
      <c r="K556" s="72">
        <f>(I556+J556)*(1/Supuestos!$C$20)</f>
        <v>0</v>
      </c>
    </row>
    <row r="558" spans="3:11" ht="13" x14ac:dyDescent="0.3">
      <c r="C558" s="73" t="s">
        <v>42</v>
      </c>
      <c r="D558" s="38" t="str">
        <f>IF(D535='Informacion del AEP'!AA158,"Ok","Error")</f>
        <v>Ok</v>
      </c>
      <c r="I558" s="38" t="str">
        <f>IF(I535=F535,"Ok","Error")</f>
        <v>Ok</v>
      </c>
    </row>
    <row r="560" spans="3:11" ht="13" x14ac:dyDescent="0.3">
      <c r="C560" s="74" t="str">
        <f>Supuestos!B97</f>
        <v>Telcel Pospago 23</v>
      </c>
      <c r="D560" s="75">
        <f>SUM(D561:D577)</f>
        <v>1627433336.3333335</v>
      </c>
      <c r="E560" s="76"/>
      <c r="F560" s="75">
        <f>SUM(F561:F577)</f>
        <v>45365000.800000004</v>
      </c>
      <c r="G560" s="75">
        <f>SUM(G561:G577)</f>
        <v>1582068335.5333335</v>
      </c>
      <c r="H560" s="76"/>
      <c r="I560" s="75">
        <f>SUM(I561:I577)</f>
        <v>45365000.800000004</v>
      </c>
      <c r="J560" s="75">
        <f>SUM(J561:J577)</f>
        <v>176880617.16512397</v>
      </c>
      <c r="K560" s="75">
        <f>SUM(K561:K577)</f>
        <v>1987825237.8858628</v>
      </c>
    </row>
    <row r="561" spans="3:11" x14ac:dyDescent="0.25">
      <c r="C561" s="5" t="str">
        <f>'Informacion del AEP'!$C$138</f>
        <v>Acceso a Internet</v>
      </c>
      <c r="D561" s="70">
        <f>INDEX('Informacion del AEP'!$D$138:$AE$158,MATCH('Costos aguas abajo'!$C561,'Informacion del AEP'!$C$138:$C$158,0),MATCH('Costos aguas abajo'!$C$560,'Informacion del AEP'!$D$137:$AE$137,0))</f>
        <v>0</v>
      </c>
      <c r="F561" s="72">
        <f>D561*Supuestos!$C$25</f>
        <v>0</v>
      </c>
      <c r="G561" s="72">
        <f>D561*(1-Supuestos!$C$25)</f>
        <v>0</v>
      </c>
      <c r="I561" s="72">
        <f>+F561</f>
        <v>0</v>
      </c>
      <c r="J561" s="72">
        <f>G561*Supuestos!$C$20</f>
        <v>0</v>
      </c>
      <c r="K561" s="72">
        <f>(I561+J561)*(1/Supuestos!$C$20)</f>
        <v>0</v>
      </c>
    </row>
    <row r="562" spans="3:11" x14ac:dyDescent="0.25">
      <c r="C562" s="5" t="str">
        <f>'Informacion del AEP'!$C$139</f>
        <v>Servicios OTT de vídeo</v>
      </c>
      <c r="D562" s="70">
        <f>INDEX('Informacion del AEP'!$D$138:$AE$158,MATCH('Costos aguas abajo'!$C562,'Informacion del AEP'!$C$138:$C$158,0),MATCH('Costos aguas abajo'!$C$560,'Informacion del AEP'!$D$137:$AE$137,0))</f>
        <v>26666662.666666701</v>
      </c>
      <c r="F562" s="72">
        <f>D562*Supuestos!$C$26</f>
        <v>0</v>
      </c>
      <c r="G562" s="72">
        <f>D562*(1-Supuestos!$C$26)</f>
        <v>26666662.666666701</v>
      </c>
      <c r="I562" s="72">
        <f>+F562</f>
        <v>0</v>
      </c>
      <c r="J562" s="72">
        <f>G562*Supuestos!$C$20</f>
        <v>2981423.5227861279</v>
      </c>
      <c r="K562" s="72">
        <f>(I562+J562)*(1/Supuestos!$C$20)</f>
        <v>26666662.666666701</v>
      </c>
    </row>
    <row r="563" spans="3:11" x14ac:dyDescent="0.25">
      <c r="C563" s="5" t="str">
        <f>'Informacion del AEP'!$C$140</f>
        <v>Servicios OTT de audio</v>
      </c>
      <c r="D563" s="70">
        <f>INDEX('Informacion del AEP'!$D$138:$AE$158,MATCH('Costos aguas abajo'!$C563,'Informacion del AEP'!$C$138:$C$158,0),MATCH('Costos aguas abajo'!$C$560,'Informacion del AEP'!$D$137:$AE$137,0))</f>
        <v>0</v>
      </c>
      <c r="F563" s="72">
        <f>D563*Supuestos!$C$27</f>
        <v>0</v>
      </c>
      <c r="G563" s="72">
        <f>D563*(1-Supuestos!$C$27)</f>
        <v>0</v>
      </c>
      <c r="I563" s="72">
        <f t="shared" ref="I563:I576" si="35">+F563</f>
        <v>0</v>
      </c>
      <c r="J563" s="72">
        <f>G563*Supuestos!$C$20</f>
        <v>0</v>
      </c>
      <c r="K563" s="72">
        <f>(I563+J563)*(1/Supuestos!$C$20)</f>
        <v>0</v>
      </c>
    </row>
    <row r="564" spans="3:11" x14ac:dyDescent="0.25">
      <c r="C564" s="5" t="str">
        <f>'Informacion del AEP'!$C$141</f>
        <v>Comerciales</v>
      </c>
      <c r="D564" s="70">
        <f>INDEX('Informacion del AEP'!$D$138:$AE$158,MATCH('Costos aguas abajo'!$C564,'Informacion del AEP'!$C$138:$C$158,0),MATCH('Costos aguas abajo'!$C$560,'Informacion del AEP'!$D$137:$AE$137,0))</f>
        <v>300000002</v>
      </c>
      <c r="F564" s="72">
        <f>D564*Supuestos!$C$28</f>
        <v>30000000.200000003</v>
      </c>
      <c r="G564" s="72">
        <f>D564*(1-Supuestos!$C$28)</f>
        <v>270000001.80000001</v>
      </c>
      <c r="I564" s="72">
        <f t="shared" si="35"/>
        <v>30000000.200000003</v>
      </c>
      <c r="J564" s="72">
        <f>G564*Supuestos!$C$20</f>
        <v>30186917.89749328</v>
      </c>
      <c r="K564" s="72">
        <f>(I564+J564)*(1/Supuestos!$C$20)</f>
        <v>538328160.88882923</v>
      </c>
    </row>
    <row r="565" spans="3:11" x14ac:dyDescent="0.25">
      <c r="C565" s="5" t="str">
        <f>'Informacion del AEP'!$C$142</f>
        <v>Facturación</v>
      </c>
      <c r="D565" s="70">
        <f>INDEX('Informacion del AEP'!$D$138:$AE$158,MATCH('Costos aguas abajo'!$C565,'Informacion del AEP'!$C$138:$C$158,0),MATCH('Costos aguas abajo'!$C$560,'Informacion del AEP'!$D$137:$AE$137,0))</f>
        <v>300002</v>
      </c>
      <c r="F565" s="72">
        <f>D565*Supuestos!$C$29</f>
        <v>15000.1</v>
      </c>
      <c r="G565" s="72">
        <f>D565*(1-Supuestos!$C$29)</f>
        <v>285001.89999999997</v>
      </c>
      <c r="I565" s="72">
        <f t="shared" si="35"/>
        <v>15000.1</v>
      </c>
      <c r="J565" s="72">
        <f>G565*Supuestos!$C$20</f>
        <v>31864.181105829863</v>
      </c>
      <c r="K565" s="72">
        <f>(I565+J565)*(1/Supuestos!$C$20)</f>
        <v>419166.87307717837</v>
      </c>
    </row>
    <row r="566" spans="3:11" x14ac:dyDescent="0.25">
      <c r="C566" s="5" t="str">
        <f>'Informacion del AEP'!$C$143</f>
        <v>Cobranza</v>
      </c>
      <c r="D566" s="70">
        <f>INDEX('Informacion del AEP'!$D$138:$AE$158,MATCH('Costos aguas abajo'!$C566,'Informacion del AEP'!$C$138:$C$158,0),MATCH('Costos aguas abajo'!$C$560,'Informacion del AEP'!$D$137:$AE$137,0))</f>
        <v>11666662.6666667</v>
      </c>
      <c r="F566" s="72">
        <f>D566*Supuestos!$C$30</f>
        <v>0</v>
      </c>
      <c r="G566" s="72">
        <f>D566*(1-Supuestos!$C$30)</f>
        <v>11666662.6666667</v>
      </c>
      <c r="I566" s="72">
        <f t="shared" si="35"/>
        <v>0</v>
      </c>
      <c r="J566" s="72">
        <f>G566*Supuestos!$C$20</f>
        <v>1304372.5396612855</v>
      </c>
      <c r="K566" s="72">
        <f>(I566+J566)*(1/Supuestos!$C$20)</f>
        <v>11666662.6666667</v>
      </c>
    </row>
    <row r="567" spans="3:11" x14ac:dyDescent="0.25">
      <c r="C567" s="5" t="str">
        <f>'Informacion del AEP'!$C$144</f>
        <v>Tasas e impuestos</v>
      </c>
      <c r="D567" s="70">
        <f>INDEX('Informacion del AEP'!$D$138:$AE$158,MATCH('Costos aguas abajo'!$C567,'Informacion del AEP'!$C$138:$C$158,0),MATCH('Costos aguas abajo'!$C$560,'Informacion del AEP'!$D$137:$AE$137,0))</f>
        <v>3500002</v>
      </c>
      <c r="F567" s="72">
        <f>D567*Supuestos!$C$31</f>
        <v>350000.2</v>
      </c>
      <c r="G567" s="72">
        <f>D567*(1-Supuestos!$C$31)</f>
        <v>3150001.8000000003</v>
      </c>
      <c r="I567" s="72">
        <f t="shared" si="35"/>
        <v>350000.2</v>
      </c>
      <c r="J567" s="72">
        <f>G567*Supuestos!$C$20</f>
        <v>352180.90770233487</v>
      </c>
      <c r="K567" s="72">
        <f>(I567+J567)*(1/Supuestos!$C$20)</f>
        <v>6280498.7573540881</v>
      </c>
    </row>
    <row r="568" spans="3:11" x14ac:dyDescent="0.25">
      <c r="C568" s="5" t="str">
        <f>'Informacion del AEP'!$C$145</f>
        <v>Programas de fidelización</v>
      </c>
      <c r="D568" s="70">
        <f>INDEX('Informacion del AEP'!$D$138:$AE$158,MATCH('Costos aguas abajo'!$C568,'Informacion del AEP'!$C$138:$C$158,0),MATCH('Costos aguas abajo'!$C$560,'Informacion del AEP'!$D$137:$AE$137,0))</f>
        <v>13333332.3333333</v>
      </c>
      <c r="F568" s="72">
        <f>D568*Supuestos!$C$32</f>
        <v>0</v>
      </c>
      <c r="G568" s="72">
        <f>D568*(1-Supuestos!$C$32)</f>
        <v>13333332.3333333</v>
      </c>
      <c r="I568" s="72">
        <f t="shared" si="35"/>
        <v>0</v>
      </c>
      <c r="J568" s="72">
        <f>G568*Supuestos!$C$20</f>
        <v>1490711.8731964573</v>
      </c>
      <c r="K568" s="72">
        <f>(I568+J568)*(1/Supuestos!$C$20)</f>
        <v>13333332.333333302</v>
      </c>
    </row>
    <row r="569" spans="3:11" x14ac:dyDescent="0.25">
      <c r="C569" s="5" t="str">
        <f>'Informacion del AEP'!$C$146</f>
        <v>Acceso internet internacional</v>
      </c>
      <c r="D569" s="70">
        <f>INDEX('Informacion del AEP'!$D$138:$AE$158,MATCH('Costos aguas abajo'!$C569,'Informacion del AEP'!$C$138:$C$158,0),MATCH('Costos aguas abajo'!$C$560,'Informacion del AEP'!$D$137:$AE$137,0))</f>
        <v>3800002</v>
      </c>
      <c r="F569" s="72">
        <f>D569*Supuestos!$C$33</f>
        <v>0</v>
      </c>
      <c r="G569" s="72">
        <f>D569*(1-Supuestos!$C$33)</f>
        <v>3800002</v>
      </c>
      <c r="I569" s="72">
        <f t="shared" si="35"/>
        <v>0</v>
      </c>
      <c r="J569" s="72">
        <f>G569*Supuestos!$C$20</f>
        <v>424853.13933175779</v>
      </c>
      <c r="K569" s="72">
        <f>(I569+J569)*(1/Supuestos!$C$20)</f>
        <v>3800002</v>
      </c>
    </row>
    <row r="570" spans="3:11" x14ac:dyDescent="0.25">
      <c r="C570" s="5" t="str">
        <f>'Informacion del AEP'!$C$147</f>
        <v>Roaming nacional</v>
      </c>
      <c r="D570" s="70">
        <f>INDEX('Informacion del AEP'!$D$138:$AE$158,MATCH('Costos aguas abajo'!$C570,'Informacion del AEP'!$C$138:$C$158,0),MATCH('Costos aguas abajo'!$C$560,'Informacion del AEP'!$D$137:$AE$137,0))</f>
        <v>1500002</v>
      </c>
      <c r="F570" s="72">
        <f>D570*Supuestos!$C$34</f>
        <v>0</v>
      </c>
      <c r="G570" s="72">
        <f>D570*(1-Supuestos!$C$34)</f>
        <v>1500002</v>
      </c>
      <c r="I570" s="72">
        <f t="shared" si="35"/>
        <v>0</v>
      </c>
      <c r="J570" s="72">
        <f>G570*Supuestos!$C$20</f>
        <v>167705.32191928197</v>
      </c>
      <c r="K570" s="72">
        <f>(I570+J570)*(1/Supuestos!$C$20)</f>
        <v>1500002</v>
      </c>
    </row>
    <row r="571" spans="3:11" x14ac:dyDescent="0.25">
      <c r="C571" s="5" t="str">
        <f>'Informacion del AEP'!$C$148</f>
        <v>Roaming internacional</v>
      </c>
      <c r="D571" s="70">
        <f>INDEX('Informacion del AEP'!$D$138:$AE$158,MATCH('Costos aguas abajo'!$C571,'Informacion del AEP'!$C$138:$C$158,0),MATCH('Costos aguas abajo'!$C$560,'Informacion del AEP'!$D$137:$AE$137,0))</f>
        <v>0</v>
      </c>
      <c r="F571" s="72">
        <f>D571*Supuestos!$C$35</f>
        <v>0</v>
      </c>
      <c r="G571" s="72">
        <f>D571*(1-Supuestos!$C$35)</f>
        <v>0</v>
      </c>
      <c r="I571" s="72">
        <f t="shared" si="35"/>
        <v>0</v>
      </c>
      <c r="J571" s="72">
        <f>G571*Supuestos!$C$20</f>
        <v>0</v>
      </c>
      <c r="K571" s="72">
        <f>(I571+J571)*(1/Supuestos!$C$20)</f>
        <v>0</v>
      </c>
    </row>
    <row r="572" spans="3:11" x14ac:dyDescent="0.25">
      <c r="C572" s="5" t="str">
        <f>'Informacion del AEP'!$C$149</f>
        <v>Provisiones</v>
      </c>
      <c r="D572" s="70">
        <f>INDEX('Informacion del AEP'!$D$138:$AE$158,MATCH('Costos aguas abajo'!$C572,'Informacion del AEP'!$C$138:$C$158,0),MATCH('Costos aguas abajo'!$C$560,'Informacion del AEP'!$D$137:$AE$137,0))</f>
        <v>16666662.6666667</v>
      </c>
      <c r="F572" s="72">
        <f>D572*Supuestos!$C$36</f>
        <v>0</v>
      </c>
      <c r="G572" s="72">
        <f>D572*(1-Supuestos!$C$36)</f>
        <v>16666662.6666667</v>
      </c>
      <c r="I572" s="72">
        <f t="shared" si="35"/>
        <v>0</v>
      </c>
      <c r="J572" s="72">
        <f>G572*Supuestos!$C$20</f>
        <v>1863389.5340362329</v>
      </c>
      <c r="K572" s="72">
        <f>(I572+J572)*(1/Supuestos!$C$20)</f>
        <v>16666662.6666667</v>
      </c>
    </row>
    <row r="573" spans="3:11" x14ac:dyDescent="0.25">
      <c r="C573" s="5" t="str">
        <f>'Informacion del AEP'!$C$150</f>
        <v>Costos directos de la venta de terminales</v>
      </c>
      <c r="D573" s="70">
        <f>INDEX('Informacion del AEP'!$D$138:$AE$158,MATCH('Costos aguas abajo'!$C573,'Informacion del AEP'!$C$138:$C$158,0),MATCH('Costos aguas abajo'!$C$560,'Informacion del AEP'!$D$137:$AE$137,0))</f>
        <v>1000000002</v>
      </c>
      <c r="F573" s="72">
        <f>D573*Supuestos!$C$37</f>
        <v>0</v>
      </c>
      <c r="G573" s="72">
        <f>D573*(1-Supuestos!$C$37)</f>
        <v>1000000002</v>
      </c>
      <c r="I573" s="72">
        <f t="shared" si="35"/>
        <v>0</v>
      </c>
      <c r="J573" s="72">
        <f>G573*Supuestos!$C$20</f>
        <v>111803399.09859627</v>
      </c>
      <c r="K573" s="72">
        <f>(I573+J573)*(1/Supuestos!$C$20)</f>
        <v>1000000002</v>
      </c>
    </row>
    <row r="574" spans="3:11" x14ac:dyDescent="0.25">
      <c r="C574" s="5" t="str">
        <f>'Informacion del AEP'!$C$151</f>
        <v>Servicios generales y de gestión - minoristas</v>
      </c>
      <c r="D574" s="70">
        <f>INDEX('Informacion del AEP'!$D$138:$AE$158,MATCH('Costos aguas abajo'!$C574,'Informacion del AEP'!$C$138:$C$158,0),MATCH('Costos aguas abajo'!$C$560,'Informacion del AEP'!$D$137:$AE$137,0))</f>
        <v>200000002</v>
      </c>
      <c r="F574" s="72">
        <f>D574*Supuestos!$C$38</f>
        <v>10000000.1</v>
      </c>
      <c r="G574" s="72">
        <f>D574*(1-Supuestos!$C$38)</f>
        <v>190000001.90000001</v>
      </c>
      <c r="I574" s="72">
        <f t="shared" si="35"/>
        <v>10000000.1</v>
      </c>
      <c r="J574" s="72">
        <f>G574*Supuestos!$C$20</f>
        <v>21242645.99867446</v>
      </c>
      <c r="K574" s="72">
        <f>(I574+J574)*(1/Supuestos!$C$20)</f>
        <v>279442721.89441878</v>
      </c>
    </row>
    <row r="575" spans="3:11" x14ac:dyDescent="0.25">
      <c r="C575" s="5" t="str">
        <f>'Informacion del AEP'!$C$152</f>
        <v>Servicios generales y de gestión - red</v>
      </c>
      <c r="D575" s="70">
        <f>INDEX('Informacion del AEP'!$D$138:$AE$158,MATCH('Costos aguas abajo'!$C575,'Informacion del AEP'!$C$138:$C$158,0),MATCH('Costos aguas abajo'!$C$560,'Informacion del AEP'!$D$137:$AE$137,0))</f>
        <v>0</v>
      </c>
      <c r="F575" s="72">
        <f>D575*Supuestos!$C$39</f>
        <v>0</v>
      </c>
      <c r="G575" s="72">
        <f>D575*(1-Supuestos!$C$30)</f>
        <v>0</v>
      </c>
      <c r="I575" s="72">
        <f t="shared" si="35"/>
        <v>0</v>
      </c>
      <c r="J575" s="72">
        <f>G575*Supuestos!$C$20</f>
        <v>0</v>
      </c>
      <c r="K575" s="72">
        <f>(I575+J575)*(1/Supuestos!$C$20)</f>
        <v>0</v>
      </c>
    </row>
    <row r="576" spans="3:11" x14ac:dyDescent="0.25">
      <c r="C576" s="5" t="str">
        <f>'Informacion del AEP'!$C$153</f>
        <v xml:space="preserve">Servicios generales y de gestión - negocio </v>
      </c>
      <c r="D576" s="70">
        <f>INDEX('Informacion del AEP'!$D$138:$AE$158,MATCH('Costos aguas abajo'!$C576,'Informacion del AEP'!$C$138:$C$158,0),MATCH('Costos aguas abajo'!$C$560,'Informacion del AEP'!$D$137:$AE$137,0))</f>
        <v>50000002</v>
      </c>
      <c r="F576" s="72">
        <f>D576*Supuestos!$C$40</f>
        <v>5000000.2</v>
      </c>
      <c r="G576" s="72">
        <f>D576*(1-Supuestos!$C$40)</f>
        <v>45000001.800000004</v>
      </c>
      <c r="I576" s="72">
        <f t="shared" si="35"/>
        <v>5000000.2</v>
      </c>
      <c r="J576" s="72">
        <f>G576*Supuestos!$C$20</f>
        <v>5031153.1506206449</v>
      </c>
      <c r="K576" s="72">
        <f>(I576+J576)*(1/Supuestos!$C$20)</f>
        <v>89721363.138850197</v>
      </c>
    </row>
    <row r="577" spans="3:11" ht="13" x14ac:dyDescent="0.3">
      <c r="C577" s="64" t="s">
        <v>109</v>
      </c>
      <c r="D577" s="218">
        <f>SUM(D578:D581)</f>
        <v>0</v>
      </c>
      <c r="F577" s="218">
        <f>SUM(F578:F581)</f>
        <v>0</v>
      </c>
      <c r="G577" s="218">
        <f>SUM(G578:G581)</f>
        <v>0</v>
      </c>
      <c r="I577" s="218">
        <f>SUM(I578:I581)</f>
        <v>0</v>
      </c>
      <c r="J577" s="218">
        <f>SUM(J578:J581)</f>
        <v>0</v>
      </c>
      <c r="K577" s="218">
        <f>SUM(K578:K581)</f>
        <v>0</v>
      </c>
    </row>
    <row r="578" spans="3:11" x14ac:dyDescent="0.25">
      <c r="C578" s="5" t="str">
        <f>'Informacion del AEP'!$C$154</f>
        <v>Costo del Capital:Servicios generales y de gestión - minoristas</v>
      </c>
      <c r="D578" s="70">
        <f>INDEX('Informacion del AEP'!$D$138:$AE$158,MATCH('Costos aguas abajo'!$C578,'Informacion del AEP'!$C$138:$C$158,0),MATCH('Costos aguas abajo'!$C$560,'Informacion del AEP'!$D$137:$AE$137,0))</f>
        <v>0</v>
      </c>
      <c r="F578" s="72">
        <f>D578*Supuestos!$C$41</f>
        <v>0</v>
      </c>
      <c r="G578" s="72">
        <f>D578*(1-Supuestos!$C$41)</f>
        <v>0</v>
      </c>
      <c r="I578" s="72">
        <f t="shared" ref="I578" si="36">+F578</f>
        <v>0</v>
      </c>
      <c r="J578" s="72">
        <f>G578*Supuestos!$C$20</f>
        <v>0</v>
      </c>
      <c r="K578" s="72">
        <f>(I578+J578)*(1/Supuestos!$C$20)</f>
        <v>0</v>
      </c>
    </row>
    <row r="579" spans="3:11" x14ac:dyDescent="0.25">
      <c r="C579" s="5" t="str">
        <f>'Informacion del AEP'!$C$155</f>
        <v>Costo del Capital:Servicios generales y de gestión - red</v>
      </c>
      <c r="D579" s="70">
        <f>INDEX('Informacion del AEP'!$D$138:$AE$158,MATCH('Costos aguas abajo'!$C579,'Informacion del AEP'!$C$138:$C$158,0),MATCH('Costos aguas abajo'!$C$560,'Informacion del AEP'!$D$137:$AE$137,0))</f>
        <v>0</v>
      </c>
      <c r="F579" s="72">
        <f>D579*Supuestos!$C$42</f>
        <v>0</v>
      </c>
      <c r="G579" s="72">
        <f>D579*(1-Supuestos!$C$42)</f>
        <v>0</v>
      </c>
      <c r="I579" s="72">
        <f>+F579</f>
        <v>0</v>
      </c>
      <c r="J579" s="72">
        <f>G579*Supuestos!$C$20</f>
        <v>0</v>
      </c>
      <c r="K579" s="72">
        <f>(I579+J579)*(1/Supuestos!$C$20)</f>
        <v>0</v>
      </c>
    </row>
    <row r="580" spans="3:11" x14ac:dyDescent="0.25">
      <c r="C580" s="5" t="str">
        <f>'Informacion del AEP'!$C$156</f>
        <v xml:space="preserve">Costo del Capital:Servicios generales y de gestión - negocio </v>
      </c>
      <c r="D580" s="70">
        <f>INDEX('Informacion del AEP'!$D$138:$AE$158,MATCH('Costos aguas abajo'!$C580,'Informacion del AEP'!$C$138:$C$158,0),MATCH('Costos aguas abajo'!$C$560,'Informacion del AEP'!$D$137:$AE$137,0))</f>
        <v>0</v>
      </c>
      <c r="F580" s="72">
        <f>D580*Supuestos!$C$43</f>
        <v>0</v>
      </c>
      <c r="G580" s="72">
        <f>D580*(1-Supuestos!$C$43)</f>
        <v>0</v>
      </c>
      <c r="I580" s="72">
        <f>+F580</f>
        <v>0</v>
      </c>
      <c r="J580" s="72">
        <f>G580*Supuestos!$C$20</f>
        <v>0</v>
      </c>
      <c r="K580" s="72">
        <f>(I580+J580)*(1/Supuestos!$C$20)</f>
        <v>0</v>
      </c>
    </row>
    <row r="581" spans="3:11" x14ac:dyDescent="0.25">
      <c r="C581" s="5" t="str">
        <f>'Informacion del AEP'!$C$157</f>
        <v>Costo del Capital:Equipos terminales</v>
      </c>
      <c r="D581" s="70">
        <f>INDEX('Informacion del AEP'!$D$138:$AE$158,MATCH('Costos aguas abajo'!$C581,'Informacion del AEP'!$C$138:$C$158,0),MATCH('Costos aguas abajo'!$C$560,'Informacion del AEP'!$D$137:$AE$137,0))</f>
        <v>0</v>
      </c>
      <c r="F581" s="72">
        <f>D581*Supuestos!$C$44</f>
        <v>0</v>
      </c>
      <c r="G581" s="72">
        <f>D581*(1-Supuestos!$C$44)</f>
        <v>0</v>
      </c>
      <c r="I581" s="72">
        <f>+F581</f>
        <v>0</v>
      </c>
      <c r="J581" s="72">
        <f>G581*Supuestos!$C$20</f>
        <v>0</v>
      </c>
      <c r="K581" s="72">
        <f>(I581+J581)*(1/Supuestos!$C$20)</f>
        <v>0</v>
      </c>
    </row>
    <row r="583" spans="3:11" ht="13" x14ac:dyDescent="0.3">
      <c r="C583" s="73" t="s">
        <v>42</v>
      </c>
      <c r="D583" s="38" t="str">
        <f>IF(D560='Informacion del AEP'!AB158,"Ok","Error")</f>
        <v>Ok</v>
      </c>
      <c r="I583" s="38" t="str">
        <f>IF(I560=F560,"Ok","Error")</f>
        <v>Ok</v>
      </c>
    </row>
    <row r="585" spans="3:11" ht="13" x14ac:dyDescent="0.3">
      <c r="C585" s="74" t="str">
        <f>Supuestos!B98</f>
        <v>Telcel Pospago 24</v>
      </c>
      <c r="D585" s="75">
        <f>SUM(D586:D602)</f>
        <v>1627433348.3333335</v>
      </c>
      <c r="E585" s="76"/>
      <c r="F585" s="75">
        <f>SUM(F586:F602)</f>
        <v>45365001.199999996</v>
      </c>
      <c r="G585" s="75">
        <f>SUM(G586:G602)</f>
        <v>1582068347.1333334</v>
      </c>
      <c r="H585" s="76"/>
      <c r="I585" s="75">
        <f>SUM(I586:I602)</f>
        <v>45365001.199999996</v>
      </c>
      <c r="J585" s="75">
        <f>SUM(J586:J602)</f>
        <v>176880618.4620434</v>
      </c>
      <c r="K585" s="75">
        <f>SUM(K586:K602)</f>
        <v>1987825253.0635719</v>
      </c>
    </row>
    <row r="586" spans="3:11" x14ac:dyDescent="0.25">
      <c r="C586" s="5" t="str">
        <f>'Informacion del AEP'!$C$138</f>
        <v>Acceso a Internet</v>
      </c>
      <c r="D586" s="70">
        <f>INDEX('Informacion del AEP'!$D$138:$AE$158,MATCH('Costos aguas abajo'!$C586,'Informacion del AEP'!$C$138:$C$158,0),MATCH('Costos aguas abajo'!$C$585,'Informacion del AEP'!$D$137:$AE$137,0))</f>
        <v>0</v>
      </c>
      <c r="F586" s="72">
        <f>D586*Supuestos!$C$25</f>
        <v>0</v>
      </c>
      <c r="G586" s="72">
        <f>D586*(1-Supuestos!$C$25)</f>
        <v>0</v>
      </c>
      <c r="I586" s="72">
        <f>+F586</f>
        <v>0</v>
      </c>
      <c r="J586" s="72">
        <f>G586*Supuestos!$C$20</f>
        <v>0</v>
      </c>
      <c r="K586" s="72">
        <f>(I586+J586)*(1/Supuestos!$C$20)</f>
        <v>0</v>
      </c>
    </row>
    <row r="587" spans="3:11" x14ac:dyDescent="0.25">
      <c r="C587" s="5" t="str">
        <f>'Informacion del AEP'!$C$139</f>
        <v>Servicios OTT de vídeo</v>
      </c>
      <c r="D587" s="70">
        <f>INDEX('Informacion del AEP'!$D$138:$AE$158,MATCH('Costos aguas abajo'!$C587,'Informacion del AEP'!$C$138:$C$158,0),MATCH('Costos aguas abajo'!$C$585,'Informacion del AEP'!$D$137:$AE$137,0))</f>
        <v>26666663.666666701</v>
      </c>
      <c r="F587" s="72">
        <f>D587*Supuestos!$C$26</f>
        <v>0</v>
      </c>
      <c r="G587" s="72">
        <f>D587*(1-Supuestos!$C$26)</f>
        <v>26666663.666666701</v>
      </c>
      <c r="I587" s="72">
        <f>+F587</f>
        <v>0</v>
      </c>
      <c r="J587" s="72">
        <f>G587*Supuestos!$C$20</f>
        <v>2981423.6345895268</v>
      </c>
      <c r="K587" s="72">
        <f>(I587+J587)*(1/Supuestos!$C$20)</f>
        <v>26666663.666666701</v>
      </c>
    </row>
    <row r="588" spans="3:11" x14ac:dyDescent="0.25">
      <c r="C588" s="5" t="str">
        <f>'Informacion del AEP'!$C$140</f>
        <v>Servicios OTT de audio</v>
      </c>
      <c r="D588" s="70">
        <f>INDEX('Informacion del AEP'!$D$138:$AE$158,MATCH('Costos aguas abajo'!$C588,'Informacion del AEP'!$C$138:$C$158,0),MATCH('Costos aguas abajo'!$C$585,'Informacion del AEP'!$D$137:$AE$137,0))</f>
        <v>0</v>
      </c>
      <c r="F588" s="72">
        <f>D588*Supuestos!$C$27</f>
        <v>0</v>
      </c>
      <c r="G588" s="72">
        <f>D588*(1-Supuestos!$C$27)</f>
        <v>0</v>
      </c>
      <c r="I588" s="72">
        <f t="shared" ref="I588:I601" si="37">+F588</f>
        <v>0</v>
      </c>
      <c r="J588" s="72">
        <f>G588*Supuestos!$C$20</f>
        <v>0</v>
      </c>
      <c r="K588" s="72">
        <f>(I588+J588)*(1/Supuestos!$C$20)</f>
        <v>0</v>
      </c>
    </row>
    <row r="589" spans="3:11" x14ac:dyDescent="0.25">
      <c r="C589" s="5" t="str">
        <f>'Informacion del AEP'!$C$141</f>
        <v>Comerciales</v>
      </c>
      <c r="D589" s="70">
        <f>INDEX('Informacion del AEP'!$D$138:$AE$158,MATCH('Costos aguas abajo'!$C589,'Informacion del AEP'!$C$138:$C$158,0),MATCH('Costos aguas abajo'!$C$585,'Informacion del AEP'!$D$137:$AE$137,0))</f>
        <v>300000003</v>
      </c>
      <c r="F589" s="72">
        <f>D589*Supuestos!$C$28</f>
        <v>30000000.300000001</v>
      </c>
      <c r="G589" s="72">
        <f>D589*(1-Supuestos!$C$28)</f>
        <v>270000002.69999999</v>
      </c>
      <c r="I589" s="72">
        <f t="shared" si="37"/>
        <v>30000000.300000001</v>
      </c>
      <c r="J589" s="72">
        <f>G589*Supuestos!$C$20</f>
        <v>30186917.998116337</v>
      </c>
      <c r="K589" s="72">
        <f>(I589+J589)*(1/Supuestos!$C$20)</f>
        <v>538328162.68325639</v>
      </c>
    </row>
    <row r="590" spans="3:11" x14ac:dyDescent="0.25">
      <c r="C590" s="5" t="str">
        <f>'Informacion del AEP'!$C$142</f>
        <v>Facturación</v>
      </c>
      <c r="D590" s="70">
        <f>INDEX('Informacion del AEP'!$D$138:$AE$158,MATCH('Costos aguas abajo'!$C590,'Informacion del AEP'!$C$138:$C$158,0),MATCH('Costos aguas abajo'!$C$585,'Informacion del AEP'!$D$137:$AE$137,0))</f>
        <v>300003</v>
      </c>
      <c r="F590" s="72">
        <f>D590*Supuestos!$C$29</f>
        <v>15000.150000000001</v>
      </c>
      <c r="G590" s="72">
        <f>D590*(1-Supuestos!$C$29)</f>
        <v>285002.84999999998</v>
      </c>
      <c r="I590" s="72">
        <f t="shared" si="37"/>
        <v>15000.150000000001</v>
      </c>
      <c r="J590" s="72">
        <f>G590*Supuestos!$C$20</f>
        <v>31864.287319058792</v>
      </c>
      <c r="K590" s="72">
        <f>(I590+J590)*(1/Supuestos!$C$20)</f>
        <v>419168.27029077389</v>
      </c>
    </row>
    <row r="591" spans="3:11" x14ac:dyDescent="0.25">
      <c r="C591" s="5" t="str">
        <f>'Informacion del AEP'!$C$143</f>
        <v>Cobranza</v>
      </c>
      <c r="D591" s="70">
        <f>INDEX('Informacion del AEP'!$D$138:$AE$158,MATCH('Costos aguas abajo'!$C591,'Informacion del AEP'!$C$138:$C$158,0),MATCH('Costos aguas abajo'!$C$585,'Informacion del AEP'!$D$137:$AE$137,0))</f>
        <v>11666663.6666667</v>
      </c>
      <c r="F591" s="72">
        <f>D591*Supuestos!$C$30</f>
        <v>0</v>
      </c>
      <c r="G591" s="72">
        <f>D591*(1-Supuestos!$C$30)</f>
        <v>11666663.6666667</v>
      </c>
      <c r="I591" s="72">
        <f t="shared" si="37"/>
        <v>0</v>
      </c>
      <c r="J591" s="72">
        <f>G591*Supuestos!$C$20</f>
        <v>1304372.6514646844</v>
      </c>
      <c r="K591" s="72">
        <f>(I591+J591)*(1/Supuestos!$C$20)</f>
        <v>11666663.6666667</v>
      </c>
    </row>
    <row r="592" spans="3:11" x14ac:dyDescent="0.25">
      <c r="C592" s="5" t="str">
        <f>'Informacion del AEP'!$C$144</f>
        <v>Tasas e impuestos</v>
      </c>
      <c r="D592" s="70">
        <f>INDEX('Informacion del AEP'!$D$138:$AE$158,MATCH('Costos aguas abajo'!$C592,'Informacion del AEP'!$C$138:$C$158,0),MATCH('Costos aguas abajo'!$C$585,'Informacion del AEP'!$D$137:$AE$137,0))</f>
        <v>3500003</v>
      </c>
      <c r="F592" s="72">
        <f>D592*Supuestos!$C$31</f>
        <v>350000.30000000005</v>
      </c>
      <c r="G592" s="72">
        <f>D592*(1-Supuestos!$C$31)</f>
        <v>3150002.7</v>
      </c>
      <c r="I592" s="72">
        <f t="shared" si="37"/>
        <v>350000.30000000005</v>
      </c>
      <c r="J592" s="72">
        <f>G592*Supuestos!$C$20</f>
        <v>352181.00832539384</v>
      </c>
      <c r="K592" s="72">
        <f>(I592+J592)*(1/Supuestos!$C$20)</f>
        <v>6280500.551781279</v>
      </c>
    </row>
    <row r="593" spans="3:11" x14ac:dyDescent="0.25">
      <c r="C593" s="5" t="str">
        <f>'Informacion del AEP'!$C$145</f>
        <v>Programas de fidelización</v>
      </c>
      <c r="D593" s="70">
        <f>INDEX('Informacion del AEP'!$D$138:$AE$158,MATCH('Costos aguas abajo'!$C593,'Informacion del AEP'!$C$138:$C$158,0),MATCH('Costos aguas abajo'!$C$585,'Informacion del AEP'!$D$137:$AE$137,0))</f>
        <v>13333333.333333334</v>
      </c>
      <c r="F593" s="72">
        <f>D593*Supuestos!$C$32</f>
        <v>0</v>
      </c>
      <c r="G593" s="72">
        <f>D593*(1-Supuestos!$C$32)</f>
        <v>13333333.333333334</v>
      </c>
      <c r="I593" s="72">
        <f t="shared" si="37"/>
        <v>0</v>
      </c>
      <c r="J593" s="72">
        <f>G593*Supuestos!$C$20</f>
        <v>1490711.9849998599</v>
      </c>
      <c r="K593" s="72">
        <f>(I593+J593)*(1/Supuestos!$C$20)</f>
        <v>13333333.333333336</v>
      </c>
    </row>
    <row r="594" spans="3:11" x14ac:dyDescent="0.25">
      <c r="C594" s="5" t="str">
        <f>'Informacion del AEP'!$C$146</f>
        <v>Acceso internet internacional</v>
      </c>
      <c r="D594" s="70">
        <f>INDEX('Informacion del AEP'!$D$138:$AE$158,MATCH('Costos aguas abajo'!$C594,'Informacion del AEP'!$C$138:$C$158,0),MATCH('Costos aguas abajo'!$C$585,'Informacion del AEP'!$D$137:$AE$137,0))</f>
        <v>3800003</v>
      </c>
      <c r="F594" s="72">
        <f>D594*Supuestos!$C$33</f>
        <v>0</v>
      </c>
      <c r="G594" s="72">
        <f>D594*(1-Supuestos!$C$33)</f>
        <v>3800003</v>
      </c>
      <c r="I594" s="72">
        <f t="shared" si="37"/>
        <v>0</v>
      </c>
      <c r="J594" s="72">
        <f>G594*Supuestos!$C$20</f>
        <v>424853.25113515666</v>
      </c>
      <c r="K594" s="72">
        <f>(I594+J594)*(1/Supuestos!$C$20)</f>
        <v>3800003</v>
      </c>
    </row>
    <row r="595" spans="3:11" x14ac:dyDescent="0.25">
      <c r="C595" s="5" t="str">
        <f>'Informacion del AEP'!$C$147</f>
        <v>Roaming nacional</v>
      </c>
      <c r="D595" s="70">
        <f>INDEX('Informacion del AEP'!$D$138:$AE$158,MATCH('Costos aguas abajo'!$C595,'Informacion del AEP'!$C$138:$C$158,0),MATCH('Costos aguas abajo'!$C$585,'Informacion del AEP'!$D$137:$AE$137,0))</f>
        <v>1500003</v>
      </c>
      <c r="F595" s="72">
        <f>D595*Supuestos!$C$34</f>
        <v>0</v>
      </c>
      <c r="G595" s="72">
        <f>D595*(1-Supuestos!$C$34)</f>
        <v>1500003</v>
      </c>
      <c r="I595" s="72">
        <f t="shared" si="37"/>
        <v>0</v>
      </c>
      <c r="J595" s="72">
        <f>G595*Supuestos!$C$20</f>
        <v>167705.43372268084</v>
      </c>
      <c r="K595" s="72">
        <f>(I595+J595)*(1/Supuestos!$C$20)</f>
        <v>1500003</v>
      </c>
    </row>
    <row r="596" spans="3:11" x14ac:dyDescent="0.25">
      <c r="C596" s="5" t="str">
        <f>'Informacion del AEP'!$C$148</f>
        <v>Roaming internacional</v>
      </c>
      <c r="D596" s="70">
        <f>INDEX('Informacion del AEP'!$D$138:$AE$158,MATCH('Costos aguas abajo'!$C596,'Informacion del AEP'!$C$138:$C$158,0),MATCH('Costos aguas abajo'!$C$585,'Informacion del AEP'!$D$137:$AE$137,0))</f>
        <v>0</v>
      </c>
      <c r="F596" s="72">
        <f>D596*Supuestos!$C$35</f>
        <v>0</v>
      </c>
      <c r="G596" s="72">
        <f>D596*(1-Supuestos!$C$35)</f>
        <v>0</v>
      </c>
      <c r="I596" s="72">
        <f t="shared" si="37"/>
        <v>0</v>
      </c>
      <c r="J596" s="72">
        <f>G596*Supuestos!$C$20</f>
        <v>0</v>
      </c>
      <c r="K596" s="72">
        <f>(I596+J596)*(1/Supuestos!$C$20)</f>
        <v>0</v>
      </c>
    </row>
    <row r="597" spans="3:11" x14ac:dyDescent="0.25">
      <c r="C597" s="5" t="str">
        <f>'Informacion del AEP'!$C$149</f>
        <v>Provisiones</v>
      </c>
      <c r="D597" s="70">
        <f>INDEX('Informacion del AEP'!$D$138:$AE$158,MATCH('Costos aguas abajo'!$C597,'Informacion del AEP'!$C$138:$C$158,0),MATCH('Costos aguas abajo'!$C$585,'Informacion del AEP'!$D$137:$AE$137,0))</f>
        <v>16666663.6666667</v>
      </c>
      <c r="F597" s="72">
        <f>D597*Supuestos!$C$36</f>
        <v>0</v>
      </c>
      <c r="G597" s="72">
        <f>D597*(1-Supuestos!$C$36)</f>
        <v>16666663.6666667</v>
      </c>
      <c r="I597" s="72">
        <f t="shared" si="37"/>
        <v>0</v>
      </c>
      <c r="J597" s="72">
        <f>G597*Supuestos!$C$20</f>
        <v>1863389.6458396318</v>
      </c>
      <c r="K597" s="72">
        <f>(I597+J597)*(1/Supuestos!$C$20)</f>
        <v>16666663.6666667</v>
      </c>
    </row>
    <row r="598" spans="3:11" x14ac:dyDescent="0.25">
      <c r="C598" s="5" t="str">
        <f>'Informacion del AEP'!$C$150</f>
        <v>Costos directos de la venta de terminales</v>
      </c>
      <c r="D598" s="70">
        <f>INDEX('Informacion del AEP'!$D$138:$AE$158,MATCH('Costos aguas abajo'!$C598,'Informacion del AEP'!$C$138:$C$158,0),MATCH('Costos aguas abajo'!$C$585,'Informacion del AEP'!$D$137:$AE$137,0))</f>
        <v>1000000003</v>
      </c>
      <c r="F598" s="72">
        <f>D598*Supuestos!$C$37</f>
        <v>0</v>
      </c>
      <c r="G598" s="72">
        <f>D598*(1-Supuestos!$C$37)</f>
        <v>1000000003</v>
      </c>
      <c r="I598" s="72">
        <f t="shared" si="37"/>
        <v>0</v>
      </c>
      <c r="J598" s="72">
        <f>G598*Supuestos!$C$20</f>
        <v>111803399.21039967</v>
      </c>
      <c r="K598" s="72">
        <f>(I598+J598)*(1/Supuestos!$C$20)</f>
        <v>1000000003</v>
      </c>
    </row>
    <row r="599" spans="3:11" x14ac:dyDescent="0.25">
      <c r="C599" s="5" t="str">
        <f>'Informacion del AEP'!$C$151</f>
        <v>Servicios generales y de gestión - minoristas</v>
      </c>
      <c r="D599" s="70">
        <f>INDEX('Informacion del AEP'!$D$138:$AE$158,MATCH('Costos aguas abajo'!$C599,'Informacion del AEP'!$C$138:$C$158,0),MATCH('Costos aguas abajo'!$C$585,'Informacion del AEP'!$D$137:$AE$137,0))</f>
        <v>200000003</v>
      </c>
      <c r="F599" s="72">
        <f>D599*Supuestos!$C$38</f>
        <v>10000000.15</v>
      </c>
      <c r="G599" s="72">
        <f>D599*(1-Supuestos!$C$38)</f>
        <v>190000002.84999999</v>
      </c>
      <c r="I599" s="72">
        <f t="shared" si="37"/>
        <v>10000000.15</v>
      </c>
      <c r="J599" s="72">
        <f>G599*Supuestos!$C$20</f>
        <v>21242646.104887687</v>
      </c>
      <c r="K599" s="72">
        <f>(I599+J599)*(1/Supuestos!$C$20)</f>
        <v>279442723.29163235</v>
      </c>
    </row>
    <row r="600" spans="3:11" x14ac:dyDescent="0.25">
      <c r="C600" s="5" t="str">
        <f>'Informacion del AEP'!$C$152</f>
        <v>Servicios generales y de gestión - red</v>
      </c>
      <c r="D600" s="70">
        <f>INDEX('Informacion del AEP'!$D$138:$AE$158,MATCH('Costos aguas abajo'!$C600,'Informacion del AEP'!$C$138:$C$158,0),MATCH('Costos aguas abajo'!$C$585,'Informacion del AEP'!$D$137:$AE$137,0))</f>
        <v>0</v>
      </c>
      <c r="F600" s="72">
        <f>D600*Supuestos!$C$39</f>
        <v>0</v>
      </c>
      <c r="G600" s="72">
        <f>D600*(1-Supuestos!$C$30)</f>
        <v>0</v>
      </c>
      <c r="I600" s="72">
        <f t="shared" si="37"/>
        <v>0</v>
      </c>
      <c r="J600" s="72">
        <f>G600*Supuestos!$C$20</f>
        <v>0</v>
      </c>
      <c r="K600" s="72">
        <f>(I600+J600)*(1/Supuestos!$C$20)</f>
        <v>0</v>
      </c>
    </row>
    <row r="601" spans="3:11" x14ac:dyDescent="0.25">
      <c r="C601" s="5" t="str">
        <f>'Informacion del AEP'!$C$153</f>
        <v xml:space="preserve">Servicios generales y de gestión - negocio </v>
      </c>
      <c r="D601" s="70">
        <f>INDEX('Informacion del AEP'!$D$138:$AE$158,MATCH('Costos aguas abajo'!$C601,'Informacion del AEP'!$C$138:$C$158,0),MATCH('Costos aguas abajo'!$C$585,'Informacion del AEP'!$D$137:$AE$137,0))</f>
        <v>50000003</v>
      </c>
      <c r="F601" s="72">
        <f>D601*Supuestos!$C$40</f>
        <v>5000000.3</v>
      </c>
      <c r="G601" s="72">
        <f>D601*(1-Supuestos!$C$40)</f>
        <v>45000002.700000003</v>
      </c>
      <c r="I601" s="72">
        <f t="shared" si="37"/>
        <v>5000000.3</v>
      </c>
      <c r="J601" s="72">
        <f>G601*Supuestos!$C$20</f>
        <v>5031153.251243704</v>
      </c>
      <c r="K601" s="72">
        <f>(I601+J601)*(1/Supuestos!$C$20)</f>
        <v>89721364.933277369</v>
      </c>
    </row>
    <row r="602" spans="3:11" ht="13" x14ac:dyDescent="0.3">
      <c r="C602" s="64" t="s">
        <v>109</v>
      </c>
      <c r="D602" s="218">
        <f>SUM(D603:D606)</f>
        <v>0</v>
      </c>
      <c r="F602" s="218">
        <f>SUM(F603:F606)</f>
        <v>0</v>
      </c>
      <c r="G602" s="218">
        <f>SUM(G603:G606)</f>
        <v>0</v>
      </c>
      <c r="I602" s="218">
        <f>SUM(I603:I606)</f>
        <v>0</v>
      </c>
      <c r="J602" s="218">
        <f>SUM(J603:J606)</f>
        <v>0</v>
      </c>
      <c r="K602" s="218">
        <f>SUM(K603:K606)</f>
        <v>0</v>
      </c>
    </row>
    <row r="603" spans="3:11" x14ac:dyDescent="0.25">
      <c r="C603" s="5" t="str">
        <f>'Informacion del AEP'!$C$154</f>
        <v>Costo del Capital:Servicios generales y de gestión - minoristas</v>
      </c>
      <c r="D603" s="70">
        <f>INDEX('Informacion del AEP'!$D$138:$AE$158,MATCH('Costos aguas abajo'!$C603,'Informacion del AEP'!$C$138:$C$158,0),MATCH('Costos aguas abajo'!$C$585,'Informacion del AEP'!$D$137:$AE$137,0))</f>
        <v>0</v>
      </c>
      <c r="F603" s="72">
        <f>D603*Supuestos!$C$41</f>
        <v>0</v>
      </c>
      <c r="G603" s="72">
        <f>D603*(1-Supuestos!$C$41)</f>
        <v>0</v>
      </c>
      <c r="I603" s="72">
        <f t="shared" ref="I603" si="38">+F603</f>
        <v>0</v>
      </c>
      <c r="J603" s="72">
        <f>G603*Supuestos!$C$20</f>
        <v>0</v>
      </c>
      <c r="K603" s="72">
        <f>(I603+J603)*(1/Supuestos!$C$20)</f>
        <v>0</v>
      </c>
    </row>
    <row r="604" spans="3:11" x14ac:dyDescent="0.25">
      <c r="C604" s="5" t="str">
        <f>'Informacion del AEP'!$C$155</f>
        <v>Costo del Capital:Servicios generales y de gestión - red</v>
      </c>
      <c r="D604" s="70">
        <f>INDEX('Informacion del AEP'!$D$138:$AE$158,MATCH('Costos aguas abajo'!$C604,'Informacion del AEP'!$C$138:$C$158,0),MATCH('Costos aguas abajo'!$C$585,'Informacion del AEP'!$D$137:$AE$137,0))</f>
        <v>0</v>
      </c>
      <c r="F604" s="72">
        <f>D604*Supuestos!$C$42</f>
        <v>0</v>
      </c>
      <c r="G604" s="72">
        <f>D604*(1-Supuestos!$C$42)</f>
        <v>0</v>
      </c>
      <c r="I604" s="72">
        <f>+F604</f>
        <v>0</v>
      </c>
      <c r="J604" s="72">
        <f>G604*Supuestos!$C$20</f>
        <v>0</v>
      </c>
      <c r="K604" s="72">
        <f>(I604+J604)*(1/Supuestos!$C$20)</f>
        <v>0</v>
      </c>
    </row>
    <row r="605" spans="3:11" x14ac:dyDescent="0.25">
      <c r="C605" s="5" t="str">
        <f>'Informacion del AEP'!$C$156</f>
        <v xml:space="preserve">Costo del Capital:Servicios generales y de gestión - negocio </v>
      </c>
      <c r="D605" s="70">
        <f>INDEX('Informacion del AEP'!$D$138:$AE$158,MATCH('Costos aguas abajo'!$C605,'Informacion del AEP'!$C$138:$C$158,0),MATCH('Costos aguas abajo'!$C$585,'Informacion del AEP'!$D$137:$AE$137,0))</f>
        <v>0</v>
      </c>
      <c r="F605" s="72">
        <f>D605*Supuestos!$C$43</f>
        <v>0</v>
      </c>
      <c r="G605" s="72">
        <f>D605*(1-Supuestos!$C$43)</f>
        <v>0</v>
      </c>
      <c r="I605" s="72">
        <f>+F605</f>
        <v>0</v>
      </c>
      <c r="J605" s="72">
        <f>G605*Supuestos!$C$20</f>
        <v>0</v>
      </c>
      <c r="K605" s="72">
        <f>(I605+J605)*(1/Supuestos!$C$20)</f>
        <v>0</v>
      </c>
    </row>
    <row r="606" spans="3:11" x14ac:dyDescent="0.25">
      <c r="C606" s="5" t="str">
        <f>'Informacion del AEP'!$C$157</f>
        <v>Costo del Capital:Equipos terminales</v>
      </c>
      <c r="D606" s="70">
        <f>INDEX('Informacion del AEP'!$D$138:$AE$158,MATCH('Costos aguas abajo'!$C606,'Informacion del AEP'!$C$138:$C$158,0),MATCH('Costos aguas abajo'!$C$585,'Informacion del AEP'!$D$137:$AE$137,0))</f>
        <v>0</v>
      </c>
      <c r="F606" s="72">
        <f>D606*Supuestos!$C$44</f>
        <v>0</v>
      </c>
      <c r="G606" s="72">
        <f>D606*(1-Supuestos!$C$44)</f>
        <v>0</v>
      </c>
      <c r="I606" s="72">
        <f>+F606</f>
        <v>0</v>
      </c>
      <c r="J606" s="72">
        <f>G606*Supuestos!$C$20</f>
        <v>0</v>
      </c>
      <c r="K606" s="72">
        <f>(I606+J606)*(1/Supuestos!$C$20)</f>
        <v>0</v>
      </c>
    </row>
    <row r="608" spans="3:11" ht="13" x14ac:dyDescent="0.3">
      <c r="C608" s="73" t="s">
        <v>42</v>
      </c>
      <c r="D608" s="38" t="str">
        <f>IF(D585='Informacion del AEP'!AC158,"Ok","Error")</f>
        <v>Ok</v>
      </c>
      <c r="I608" s="38" t="str">
        <f>IF(I585=F585,"Ok","Error")</f>
        <v>Ok</v>
      </c>
    </row>
    <row r="610" spans="3:11" ht="13" x14ac:dyDescent="0.3">
      <c r="C610" s="74" t="str">
        <f>Supuestos!B99</f>
        <v>Telcel Pospago 25</v>
      </c>
      <c r="D610" s="75">
        <f>SUM(D611:D627)</f>
        <v>1627433360.3333335</v>
      </c>
      <c r="E610" s="76"/>
      <c r="F610" s="75">
        <f>SUM(F611:F627)</f>
        <v>45365001.600000001</v>
      </c>
      <c r="G610" s="75">
        <f>SUM(G611:G627)</f>
        <v>1582068358.7333333</v>
      </c>
      <c r="H610" s="76"/>
      <c r="I610" s="75">
        <f>SUM(I611:I627)</f>
        <v>45365001.600000001</v>
      </c>
      <c r="J610" s="75">
        <f>SUM(J611:J627)</f>
        <v>176880619.75896281</v>
      </c>
      <c r="K610" s="75">
        <f>SUM(K611:K627)</f>
        <v>1987825268.2412806</v>
      </c>
    </row>
    <row r="611" spans="3:11" x14ac:dyDescent="0.25">
      <c r="C611" s="5" t="str">
        <f>'Informacion del AEP'!$C$138</f>
        <v>Acceso a Internet</v>
      </c>
      <c r="D611" s="70">
        <f>INDEX('Informacion del AEP'!$D$138:$AE$158,MATCH('Costos aguas abajo'!$C611,'Informacion del AEP'!$C$138:$C$158,0),MATCH('Costos aguas abajo'!$C$610,'Informacion del AEP'!$D$137:$AE$137,0))</f>
        <v>0</v>
      </c>
      <c r="F611" s="72">
        <f>D611*Supuestos!$C$25</f>
        <v>0</v>
      </c>
      <c r="G611" s="72">
        <f>D611*(1-Supuestos!$C$25)</f>
        <v>0</v>
      </c>
      <c r="I611" s="72">
        <f>+F611</f>
        <v>0</v>
      </c>
      <c r="J611" s="72">
        <f>G611*Supuestos!$C$20</f>
        <v>0</v>
      </c>
      <c r="K611" s="72">
        <f>(I611+J611)*(1/Supuestos!$C$20)</f>
        <v>0</v>
      </c>
    </row>
    <row r="612" spans="3:11" x14ac:dyDescent="0.25">
      <c r="C612" s="5" t="str">
        <f>'Informacion del AEP'!$C$139</f>
        <v>Servicios OTT de vídeo</v>
      </c>
      <c r="D612" s="70">
        <f>INDEX('Informacion del AEP'!$D$138:$AE$158,MATCH('Costos aguas abajo'!$C612,'Informacion del AEP'!$C$138:$C$158,0),MATCH('Costos aguas abajo'!$C$610,'Informacion del AEP'!$D$137:$AE$137,0))</f>
        <v>26666664.666666701</v>
      </c>
      <c r="F612" s="72">
        <f>D612*Supuestos!$C$26</f>
        <v>0</v>
      </c>
      <c r="G612" s="72">
        <f>D612*(1-Supuestos!$C$26)</f>
        <v>26666664.666666701</v>
      </c>
      <c r="I612" s="72">
        <f>+F612</f>
        <v>0</v>
      </c>
      <c r="J612" s="72">
        <f>G612*Supuestos!$C$20</f>
        <v>2981423.7463929257</v>
      </c>
      <c r="K612" s="72">
        <f>(I612+J612)*(1/Supuestos!$C$20)</f>
        <v>26666664.666666701</v>
      </c>
    </row>
    <row r="613" spans="3:11" x14ac:dyDescent="0.25">
      <c r="C613" s="5" t="str">
        <f>'Informacion del AEP'!$C$140</f>
        <v>Servicios OTT de audio</v>
      </c>
      <c r="D613" s="70">
        <f>INDEX('Informacion del AEP'!$D$138:$AE$158,MATCH('Costos aguas abajo'!$C613,'Informacion del AEP'!$C$138:$C$158,0),MATCH('Costos aguas abajo'!$C$610,'Informacion del AEP'!$D$137:$AE$137,0))</f>
        <v>0</v>
      </c>
      <c r="F613" s="72">
        <f>D613*Supuestos!$C$27</f>
        <v>0</v>
      </c>
      <c r="G613" s="72">
        <f>D613*(1-Supuestos!$C$27)</f>
        <v>0</v>
      </c>
      <c r="I613" s="72">
        <f t="shared" ref="I613:I626" si="39">+F613</f>
        <v>0</v>
      </c>
      <c r="J613" s="72">
        <f>G613*Supuestos!$C$20</f>
        <v>0</v>
      </c>
      <c r="K613" s="72">
        <f>(I613+J613)*(1/Supuestos!$C$20)</f>
        <v>0</v>
      </c>
    </row>
    <row r="614" spans="3:11" x14ac:dyDescent="0.25">
      <c r="C614" s="5" t="str">
        <f>'Informacion del AEP'!$C$141</f>
        <v>Comerciales</v>
      </c>
      <c r="D614" s="70">
        <f>INDEX('Informacion del AEP'!$D$138:$AE$158,MATCH('Costos aguas abajo'!$C614,'Informacion del AEP'!$C$138:$C$158,0),MATCH('Costos aguas abajo'!$C$610,'Informacion del AEP'!$D$137:$AE$137,0))</f>
        <v>300000004</v>
      </c>
      <c r="F614" s="72">
        <f>D614*Supuestos!$C$28</f>
        <v>30000000.400000002</v>
      </c>
      <c r="G614" s="72">
        <f>D614*(1-Supuestos!$C$28)</f>
        <v>270000003.60000002</v>
      </c>
      <c r="I614" s="72">
        <f t="shared" si="39"/>
        <v>30000000.400000002</v>
      </c>
      <c r="J614" s="72">
        <f>G614*Supuestos!$C$20</f>
        <v>30186918.098739401</v>
      </c>
      <c r="K614" s="72">
        <f>(I614+J614)*(1/Supuestos!$C$20)</f>
        <v>538328164.47768366</v>
      </c>
    </row>
    <row r="615" spans="3:11" x14ac:dyDescent="0.25">
      <c r="C615" s="5" t="str">
        <f>'Informacion del AEP'!$C$142</f>
        <v>Facturación</v>
      </c>
      <c r="D615" s="70">
        <f>INDEX('Informacion del AEP'!$D$138:$AE$158,MATCH('Costos aguas abajo'!$C615,'Informacion del AEP'!$C$138:$C$158,0),MATCH('Costos aguas abajo'!$C$610,'Informacion del AEP'!$D$137:$AE$137,0))</f>
        <v>300004</v>
      </c>
      <c r="F615" s="72">
        <f>D615*Supuestos!$C$29</f>
        <v>15000.2</v>
      </c>
      <c r="G615" s="72">
        <f>D615*(1-Supuestos!$C$29)</f>
        <v>285003.8</v>
      </c>
      <c r="I615" s="72">
        <f t="shared" si="39"/>
        <v>15000.2</v>
      </c>
      <c r="J615" s="72">
        <f>G615*Supuestos!$C$20</f>
        <v>31864.393532287726</v>
      </c>
      <c r="K615" s="72">
        <f>(I615+J615)*(1/Supuestos!$C$20)</f>
        <v>419169.6675043694</v>
      </c>
    </row>
    <row r="616" spans="3:11" x14ac:dyDescent="0.25">
      <c r="C616" s="5" t="str">
        <f>'Informacion del AEP'!$C$143</f>
        <v>Cobranza</v>
      </c>
      <c r="D616" s="70">
        <f>INDEX('Informacion del AEP'!$D$138:$AE$158,MATCH('Costos aguas abajo'!$C616,'Informacion del AEP'!$C$138:$C$158,0),MATCH('Costos aguas abajo'!$C$610,'Informacion del AEP'!$D$137:$AE$137,0))</f>
        <v>11666664.6666667</v>
      </c>
      <c r="F616" s="72">
        <f>D616*Supuestos!$C$30</f>
        <v>0</v>
      </c>
      <c r="G616" s="72">
        <f>D616*(1-Supuestos!$C$30)</f>
        <v>11666664.6666667</v>
      </c>
      <c r="I616" s="72">
        <f t="shared" si="39"/>
        <v>0</v>
      </c>
      <c r="J616" s="72">
        <f>G616*Supuestos!$C$20</f>
        <v>1304372.7632680833</v>
      </c>
      <c r="K616" s="72">
        <f>(I616+J616)*(1/Supuestos!$C$20)</f>
        <v>11666664.666666701</v>
      </c>
    </row>
    <row r="617" spans="3:11" x14ac:dyDescent="0.25">
      <c r="C617" s="5" t="str">
        <f>'Informacion del AEP'!$C$144</f>
        <v>Tasas e impuestos</v>
      </c>
      <c r="D617" s="70">
        <f>INDEX('Informacion del AEP'!$D$138:$AE$158,MATCH('Costos aguas abajo'!$C617,'Informacion del AEP'!$C$138:$C$158,0),MATCH('Costos aguas abajo'!$C$610,'Informacion del AEP'!$D$137:$AE$137,0))</f>
        <v>3500004</v>
      </c>
      <c r="F617" s="72">
        <f>D617*Supuestos!$C$31</f>
        <v>350000.4</v>
      </c>
      <c r="G617" s="72">
        <f>D617*(1-Supuestos!$C$31)</f>
        <v>3150003.6</v>
      </c>
      <c r="I617" s="72">
        <f t="shared" si="39"/>
        <v>350000.4</v>
      </c>
      <c r="J617" s="72">
        <f>G617*Supuestos!$C$20</f>
        <v>352181.10894845281</v>
      </c>
      <c r="K617" s="72">
        <f>(I617+J617)*(1/Supuestos!$C$20)</f>
        <v>6280502.346208469</v>
      </c>
    </row>
    <row r="618" spans="3:11" x14ac:dyDescent="0.25">
      <c r="C618" s="5" t="str">
        <f>'Informacion del AEP'!$C$145</f>
        <v>Programas de fidelización</v>
      </c>
      <c r="D618" s="70">
        <f>INDEX('Informacion del AEP'!$D$138:$AE$158,MATCH('Costos aguas abajo'!$C618,'Informacion del AEP'!$C$138:$C$158,0),MATCH('Costos aguas abajo'!$C$610,'Informacion del AEP'!$D$137:$AE$137,0))</f>
        <v>13333334.3333333</v>
      </c>
      <c r="F618" s="72">
        <f>D618*Supuestos!$C$32</f>
        <v>0</v>
      </c>
      <c r="G618" s="72">
        <f>D618*(1-Supuestos!$C$32)</f>
        <v>13333334.3333333</v>
      </c>
      <c r="I618" s="72">
        <f t="shared" si="39"/>
        <v>0</v>
      </c>
      <c r="J618" s="72">
        <f>G618*Supuestos!$C$20</f>
        <v>1490712.0968032549</v>
      </c>
      <c r="K618" s="72">
        <f>(I618+J618)*(1/Supuestos!$C$20)</f>
        <v>13333334.3333333</v>
      </c>
    </row>
    <row r="619" spans="3:11" x14ac:dyDescent="0.25">
      <c r="C619" s="5" t="str">
        <f>'Informacion del AEP'!$C$146</f>
        <v>Acceso internet internacional</v>
      </c>
      <c r="D619" s="70">
        <f>INDEX('Informacion del AEP'!$D$138:$AE$158,MATCH('Costos aguas abajo'!$C619,'Informacion del AEP'!$C$138:$C$158,0),MATCH('Costos aguas abajo'!$C$610,'Informacion del AEP'!$D$137:$AE$137,0))</f>
        <v>3800004</v>
      </c>
      <c r="F619" s="72">
        <f>D619*Supuestos!$C$33</f>
        <v>0</v>
      </c>
      <c r="G619" s="72">
        <f>D619*(1-Supuestos!$C$33)</f>
        <v>3800004</v>
      </c>
      <c r="I619" s="72">
        <f t="shared" si="39"/>
        <v>0</v>
      </c>
      <c r="J619" s="72">
        <f>G619*Supuestos!$C$20</f>
        <v>424853.36293855554</v>
      </c>
      <c r="K619" s="72">
        <f>(I619+J619)*(1/Supuestos!$C$20)</f>
        <v>3800004</v>
      </c>
    </row>
    <row r="620" spans="3:11" x14ac:dyDescent="0.25">
      <c r="C620" s="5" t="str">
        <f>'Informacion del AEP'!$C$147</f>
        <v>Roaming nacional</v>
      </c>
      <c r="D620" s="70">
        <f>INDEX('Informacion del AEP'!$D$138:$AE$158,MATCH('Costos aguas abajo'!$C620,'Informacion del AEP'!$C$138:$C$158,0),MATCH('Costos aguas abajo'!$C$610,'Informacion del AEP'!$D$137:$AE$137,0))</f>
        <v>1500004</v>
      </c>
      <c r="F620" s="72">
        <f>D620*Supuestos!$C$34</f>
        <v>0</v>
      </c>
      <c r="G620" s="72">
        <f>D620*(1-Supuestos!$C$34)</f>
        <v>1500004</v>
      </c>
      <c r="I620" s="72">
        <f t="shared" si="39"/>
        <v>0</v>
      </c>
      <c r="J620" s="72">
        <f>G620*Supuestos!$C$20</f>
        <v>167705.54552607972</v>
      </c>
      <c r="K620" s="72">
        <f>(I620+J620)*(1/Supuestos!$C$20)</f>
        <v>1500004</v>
      </c>
    </row>
    <row r="621" spans="3:11" x14ac:dyDescent="0.25">
      <c r="C621" s="5" t="str">
        <f>'Informacion del AEP'!$C$148</f>
        <v>Roaming internacional</v>
      </c>
      <c r="D621" s="70">
        <f>INDEX('Informacion del AEP'!$D$138:$AE$158,MATCH('Costos aguas abajo'!$C621,'Informacion del AEP'!$C$138:$C$158,0),MATCH('Costos aguas abajo'!$C$610,'Informacion del AEP'!$D$137:$AE$137,0))</f>
        <v>0</v>
      </c>
      <c r="F621" s="72">
        <f>D621*Supuestos!$C$35</f>
        <v>0</v>
      </c>
      <c r="G621" s="72">
        <f>D621*(1-Supuestos!$C$35)</f>
        <v>0</v>
      </c>
      <c r="I621" s="72">
        <f t="shared" si="39"/>
        <v>0</v>
      </c>
      <c r="J621" s="72">
        <f>G621*Supuestos!$C$20</f>
        <v>0</v>
      </c>
      <c r="K621" s="72">
        <f>(I621+J621)*(1/Supuestos!$C$20)</f>
        <v>0</v>
      </c>
    </row>
    <row r="622" spans="3:11" x14ac:dyDescent="0.25">
      <c r="C622" s="5" t="str">
        <f>'Informacion del AEP'!$C$149</f>
        <v>Provisiones</v>
      </c>
      <c r="D622" s="70">
        <f>INDEX('Informacion del AEP'!$D$138:$AE$158,MATCH('Costos aguas abajo'!$C622,'Informacion del AEP'!$C$138:$C$158,0),MATCH('Costos aguas abajo'!$C$610,'Informacion del AEP'!$D$137:$AE$137,0))</f>
        <v>16666664.6666667</v>
      </c>
      <c r="F622" s="72">
        <f>D622*Supuestos!$C$36</f>
        <v>0</v>
      </c>
      <c r="G622" s="72">
        <f>D622*(1-Supuestos!$C$36)</f>
        <v>16666664.6666667</v>
      </c>
      <c r="I622" s="72">
        <f t="shared" si="39"/>
        <v>0</v>
      </c>
      <c r="J622" s="72">
        <f>G622*Supuestos!$C$20</f>
        <v>1863389.7576430307</v>
      </c>
      <c r="K622" s="72">
        <f>(I622+J622)*(1/Supuestos!$C$20)</f>
        <v>16666664.666666701</v>
      </c>
    </row>
    <row r="623" spans="3:11" x14ac:dyDescent="0.25">
      <c r="C623" s="5" t="str">
        <f>'Informacion del AEP'!$C$150</f>
        <v>Costos directos de la venta de terminales</v>
      </c>
      <c r="D623" s="70">
        <f>INDEX('Informacion del AEP'!$D$138:$AE$158,MATCH('Costos aguas abajo'!$C623,'Informacion del AEP'!$C$138:$C$158,0),MATCH('Costos aguas abajo'!$C$610,'Informacion del AEP'!$D$137:$AE$137,0))</f>
        <v>1000000004</v>
      </c>
      <c r="F623" s="72">
        <f>D623*Supuestos!$C$37</f>
        <v>0</v>
      </c>
      <c r="G623" s="72">
        <f>D623*(1-Supuestos!$C$37)</f>
        <v>1000000004</v>
      </c>
      <c r="I623" s="72">
        <f t="shared" si="39"/>
        <v>0</v>
      </c>
      <c r="J623" s="72">
        <f>G623*Supuestos!$C$20</f>
        <v>111803399.32220308</v>
      </c>
      <c r="K623" s="72">
        <f>(I623+J623)*(1/Supuestos!$C$20)</f>
        <v>1000000004.0000001</v>
      </c>
    </row>
    <row r="624" spans="3:11" x14ac:dyDescent="0.25">
      <c r="C624" s="5" t="str">
        <f>'Informacion del AEP'!$C$151</f>
        <v>Servicios generales y de gestión - minoristas</v>
      </c>
      <c r="D624" s="70">
        <f>INDEX('Informacion del AEP'!$D$138:$AE$158,MATCH('Costos aguas abajo'!$C624,'Informacion del AEP'!$C$138:$C$158,0),MATCH('Costos aguas abajo'!$C$610,'Informacion del AEP'!$D$137:$AE$137,0))</f>
        <v>200000004</v>
      </c>
      <c r="F624" s="72">
        <f>D624*Supuestos!$C$38</f>
        <v>10000000.200000001</v>
      </c>
      <c r="G624" s="72">
        <f>D624*(1-Supuestos!$C$38)</f>
        <v>190000003.79999998</v>
      </c>
      <c r="I624" s="72">
        <f t="shared" si="39"/>
        <v>10000000.200000001</v>
      </c>
      <c r="J624" s="72">
        <f>G624*Supuestos!$C$20</f>
        <v>21242646.211100914</v>
      </c>
      <c r="K624" s="72">
        <f>(I624+J624)*(1/Supuestos!$C$20)</f>
        <v>279442724.68884599</v>
      </c>
    </row>
    <row r="625" spans="3:11" x14ac:dyDescent="0.25">
      <c r="C625" s="5" t="str">
        <f>'Informacion del AEP'!$C$152</f>
        <v>Servicios generales y de gestión - red</v>
      </c>
      <c r="D625" s="70">
        <f>INDEX('Informacion del AEP'!$D$138:$AE$158,MATCH('Costos aguas abajo'!$C625,'Informacion del AEP'!$C$138:$C$158,0),MATCH('Costos aguas abajo'!$C$610,'Informacion del AEP'!$D$137:$AE$137,0))</f>
        <v>0</v>
      </c>
      <c r="F625" s="72">
        <f>D625*Supuestos!$C$39</f>
        <v>0</v>
      </c>
      <c r="G625" s="72">
        <f>D625*(1-Supuestos!$C$30)</f>
        <v>0</v>
      </c>
      <c r="I625" s="72">
        <f t="shared" si="39"/>
        <v>0</v>
      </c>
      <c r="J625" s="72">
        <f>G625*Supuestos!$C$20</f>
        <v>0</v>
      </c>
      <c r="K625" s="72">
        <f>(I625+J625)*(1/Supuestos!$C$20)</f>
        <v>0</v>
      </c>
    </row>
    <row r="626" spans="3:11" x14ac:dyDescent="0.25">
      <c r="C626" s="5" t="str">
        <f>'Informacion del AEP'!$C$153</f>
        <v xml:space="preserve">Servicios generales y de gestión - negocio </v>
      </c>
      <c r="D626" s="70">
        <f>INDEX('Informacion del AEP'!$D$138:$AE$158,MATCH('Costos aguas abajo'!$C626,'Informacion del AEP'!$C$138:$C$158,0),MATCH('Costos aguas abajo'!$C$610,'Informacion del AEP'!$D$137:$AE$137,0))</f>
        <v>50000004</v>
      </c>
      <c r="F626" s="72">
        <f>D626*Supuestos!$C$40</f>
        <v>5000000.4000000004</v>
      </c>
      <c r="G626" s="72">
        <f>D626*(1-Supuestos!$C$40)</f>
        <v>45000003.600000001</v>
      </c>
      <c r="I626" s="72">
        <f t="shared" si="39"/>
        <v>5000000.4000000004</v>
      </c>
      <c r="J626" s="72">
        <f>G626*Supuestos!$C$20</f>
        <v>5031153.3518667631</v>
      </c>
      <c r="K626" s="72">
        <f>(I626+J626)*(1/Supuestos!$C$20)</f>
        <v>89721366.72770457</v>
      </c>
    </row>
    <row r="627" spans="3:11" ht="13" x14ac:dyDescent="0.3">
      <c r="C627" s="64" t="s">
        <v>109</v>
      </c>
      <c r="D627" s="218">
        <f>SUM(D628:D631)</f>
        <v>0</v>
      </c>
      <c r="F627" s="218">
        <f>SUM(F628:F631)</f>
        <v>0</v>
      </c>
      <c r="G627" s="218">
        <f>SUM(G628:G631)</f>
        <v>0</v>
      </c>
      <c r="I627" s="218">
        <f>SUM(I628:I631)</f>
        <v>0</v>
      </c>
      <c r="J627" s="218">
        <f>SUM(J628:J631)</f>
        <v>0</v>
      </c>
      <c r="K627" s="218">
        <f>SUM(K628:K631)</f>
        <v>0</v>
      </c>
    </row>
    <row r="628" spans="3:11" x14ac:dyDescent="0.25">
      <c r="C628" s="5" t="str">
        <f>'Informacion del AEP'!$C$154</f>
        <v>Costo del Capital:Servicios generales y de gestión - minoristas</v>
      </c>
      <c r="D628" s="70">
        <f>INDEX('Informacion del AEP'!$D$138:$AE$158,MATCH('Costos aguas abajo'!$C628,'Informacion del AEP'!$C$138:$C$158,0),MATCH('Costos aguas abajo'!$C$610,'Informacion del AEP'!$D$137:$AE$137,0))</f>
        <v>0</v>
      </c>
      <c r="F628" s="72">
        <f>D628*Supuestos!$C$41</f>
        <v>0</v>
      </c>
      <c r="G628" s="72">
        <f>D628*(1-Supuestos!$C$41)</f>
        <v>0</v>
      </c>
      <c r="I628" s="72">
        <f t="shared" ref="I628" si="40">+F628</f>
        <v>0</v>
      </c>
      <c r="J628" s="72">
        <f>G628*Supuestos!$C$20</f>
        <v>0</v>
      </c>
      <c r="K628" s="72">
        <f>(I628+J628)*(1/Supuestos!$C$20)</f>
        <v>0</v>
      </c>
    </row>
    <row r="629" spans="3:11" x14ac:dyDescent="0.25">
      <c r="C629" s="5" t="str">
        <f>'Informacion del AEP'!$C$155</f>
        <v>Costo del Capital:Servicios generales y de gestión - red</v>
      </c>
      <c r="D629" s="70">
        <f>INDEX('Informacion del AEP'!$D$138:$AE$158,MATCH('Costos aguas abajo'!$C629,'Informacion del AEP'!$C$138:$C$158,0),MATCH('Costos aguas abajo'!$C$610,'Informacion del AEP'!$D$137:$AE$137,0))</f>
        <v>0</v>
      </c>
      <c r="F629" s="72">
        <f>D629*Supuestos!$C$42</f>
        <v>0</v>
      </c>
      <c r="G629" s="72">
        <f>D629*(1-Supuestos!$C$42)</f>
        <v>0</v>
      </c>
      <c r="I629" s="72">
        <f>+F629</f>
        <v>0</v>
      </c>
      <c r="J629" s="72">
        <f>G629*Supuestos!$C$20</f>
        <v>0</v>
      </c>
      <c r="K629" s="72">
        <f>(I629+J629)*(1/Supuestos!$C$20)</f>
        <v>0</v>
      </c>
    </row>
    <row r="630" spans="3:11" x14ac:dyDescent="0.25">
      <c r="C630" s="5" t="str">
        <f>'Informacion del AEP'!$C$156</f>
        <v xml:space="preserve">Costo del Capital:Servicios generales y de gestión - negocio </v>
      </c>
      <c r="D630" s="70">
        <f>INDEX('Informacion del AEP'!$D$138:$AE$158,MATCH('Costos aguas abajo'!$C630,'Informacion del AEP'!$C$138:$C$158,0),MATCH('Costos aguas abajo'!$C$610,'Informacion del AEP'!$D$137:$AE$137,0))</f>
        <v>0</v>
      </c>
      <c r="F630" s="72">
        <f>D630*Supuestos!$C$43</f>
        <v>0</v>
      </c>
      <c r="G630" s="72">
        <f>D630*(1-Supuestos!$C$43)</f>
        <v>0</v>
      </c>
      <c r="I630" s="72">
        <f>+F630</f>
        <v>0</v>
      </c>
      <c r="J630" s="72">
        <f>G630*Supuestos!$C$20</f>
        <v>0</v>
      </c>
      <c r="K630" s="72">
        <f>(I630+J630)*(1/Supuestos!$C$20)</f>
        <v>0</v>
      </c>
    </row>
    <row r="631" spans="3:11" x14ac:dyDescent="0.25">
      <c r="C631" s="5" t="str">
        <f>'Informacion del AEP'!$C$157</f>
        <v>Costo del Capital:Equipos terminales</v>
      </c>
      <c r="D631" s="70">
        <f>INDEX('Informacion del AEP'!$D$138:$AE$158,MATCH('Costos aguas abajo'!$C631,'Informacion del AEP'!$C$138:$C$158,0),MATCH('Costos aguas abajo'!$C$610,'Informacion del AEP'!$D$137:$AE$137,0))</f>
        <v>0</v>
      </c>
      <c r="F631" s="72">
        <f>D631*Supuestos!$C$44</f>
        <v>0</v>
      </c>
      <c r="G631" s="72">
        <f>D631*(1-Supuestos!$C$44)</f>
        <v>0</v>
      </c>
      <c r="I631" s="72">
        <f>+F631</f>
        <v>0</v>
      </c>
      <c r="J631" s="72">
        <f>G631*Supuestos!$C$20</f>
        <v>0</v>
      </c>
      <c r="K631" s="72">
        <f>(I631+J631)*(1/Supuestos!$C$20)</f>
        <v>0</v>
      </c>
    </row>
    <row r="633" spans="3:11" ht="13" x14ac:dyDescent="0.3">
      <c r="C633" s="73" t="s">
        <v>42</v>
      </c>
      <c r="D633" s="38" t="str">
        <f>IF(D610='Informacion del AEP'!AD158,"Ok","Error")</f>
        <v>Ok</v>
      </c>
      <c r="I633" s="38" t="str">
        <f>IF(I610=F610,"Ok","Error")</f>
        <v>Ok</v>
      </c>
    </row>
    <row r="635" spans="3:11" ht="13" x14ac:dyDescent="0.3">
      <c r="C635" s="74" t="str">
        <f>Supuestos!B100</f>
        <v>Telcel Pospago 26</v>
      </c>
      <c r="D635" s="75">
        <f>SUM(D636:D652)</f>
        <v>1627433372.3333335</v>
      </c>
      <c r="E635" s="76"/>
      <c r="F635" s="75">
        <f>SUM(F636:F652)</f>
        <v>45365002</v>
      </c>
      <c r="G635" s="75">
        <f>SUM(G636:G652)</f>
        <v>1582068370.3333335</v>
      </c>
      <c r="H635" s="76"/>
      <c r="I635" s="75">
        <f>SUM(I636:I652)</f>
        <v>45365002</v>
      </c>
      <c r="J635" s="75">
        <f>SUM(J636:J652)</f>
        <v>176880621.05588225</v>
      </c>
      <c r="K635" s="75">
        <f>SUM(K636:K652)</f>
        <v>1987825283.4189892</v>
      </c>
    </row>
    <row r="636" spans="3:11" x14ac:dyDescent="0.25">
      <c r="C636" s="5" t="str">
        <f>'Informacion del AEP'!$C$138</f>
        <v>Acceso a Internet</v>
      </c>
      <c r="D636" s="70">
        <f>INDEX('Informacion del AEP'!$D$138:$AE$158,MATCH('Costos aguas abajo'!$C636,'Informacion del AEP'!$C$138:$C$158,0),MATCH('Costos aguas abajo'!$C$635,'Informacion del AEP'!$D$137:$AE$137,0))</f>
        <v>0</v>
      </c>
      <c r="F636" s="72">
        <f>D636*Supuestos!$C$25</f>
        <v>0</v>
      </c>
      <c r="G636" s="72">
        <f>D636*(1-Supuestos!$C$25)</f>
        <v>0</v>
      </c>
      <c r="I636" s="72">
        <f>+F636</f>
        <v>0</v>
      </c>
      <c r="J636" s="72">
        <f>G636*Supuestos!$C$20</f>
        <v>0</v>
      </c>
      <c r="K636" s="72">
        <f>(I636+J636)*(1/Supuestos!$C$20)</f>
        <v>0</v>
      </c>
    </row>
    <row r="637" spans="3:11" x14ac:dyDescent="0.25">
      <c r="C637" s="5" t="str">
        <f>'Informacion del AEP'!$C$139</f>
        <v>Servicios OTT de vídeo</v>
      </c>
      <c r="D637" s="70">
        <f>INDEX('Informacion del AEP'!$D$138:$AE$158,MATCH('Costos aguas abajo'!$C637,'Informacion del AEP'!$C$138:$C$158,0),MATCH('Costos aguas abajo'!$C$635,'Informacion del AEP'!$D$137:$AE$137,0))</f>
        <v>26666665.666666701</v>
      </c>
      <c r="F637" s="72">
        <f>D637*Supuestos!$C$26</f>
        <v>0</v>
      </c>
      <c r="G637" s="72">
        <f>D637*(1-Supuestos!$C$26)</f>
        <v>26666665.666666701</v>
      </c>
      <c r="I637" s="72">
        <f>+F637</f>
        <v>0</v>
      </c>
      <c r="J637" s="72">
        <f>G637*Supuestos!$C$20</f>
        <v>2981423.8581963247</v>
      </c>
      <c r="K637" s="72">
        <f>(I637+J637)*(1/Supuestos!$C$20)</f>
        <v>26666665.666666701</v>
      </c>
    </row>
    <row r="638" spans="3:11" x14ac:dyDescent="0.25">
      <c r="C638" s="5" t="str">
        <f>'Informacion del AEP'!$C$140</f>
        <v>Servicios OTT de audio</v>
      </c>
      <c r="D638" s="70">
        <f>INDEX('Informacion del AEP'!$D$138:$AE$158,MATCH('Costos aguas abajo'!$C638,'Informacion del AEP'!$C$138:$C$158,0),MATCH('Costos aguas abajo'!$C$635,'Informacion del AEP'!$D$137:$AE$137,0))</f>
        <v>0</v>
      </c>
      <c r="F638" s="72">
        <f>D638*Supuestos!$C$27</f>
        <v>0</v>
      </c>
      <c r="G638" s="72">
        <f>D638*(1-Supuestos!$C$27)</f>
        <v>0</v>
      </c>
      <c r="I638" s="72">
        <f t="shared" ref="I638:I651" si="41">+F638</f>
        <v>0</v>
      </c>
      <c r="J638" s="72">
        <f>G638*Supuestos!$C$20</f>
        <v>0</v>
      </c>
      <c r="K638" s="72">
        <f>(I638+J638)*(1/Supuestos!$C$20)</f>
        <v>0</v>
      </c>
    </row>
    <row r="639" spans="3:11" x14ac:dyDescent="0.25">
      <c r="C639" s="5" t="str">
        <f>'Informacion del AEP'!$C$141</f>
        <v>Comerciales</v>
      </c>
      <c r="D639" s="70">
        <f>INDEX('Informacion del AEP'!$D$138:$AE$158,MATCH('Costos aguas abajo'!$C639,'Informacion del AEP'!$C$138:$C$158,0),MATCH('Costos aguas abajo'!$C$635,'Informacion del AEP'!$D$137:$AE$137,0))</f>
        <v>300000005</v>
      </c>
      <c r="F639" s="72">
        <f>D639*Supuestos!$C$28</f>
        <v>30000000.5</v>
      </c>
      <c r="G639" s="72">
        <f>D639*(1-Supuestos!$C$28)</f>
        <v>270000004.5</v>
      </c>
      <c r="I639" s="72">
        <f t="shared" si="41"/>
        <v>30000000.5</v>
      </c>
      <c r="J639" s="72">
        <f>G639*Supuestos!$C$20</f>
        <v>30186918.199362457</v>
      </c>
      <c r="K639" s="72">
        <f>(I639+J639)*(1/Supuestos!$C$20)</f>
        <v>538328166.2721107</v>
      </c>
    </row>
    <row r="640" spans="3:11" x14ac:dyDescent="0.25">
      <c r="C640" s="5" t="str">
        <f>'Informacion del AEP'!$C$142</f>
        <v>Facturación</v>
      </c>
      <c r="D640" s="70">
        <f>INDEX('Informacion del AEP'!$D$138:$AE$158,MATCH('Costos aguas abajo'!$C640,'Informacion del AEP'!$C$138:$C$158,0),MATCH('Costos aguas abajo'!$C$635,'Informacion del AEP'!$D$137:$AE$137,0))</f>
        <v>300005</v>
      </c>
      <c r="F640" s="72">
        <f>D640*Supuestos!$C$29</f>
        <v>15000.25</v>
      </c>
      <c r="G640" s="72">
        <f>D640*(1-Supuestos!$C$29)</f>
        <v>285004.75</v>
      </c>
      <c r="I640" s="72">
        <f t="shared" si="41"/>
        <v>15000.25</v>
      </c>
      <c r="J640" s="72">
        <f>G640*Supuestos!$C$20</f>
        <v>31864.499745516659</v>
      </c>
      <c r="K640" s="72">
        <f>(I640+J640)*(1/Supuestos!$C$20)</f>
        <v>419171.06471796491</v>
      </c>
    </row>
    <row r="641" spans="3:11" x14ac:dyDescent="0.25">
      <c r="C641" s="5" t="str">
        <f>'Informacion del AEP'!$C$143</f>
        <v>Cobranza</v>
      </c>
      <c r="D641" s="70">
        <f>INDEX('Informacion del AEP'!$D$138:$AE$158,MATCH('Costos aguas abajo'!$C641,'Informacion del AEP'!$C$138:$C$158,0),MATCH('Costos aguas abajo'!$C$635,'Informacion del AEP'!$D$137:$AE$137,0))</f>
        <v>11666665.6666667</v>
      </c>
      <c r="F641" s="72">
        <f>D641*Supuestos!$C$30</f>
        <v>0</v>
      </c>
      <c r="G641" s="72">
        <f>D641*(1-Supuestos!$C$30)</f>
        <v>11666665.6666667</v>
      </c>
      <c r="I641" s="72">
        <f t="shared" si="41"/>
        <v>0</v>
      </c>
      <c r="J641" s="72">
        <f>G641*Supuestos!$C$20</f>
        <v>1304372.875071482</v>
      </c>
      <c r="K641" s="72">
        <f>(I641+J641)*(1/Supuestos!$C$20)</f>
        <v>11666665.6666667</v>
      </c>
    </row>
    <row r="642" spans="3:11" x14ac:dyDescent="0.25">
      <c r="C642" s="5" t="str">
        <f>'Informacion del AEP'!$C$144</f>
        <v>Tasas e impuestos</v>
      </c>
      <c r="D642" s="70">
        <f>INDEX('Informacion del AEP'!$D$138:$AE$158,MATCH('Costos aguas abajo'!$C642,'Informacion del AEP'!$C$138:$C$158,0),MATCH('Costos aguas abajo'!$C$635,'Informacion del AEP'!$D$137:$AE$137,0))</f>
        <v>3500005</v>
      </c>
      <c r="F642" s="72">
        <f>D642*Supuestos!$C$31</f>
        <v>350000.5</v>
      </c>
      <c r="G642" s="72">
        <f>D642*(1-Supuestos!$C$31)</f>
        <v>3150004.5</v>
      </c>
      <c r="I642" s="72">
        <f t="shared" si="41"/>
        <v>350000.5</v>
      </c>
      <c r="J642" s="72">
        <f>G642*Supuestos!$C$20</f>
        <v>352181.20957151183</v>
      </c>
      <c r="K642" s="72">
        <f>(I642+J642)*(1/Supuestos!$C$20)</f>
        <v>6280504.1406356608</v>
      </c>
    </row>
    <row r="643" spans="3:11" x14ac:dyDescent="0.25">
      <c r="C643" s="5" t="str">
        <f>'Informacion del AEP'!$C$145</f>
        <v>Programas de fidelización</v>
      </c>
      <c r="D643" s="70">
        <f>INDEX('Informacion del AEP'!$D$138:$AE$158,MATCH('Costos aguas abajo'!$C643,'Informacion del AEP'!$C$138:$C$158,0),MATCH('Costos aguas abajo'!$C$635,'Informacion del AEP'!$D$137:$AE$137,0))</f>
        <v>13333335.3333333</v>
      </c>
      <c r="F643" s="72">
        <f>D643*Supuestos!$C$32</f>
        <v>0</v>
      </c>
      <c r="G643" s="72">
        <f>D643*(1-Supuestos!$C$32)</f>
        <v>13333335.3333333</v>
      </c>
      <c r="I643" s="72">
        <f t="shared" si="41"/>
        <v>0</v>
      </c>
      <c r="J643" s="72">
        <f>G643*Supuestos!$C$20</f>
        <v>1490712.2086066538</v>
      </c>
      <c r="K643" s="72">
        <f>(I643+J643)*(1/Supuestos!$C$20)</f>
        <v>13333335.3333333</v>
      </c>
    </row>
    <row r="644" spans="3:11" x14ac:dyDescent="0.25">
      <c r="C644" s="5" t="str">
        <f>'Informacion del AEP'!$C$146</f>
        <v>Acceso internet internacional</v>
      </c>
      <c r="D644" s="70">
        <f>INDEX('Informacion del AEP'!$D$138:$AE$158,MATCH('Costos aguas abajo'!$C644,'Informacion del AEP'!$C$138:$C$158,0),MATCH('Costos aguas abajo'!$C$635,'Informacion del AEP'!$D$137:$AE$137,0))</f>
        <v>3800005</v>
      </c>
      <c r="F644" s="72">
        <f>D644*Supuestos!$C$33</f>
        <v>0</v>
      </c>
      <c r="G644" s="72">
        <f>D644*(1-Supuestos!$C$33)</f>
        <v>3800005</v>
      </c>
      <c r="I644" s="72">
        <f t="shared" si="41"/>
        <v>0</v>
      </c>
      <c r="J644" s="72">
        <f>G644*Supuestos!$C$20</f>
        <v>424853.47474195441</v>
      </c>
      <c r="K644" s="72">
        <f>(I644+J644)*(1/Supuestos!$C$20)</f>
        <v>3800005</v>
      </c>
    </row>
    <row r="645" spans="3:11" x14ac:dyDescent="0.25">
      <c r="C645" s="5" t="str">
        <f>'Informacion del AEP'!$C$147</f>
        <v>Roaming nacional</v>
      </c>
      <c r="D645" s="70">
        <f>INDEX('Informacion del AEP'!$D$138:$AE$158,MATCH('Costos aguas abajo'!$C645,'Informacion del AEP'!$C$138:$C$158,0),MATCH('Costos aguas abajo'!$C$635,'Informacion del AEP'!$D$137:$AE$137,0))</f>
        <v>1500005</v>
      </c>
      <c r="F645" s="72">
        <f>D645*Supuestos!$C$34</f>
        <v>0</v>
      </c>
      <c r="G645" s="72">
        <f>D645*(1-Supuestos!$C$34)</f>
        <v>1500005</v>
      </c>
      <c r="I645" s="72">
        <f t="shared" si="41"/>
        <v>0</v>
      </c>
      <c r="J645" s="72">
        <f>G645*Supuestos!$C$20</f>
        <v>167705.65732947859</v>
      </c>
      <c r="K645" s="72">
        <f>(I645+J645)*(1/Supuestos!$C$20)</f>
        <v>1500005</v>
      </c>
    </row>
    <row r="646" spans="3:11" x14ac:dyDescent="0.25">
      <c r="C646" s="5" t="str">
        <f>'Informacion del AEP'!$C$148</f>
        <v>Roaming internacional</v>
      </c>
      <c r="D646" s="70">
        <f>INDEX('Informacion del AEP'!$D$138:$AE$158,MATCH('Costos aguas abajo'!$C646,'Informacion del AEP'!$C$138:$C$158,0),MATCH('Costos aguas abajo'!$C$635,'Informacion del AEP'!$D$137:$AE$137,0))</f>
        <v>0</v>
      </c>
      <c r="F646" s="72">
        <f>D646*Supuestos!$C$35</f>
        <v>0</v>
      </c>
      <c r="G646" s="72">
        <f>D646*(1-Supuestos!$C$35)</f>
        <v>0</v>
      </c>
      <c r="I646" s="72">
        <f t="shared" si="41"/>
        <v>0</v>
      </c>
      <c r="J646" s="72">
        <f>G646*Supuestos!$C$20</f>
        <v>0</v>
      </c>
      <c r="K646" s="72">
        <f>(I646+J646)*(1/Supuestos!$C$20)</f>
        <v>0</v>
      </c>
    </row>
    <row r="647" spans="3:11" x14ac:dyDescent="0.25">
      <c r="C647" s="5" t="str">
        <f>'Informacion del AEP'!$C$149</f>
        <v>Provisiones</v>
      </c>
      <c r="D647" s="70">
        <f>INDEX('Informacion del AEP'!$D$138:$AE$158,MATCH('Costos aguas abajo'!$C647,'Informacion del AEP'!$C$138:$C$158,0),MATCH('Costos aguas abajo'!$C$635,'Informacion del AEP'!$D$137:$AE$137,0))</f>
        <v>16666665.6666667</v>
      </c>
      <c r="F647" s="72">
        <f>D647*Supuestos!$C$36</f>
        <v>0</v>
      </c>
      <c r="G647" s="72">
        <f>D647*(1-Supuestos!$C$36)</f>
        <v>16666665.6666667</v>
      </c>
      <c r="I647" s="72">
        <f t="shared" si="41"/>
        <v>0</v>
      </c>
      <c r="J647" s="72">
        <f>G647*Supuestos!$C$20</f>
        <v>1863389.8694464294</v>
      </c>
      <c r="K647" s="72">
        <f>(I647+J647)*(1/Supuestos!$C$20)</f>
        <v>16666665.6666667</v>
      </c>
    </row>
    <row r="648" spans="3:11" x14ac:dyDescent="0.25">
      <c r="C648" s="5" t="str">
        <f>'Informacion del AEP'!$C$150</f>
        <v>Costos directos de la venta de terminales</v>
      </c>
      <c r="D648" s="70">
        <f>INDEX('Informacion del AEP'!$D$138:$AE$158,MATCH('Costos aguas abajo'!$C648,'Informacion del AEP'!$C$138:$C$158,0),MATCH('Costos aguas abajo'!$C$635,'Informacion del AEP'!$D$137:$AE$137,0))</f>
        <v>1000000005</v>
      </c>
      <c r="F648" s="72">
        <f>D648*Supuestos!$C$37</f>
        <v>0</v>
      </c>
      <c r="G648" s="72">
        <f>D648*(1-Supuestos!$C$37)</f>
        <v>1000000005</v>
      </c>
      <c r="I648" s="72">
        <f t="shared" si="41"/>
        <v>0</v>
      </c>
      <c r="J648" s="72">
        <f>G648*Supuestos!$C$20</f>
        <v>111803399.43400648</v>
      </c>
      <c r="K648" s="72">
        <f>(I648+J648)*(1/Supuestos!$C$20)</f>
        <v>1000000005.0000001</v>
      </c>
    </row>
    <row r="649" spans="3:11" x14ac:dyDescent="0.25">
      <c r="C649" s="5" t="str">
        <f>'Informacion del AEP'!$C$151</f>
        <v>Servicios generales y de gestión - minoristas</v>
      </c>
      <c r="D649" s="70">
        <f>INDEX('Informacion del AEP'!$D$138:$AE$158,MATCH('Costos aguas abajo'!$C649,'Informacion del AEP'!$C$138:$C$158,0),MATCH('Costos aguas abajo'!$C$635,'Informacion del AEP'!$D$137:$AE$137,0))</f>
        <v>200000005</v>
      </c>
      <c r="F649" s="72">
        <f>D649*Supuestos!$C$38</f>
        <v>10000000.25</v>
      </c>
      <c r="G649" s="72">
        <f>D649*(1-Supuestos!$C$38)</f>
        <v>190000004.75</v>
      </c>
      <c r="I649" s="72">
        <f t="shared" si="41"/>
        <v>10000000.25</v>
      </c>
      <c r="J649" s="72">
        <f>G649*Supuestos!$C$20</f>
        <v>21242646.317314148</v>
      </c>
      <c r="K649" s="72">
        <f>(I649+J649)*(1/Supuestos!$C$20)</f>
        <v>279442726.08605957</v>
      </c>
    </row>
    <row r="650" spans="3:11" x14ac:dyDescent="0.25">
      <c r="C650" s="5" t="str">
        <f>'Informacion del AEP'!$C$152</f>
        <v>Servicios generales y de gestión - red</v>
      </c>
      <c r="D650" s="70">
        <f>INDEX('Informacion del AEP'!$D$138:$AE$158,MATCH('Costos aguas abajo'!$C650,'Informacion del AEP'!$C$138:$C$158,0),MATCH('Costos aguas abajo'!$C$635,'Informacion del AEP'!$D$137:$AE$137,0))</f>
        <v>0</v>
      </c>
      <c r="F650" s="72">
        <f>D650*Supuestos!$C$39</f>
        <v>0</v>
      </c>
      <c r="G650" s="72">
        <f>D650*(1-Supuestos!$C$30)</f>
        <v>0</v>
      </c>
      <c r="I650" s="72">
        <f t="shared" si="41"/>
        <v>0</v>
      </c>
      <c r="J650" s="72">
        <f>G650*Supuestos!$C$20</f>
        <v>0</v>
      </c>
      <c r="K650" s="72">
        <f>(I650+J650)*(1/Supuestos!$C$20)</f>
        <v>0</v>
      </c>
    </row>
    <row r="651" spans="3:11" x14ac:dyDescent="0.25">
      <c r="C651" s="5" t="str">
        <f>'Informacion del AEP'!$C$153</f>
        <v xml:space="preserve">Servicios generales y de gestión - negocio </v>
      </c>
      <c r="D651" s="70">
        <f>INDEX('Informacion del AEP'!$D$138:$AE$158,MATCH('Costos aguas abajo'!$C651,'Informacion del AEP'!$C$138:$C$158,0),MATCH('Costos aguas abajo'!$C$635,'Informacion del AEP'!$D$137:$AE$137,0))</f>
        <v>50000005</v>
      </c>
      <c r="F651" s="72">
        <f>D651*Supuestos!$C$40</f>
        <v>5000000.5</v>
      </c>
      <c r="G651" s="72">
        <f>D651*(1-Supuestos!$C$40)</f>
        <v>45000004.5</v>
      </c>
      <c r="I651" s="72">
        <f t="shared" si="41"/>
        <v>5000000.5</v>
      </c>
      <c r="J651" s="72">
        <f>G651*Supuestos!$C$20</f>
        <v>5031153.4524898212</v>
      </c>
      <c r="K651" s="72">
        <f>(I651+J651)*(1/Supuestos!$C$20)</f>
        <v>89721368.522131756</v>
      </c>
    </row>
    <row r="652" spans="3:11" ht="13" x14ac:dyDescent="0.3">
      <c r="C652" s="64" t="s">
        <v>109</v>
      </c>
      <c r="D652" s="218">
        <f>SUM(D653:D656)</f>
        <v>0</v>
      </c>
      <c r="F652" s="218">
        <f>SUM(F653:F656)</f>
        <v>0</v>
      </c>
      <c r="G652" s="218">
        <f>SUM(G653:G656)</f>
        <v>0</v>
      </c>
      <c r="I652" s="218">
        <f>SUM(I653:I656)</f>
        <v>0</v>
      </c>
      <c r="J652" s="218">
        <f>SUM(J653:J656)</f>
        <v>0</v>
      </c>
      <c r="K652" s="218">
        <f>SUM(K653:K656)</f>
        <v>0</v>
      </c>
    </row>
    <row r="653" spans="3:11" x14ac:dyDescent="0.25">
      <c r="C653" s="5" t="str">
        <f>'Informacion del AEP'!$C$154</f>
        <v>Costo del Capital:Servicios generales y de gestión - minoristas</v>
      </c>
      <c r="D653" s="70">
        <f>INDEX('Informacion del AEP'!$D$138:$AE$158,MATCH('Costos aguas abajo'!$C653,'Informacion del AEP'!$C$138:$C$158,0),MATCH('Costos aguas abajo'!$C$635,'Informacion del AEP'!$D$137:$AE$137,0))</f>
        <v>0</v>
      </c>
      <c r="F653" s="72">
        <f>D653*Supuestos!$C$41</f>
        <v>0</v>
      </c>
      <c r="G653" s="72">
        <f>D653*(1-Supuestos!$C$41)</f>
        <v>0</v>
      </c>
      <c r="I653" s="72">
        <f t="shared" ref="I653" si="42">+F653</f>
        <v>0</v>
      </c>
      <c r="J653" s="72">
        <f>G653*Supuestos!$C$20</f>
        <v>0</v>
      </c>
      <c r="K653" s="72">
        <f>(I653+J653)*(1/Supuestos!$C$20)</f>
        <v>0</v>
      </c>
    </row>
    <row r="654" spans="3:11" x14ac:dyDescent="0.25">
      <c r="C654" s="5" t="str">
        <f>'Informacion del AEP'!$C$155</f>
        <v>Costo del Capital:Servicios generales y de gestión - red</v>
      </c>
      <c r="D654" s="70">
        <f>INDEX('Informacion del AEP'!$D$138:$AE$158,MATCH('Costos aguas abajo'!$C654,'Informacion del AEP'!$C$138:$C$158,0),MATCH('Costos aguas abajo'!$C$635,'Informacion del AEP'!$D$137:$AE$137,0))</f>
        <v>0</v>
      </c>
      <c r="F654" s="72">
        <f>D654*Supuestos!$C$42</f>
        <v>0</v>
      </c>
      <c r="G654" s="72">
        <f>D654*(1-Supuestos!$C$42)</f>
        <v>0</v>
      </c>
      <c r="I654" s="72">
        <f>+F654</f>
        <v>0</v>
      </c>
      <c r="J654" s="72">
        <f>G654*Supuestos!$C$20</f>
        <v>0</v>
      </c>
      <c r="K654" s="72">
        <f>(I654+J654)*(1/Supuestos!$C$20)</f>
        <v>0</v>
      </c>
    </row>
    <row r="655" spans="3:11" x14ac:dyDescent="0.25">
      <c r="C655" s="5" t="str">
        <f>'Informacion del AEP'!$C$156</f>
        <v xml:space="preserve">Costo del Capital:Servicios generales y de gestión - negocio </v>
      </c>
      <c r="D655" s="70">
        <f>INDEX('Informacion del AEP'!$D$138:$AE$158,MATCH('Costos aguas abajo'!$C655,'Informacion del AEP'!$C$138:$C$158,0),MATCH('Costos aguas abajo'!$C$635,'Informacion del AEP'!$D$137:$AE$137,0))</f>
        <v>0</v>
      </c>
      <c r="F655" s="72">
        <f>D655*Supuestos!$C$43</f>
        <v>0</v>
      </c>
      <c r="G655" s="72">
        <f>D655*(1-Supuestos!$C$43)</f>
        <v>0</v>
      </c>
      <c r="I655" s="72">
        <f>+F655</f>
        <v>0</v>
      </c>
      <c r="J655" s="72">
        <f>G655*Supuestos!$C$20</f>
        <v>0</v>
      </c>
      <c r="K655" s="72">
        <f>(I655+J655)*(1/Supuestos!$C$20)</f>
        <v>0</v>
      </c>
    </row>
    <row r="656" spans="3:11" x14ac:dyDescent="0.25">
      <c r="C656" s="5" t="str">
        <f>'Informacion del AEP'!$C$157</f>
        <v>Costo del Capital:Equipos terminales</v>
      </c>
      <c r="D656" s="70">
        <f>INDEX('Informacion del AEP'!$D$138:$AE$158,MATCH('Costos aguas abajo'!$C656,'Informacion del AEP'!$C$138:$C$158,0),MATCH('Costos aguas abajo'!$C$635,'Informacion del AEP'!$D$137:$AE$137,0))</f>
        <v>0</v>
      </c>
      <c r="F656" s="72">
        <f>D656*Supuestos!$C$44</f>
        <v>0</v>
      </c>
      <c r="G656" s="72">
        <f>D656*(1-Supuestos!$C$44)</f>
        <v>0</v>
      </c>
      <c r="I656" s="72">
        <f>+F656</f>
        <v>0</v>
      </c>
      <c r="J656" s="72">
        <f>G656*Supuestos!$C$20</f>
        <v>0</v>
      </c>
      <c r="K656" s="72">
        <f>(I656+J656)*(1/Supuestos!$C$20)</f>
        <v>0</v>
      </c>
    </row>
    <row r="658" spans="3:9" ht="13" x14ac:dyDescent="0.3">
      <c r="C658" s="73" t="s">
        <v>42</v>
      </c>
      <c r="D658" s="38" t="str">
        <f>IF(D635='Informacion del AEP'!AE158,"Ok","Error")</f>
        <v>Ok</v>
      </c>
      <c r="I658" s="38" t="str">
        <f>IF(I635=F635,"Ok","Error")</f>
        <v>Ok</v>
      </c>
    </row>
  </sheetData>
  <mergeCells count="3">
    <mergeCell ref="D8:G8"/>
    <mergeCell ref="I8:K8"/>
    <mergeCell ref="M4:S8"/>
  </mergeCells>
  <conditionalFormatting sqref="D33">
    <cfRule type="expression" dxfId="209" priority="156">
      <formula>"Ok"</formula>
    </cfRule>
    <cfRule type="containsText" dxfId="208" priority="155" operator="containsText" text="Ok">
      <formula>NOT(ISERROR(SEARCH("Ok",D33)))</formula>
    </cfRule>
    <cfRule type="containsText" dxfId="207" priority="154" operator="containsText" text="Error">
      <formula>NOT(ISERROR(SEARCH("Error",D33)))</formula>
    </cfRule>
  </conditionalFormatting>
  <conditionalFormatting sqref="D58">
    <cfRule type="expression" dxfId="206" priority="153">
      <formula>"Ok"</formula>
    </cfRule>
    <cfRule type="containsText" dxfId="205" priority="152" operator="containsText" text="Ok">
      <formula>NOT(ISERROR(SEARCH("Ok",D58)))</formula>
    </cfRule>
    <cfRule type="containsText" dxfId="204" priority="151" operator="containsText" text="Error">
      <formula>NOT(ISERROR(SEARCH("Error",D58)))</formula>
    </cfRule>
  </conditionalFormatting>
  <conditionalFormatting sqref="D83">
    <cfRule type="expression" dxfId="203" priority="150">
      <formula>"Ok"</formula>
    </cfRule>
    <cfRule type="containsText" dxfId="202" priority="149" operator="containsText" text="Ok">
      <formula>NOT(ISERROR(SEARCH("Ok",D83)))</formula>
    </cfRule>
    <cfRule type="containsText" dxfId="201" priority="148" operator="containsText" text="Error">
      <formula>NOT(ISERROR(SEARCH("Error",D83)))</formula>
    </cfRule>
  </conditionalFormatting>
  <conditionalFormatting sqref="D108">
    <cfRule type="containsText" dxfId="200" priority="145" operator="containsText" text="Error">
      <formula>NOT(ISERROR(SEARCH("Error",D108)))</formula>
    </cfRule>
    <cfRule type="containsText" dxfId="199" priority="146" operator="containsText" text="Ok">
      <formula>NOT(ISERROR(SEARCH("Ok",D108)))</formula>
    </cfRule>
    <cfRule type="expression" dxfId="198" priority="147">
      <formula>"Ok"</formula>
    </cfRule>
  </conditionalFormatting>
  <conditionalFormatting sqref="D133">
    <cfRule type="containsText" dxfId="197" priority="142" operator="containsText" text="Error">
      <formula>NOT(ISERROR(SEARCH("Error",D133)))</formula>
    </cfRule>
    <cfRule type="containsText" dxfId="196" priority="143" operator="containsText" text="Ok">
      <formula>NOT(ISERROR(SEARCH("Ok",D133)))</formula>
    </cfRule>
    <cfRule type="expression" dxfId="195" priority="144">
      <formula>"Ok"</formula>
    </cfRule>
  </conditionalFormatting>
  <conditionalFormatting sqref="D158">
    <cfRule type="containsText" dxfId="194" priority="139" operator="containsText" text="Error">
      <formula>NOT(ISERROR(SEARCH("Error",D158)))</formula>
    </cfRule>
    <cfRule type="containsText" dxfId="193" priority="140" operator="containsText" text="Ok">
      <formula>NOT(ISERROR(SEARCH("Ok",D158)))</formula>
    </cfRule>
    <cfRule type="expression" dxfId="192" priority="141">
      <formula>"Ok"</formula>
    </cfRule>
  </conditionalFormatting>
  <conditionalFormatting sqref="D183">
    <cfRule type="containsText" dxfId="191" priority="101" operator="containsText" text="Ok">
      <formula>NOT(ISERROR(SEARCH("Ok",D183)))</formula>
    </cfRule>
    <cfRule type="containsText" dxfId="190" priority="100" operator="containsText" text="Error">
      <formula>NOT(ISERROR(SEARCH("Error",D183)))</formula>
    </cfRule>
    <cfRule type="expression" dxfId="189" priority="102">
      <formula>"Ok"</formula>
    </cfRule>
  </conditionalFormatting>
  <conditionalFormatting sqref="D208">
    <cfRule type="containsText" dxfId="188" priority="95" operator="containsText" text="Ok">
      <formula>NOT(ISERROR(SEARCH("Ok",D208)))</formula>
    </cfRule>
    <cfRule type="expression" dxfId="187" priority="96">
      <formula>"Ok"</formula>
    </cfRule>
    <cfRule type="containsText" dxfId="186" priority="94" operator="containsText" text="Error">
      <formula>NOT(ISERROR(SEARCH("Error",D208)))</formula>
    </cfRule>
  </conditionalFormatting>
  <conditionalFormatting sqref="D233">
    <cfRule type="expression" dxfId="185" priority="90">
      <formula>"Ok"</formula>
    </cfRule>
    <cfRule type="containsText" dxfId="184" priority="89" operator="containsText" text="Ok">
      <formula>NOT(ISERROR(SEARCH("Ok",D233)))</formula>
    </cfRule>
    <cfRule type="containsText" dxfId="183" priority="88" operator="containsText" text="Error">
      <formula>NOT(ISERROR(SEARCH("Error",D233)))</formula>
    </cfRule>
  </conditionalFormatting>
  <conditionalFormatting sqref="D258">
    <cfRule type="containsText" dxfId="182" priority="82" operator="containsText" text="Error">
      <formula>NOT(ISERROR(SEARCH("Error",D258)))</formula>
    </cfRule>
    <cfRule type="containsText" dxfId="181" priority="83" operator="containsText" text="Ok">
      <formula>NOT(ISERROR(SEARCH("Ok",D258)))</formula>
    </cfRule>
    <cfRule type="expression" dxfId="180" priority="84">
      <formula>"Ok"</formula>
    </cfRule>
  </conditionalFormatting>
  <conditionalFormatting sqref="D283">
    <cfRule type="containsText" dxfId="179" priority="77" operator="containsText" text="Ok">
      <formula>NOT(ISERROR(SEARCH("Ok",D283)))</formula>
    </cfRule>
    <cfRule type="containsText" dxfId="178" priority="76" operator="containsText" text="Error">
      <formula>NOT(ISERROR(SEARCH("Error",D283)))</formula>
    </cfRule>
    <cfRule type="expression" dxfId="177" priority="78">
      <formula>"Ok"</formula>
    </cfRule>
  </conditionalFormatting>
  <conditionalFormatting sqref="D308">
    <cfRule type="expression" dxfId="176" priority="138">
      <formula>"Ok"</formula>
    </cfRule>
    <cfRule type="containsText" dxfId="175" priority="137" operator="containsText" text="Ok">
      <formula>NOT(ISERROR(SEARCH("Ok",D308)))</formula>
    </cfRule>
    <cfRule type="containsText" dxfId="174" priority="136" operator="containsText" text="Error">
      <formula>NOT(ISERROR(SEARCH("Error",D308)))</formula>
    </cfRule>
  </conditionalFormatting>
  <conditionalFormatting sqref="D333">
    <cfRule type="containsText" dxfId="173" priority="133" operator="containsText" text="Error">
      <formula>NOT(ISERROR(SEARCH("Error",D333)))</formula>
    </cfRule>
    <cfRule type="containsText" dxfId="172" priority="134" operator="containsText" text="Ok">
      <formula>NOT(ISERROR(SEARCH("Ok",D333)))</formula>
    </cfRule>
    <cfRule type="expression" dxfId="171" priority="135">
      <formula>"Ok"</formula>
    </cfRule>
  </conditionalFormatting>
  <conditionalFormatting sqref="D358">
    <cfRule type="containsText" dxfId="170" priority="131" operator="containsText" text="Ok">
      <formula>NOT(ISERROR(SEARCH("Ok",D358)))</formula>
    </cfRule>
    <cfRule type="expression" dxfId="169" priority="132">
      <formula>"Ok"</formula>
    </cfRule>
    <cfRule type="containsText" dxfId="168" priority="130" operator="containsText" text="Error">
      <formula>NOT(ISERROR(SEARCH("Error",D358)))</formula>
    </cfRule>
  </conditionalFormatting>
  <conditionalFormatting sqref="D383">
    <cfRule type="expression" dxfId="167" priority="72">
      <formula>"Ok"</formula>
    </cfRule>
    <cfRule type="containsText" dxfId="166" priority="70" operator="containsText" text="Error">
      <formula>NOT(ISERROR(SEARCH("Error",D383)))</formula>
    </cfRule>
    <cfRule type="containsText" dxfId="165" priority="71" operator="containsText" text="Ok">
      <formula>NOT(ISERROR(SEARCH("Ok",D383)))</formula>
    </cfRule>
  </conditionalFormatting>
  <conditionalFormatting sqref="D408">
    <cfRule type="containsText" dxfId="164" priority="65" operator="containsText" text="Ok">
      <formula>NOT(ISERROR(SEARCH("Ok",D408)))</formula>
    </cfRule>
    <cfRule type="expression" dxfId="163" priority="66">
      <formula>"Ok"</formula>
    </cfRule>
    <cfRule type="containsText" dxfId="162" priority="64" operator="containsText" text="Error">
      <formula>NOT(ISERROR(SEARCH("Error",D408)))</formula>
    </cfRule>
  </conditionalFormatting>
  <conditionalFormatting sqref="D433">
    <cfRule type="containsText" dxfId="161" priority="59" operator="containsText" text="Ok">
      <formula>NOT(ISERROR(SEARCH("Ok",D433)))</formula>
    </cfRule>
    <cfRule type="expression" dxfId="160" priority="60">
      <formula>"Ok"</formula>
    </cfRule>
    <cfRule type="containsText" dxfId="159" priority="58" operator="containsText" text="Error">
      <formula>NOT(ISERROR(SEARCH("Error",D433)))</formula>
    </cfRule>
  </conditionalFormatting>
  <conditionalFormatting sqref="D458">
    <cfRule type="containsText" dxfId="158" priority="52" operator="containsText" text="Error">
      <formula>NOT(ISERROR(SEARCH("Error",D458)))</formula>
    </cfRule>
    <cfRule type="containsText" dxfId="157" priority="53" operator="containsText" text="Ok">
      <formula>NOT(ISERROR(SEARCH("Ok",D458)))</formula>
    </cfRule>
    <cfRule type="expression" dxfId="156" priority="54">
      <formula>"Ok"</formula>
    </cfRule>
  </conditionalFormatting>
  <conditionalFormatting sqref="D483">
    <cfRule type="expression" dxfId="155" priority="48">
      <formula>"Ok"</formula>
    </cfRule>
    <cfRule type="containsText" dxfId="154" priority="47" operator="containsText" text="Ok">
      <formula>NOT(ISERROR(SEARCH("Ok",D483)))</formula>
    </cfRule>
    <cfRule type="containsText" dxfId="153" priority="46" operator="containsText" text="Error">
      <formula>NOT(ISERROR(SEARCH("Error",D483)))</formula>
    </cfRule>
  </conditionalFormatting>
  <conditionalFormatting sqref="D508">
    <cfRule type="expression" dxfId="152" priority="42">
      <formula>"Ok"</formula>
    </cfRule>
    <cfRule type="containsText" dxfId="151" priority="41" operator="containsText" text="Ok">
      <formula>NOT(ISERROR(SEARCH("Ok",D508)))</formula>
    </cfRule>
    <cfRule type="containsText" dxfId="150" priority="40" operator="containsText" text="Error">
      <formula>NOT(ISERROR(SEARCH("Error",D508)))</formula>
    </cfRule>
  </conditionalFormatting>
  <conditionalFormatting sqref="D533">
    <cfRule type="containsText" dxfId="149" priority="35" operator="containsText" text="Ok">
      <formula>NOT(ISERROR(SEARCH("Ok",D533)))</formula>
    </cfRule>
    <cfRule type="expression" dxfId="148" priority="36">
      <formula>"Ok"</formula>
    </cfRule>
    <cfRule type="containsText" dxfId="147" priority="34" operator="containsText" text="Error">
      <formula>NOT(ISERROR(SEARCH("Error",D533)))</formula>
    </cfRule>
  </conditionalFormatting>
  <conditionalFormatting sqref="D558">
    <cfRule type="expression" dxfId="146" priority="30">
      <formula>"Ok"</formula>
    </cfRule>
    <cfRule type="containsText" dxfId="145" priority="29" operator="containsText" text="Ok">
      <formula>NOT(ISERROR(SEARCH("Ok",D558)))</formula>
    </cfRule>
    <cfRule type="containsText" dxfId="144" priority="28" operator="containsText" text="Error">
      <formula>NOT(ISERROR(SEARCH("Error",D558)))</formula>
    </cfRule>
  </conditionalFormatting>
  <conditionalFormatting sqref="D583">
    <cfRule type="expression" dxfId="143" priority="24">
      <formula>"Ok"</formula>
    </cfRule>
    <cfRule type="containsText" dxfId="142" priority="23" operator="containsText" text="Ok">
      <formula>NOT(ISERROR(SEARCH("Ok",D583)))</formula>
    </cfRule>
    <cfRule type="containsText" dxfId="141" priority="22" operator="containsText" text="Error">
      <formula>NOT(ISERROR(SEARCH("Error",D583)))</formula>
    </cfRule>
  </conditionalFormatting>
  <conditionalFormatting sqref="D608">
    <cfRule type="expression" dxfId="140" priority="18">
      <formula>"Ok"</formula>
    </cfRule>
    <cfRule type="containsText" dxfId="139" priority="17" operator="containsText" text="Ok">
      <formula>NOT(ISERROR(SEARCH("Ok",D608)))</formula>
    </cfRule>
    <cfRule type="containsText" dxfId="138" priority="16" operator="containsText" text="Error">
      <formula>NOT(ISERROR(SEARCH("Error",D608)))</formula>
    </cfRule>
  </conditionalFormatting>
  <conditionalFormatting sqref="D633">
    <cfRule type="containsText" dxfId="137" priority="10" operator="containsText" text="Error">
      <formula>NOT(ISERROR(SEARCH("Error",D633)))</formula>
    </cfRule>
    <cfRule type="containsText" dxfId="136" priority="11" operator="containsText" text="Ok">
      <formula>NOT(ISERROR(SEARCH("Ok",D633)))</formula>
    </cfRule>
    <cfRule type="expression" dxfId="135" priority="12">
      <formula>"Ok"</formula>
    </cfRule>
  </conditionalFormatting>
  <conditionalFormatting sqref="D658">
    <cfRule type="containsText" dxfId="134" priority="4" operator="containsText" text="Error">
      <formula>NOT(ISERROR(SEARCH("Error",D658)))</formula>
    </cfRule>
    <cfRule type="containsText" dxfId="133" priority="5" operator="containsText" text="Ok">
      <formula>NOT(ISERROR(SEARCH("Ok",D658)))</formula>
    </cfRule>
    <cfRule type="expression" dxfId="132" priority="6">
      <formula>"Ok"</formula>
    </cfRule>
  </conditionalFormatting>
  <conditionalFormatting sqref="I33">
    <cfRule type="containsText" dxfId="131" priority="128" operator="containsText" text="Ok">
      <formula>NOT(ISERROR(SEARCH("Ok",I33)))</formula>
    </cfRule>
    <cfRule type="containsText" dxfId="130" priority="127" operator="containsText" text="Error">
      <formula>NOT(ISERROR(SEARCH("Error",I33)))</formula>
    </cfRule>
    <cfRule type="expression" dxfId="129" priority="129">
      <formula>"Ok"</formula>
    </cfRule>
  </conditionalFormatting>
  <conditionalFormatting sqref="I58">
    <cfRule type="containsText" dxfId="128" priority="125" operator="containsText" text="Ok">
      <formula>NOT(ISERROR(SEARCH("Ok",I58)))</formula>
    </cfRule>
    <cfRule type="expression" dxfId="127" priority="126">
      <formula>"Ok"</formula>
    </cfRule>
    <cfRule type="containsText" dxfId="126" priority="124" operator="containsText" text="Error">
      <formula>NOT(ISERROR(SEARCH("Error",I58)))</formula>
    </cfRule>
  </conditionalFormatting>
  <conditionalFormatting sqref="I83">
    <cfRule type="expression" dxfId="125" priority="123">
      <formula>"Ok"</formula>
    </cfRule>
    <cfRule type="containsText" dxfId="124" priority="121" operator="containsText" text="Error">
      <formula>NOT(ISERROR(SEARCH("Error",I83)))</formula>
    </cfRule>
    <cfRule type="containsText" dxfId="123" priority="122" operator="containsText" text="Ok">
      <formula>NOT(ISERROR(SEARCH("Ok",I83)))</formula>
    </cfRule>
  </conditionalFormatting>
  <conditionalFormatting sqref="I108">
    <cfRule type="expression" dxfId="122" priority="120">
      <formula>"Ok"</formula>
    </cfRule>
    <cfRule type="containsText" dxfId="121" priority="119" operator="containsText" text="Ok">
      <formula>NOT(ISERROR(SEARCH("Ok",I108)))</formula>
    </cfRule>
    <cfRule type="containsText" dxfId="120" priority="118" operator="containsText" text="Error">
      <formula>NOT(ISERROR(SEARCH("Error",I108)))</formula>
    </cfRule>
  </conditionalFormatting>
  <conditionalFormatting sqref="I133">
    <cfRule type="expression" dxfId="119" priority="117">
      <formula>"Ok"</formula>
    </cfRule>
    <cfRule type="containsText" dxfId="118" priority="116" operator="containsText" text="Ok">
      <formula>NOT(ISERROR(SEARCH("Ok",I133)))</formula>
    </cfRule>
    <cfRule type="containsText" dxfId="117" priority="115" operator="containsText" text="Error">
      <formula>NOT(ISERROR(SEARCH("Error",I133)))</formula>
    </cfRule>
  </conditionalFormatting>
  <conditionalFormatting sqref="I158">
    <cfRule type="containsText" dxfId="116" priority="112" operator="containsText" text="Error">
      <formula>NOT(ISERROR(SEARCH("Error",I158)))</formula>
    </cfRule>
    <cfRule type="containsText" dxfId="115" priority="113" operator="containsText" text="Ok">
      <formula>NOT(ISERROR(SEARCH("Ok",I158)))</formula>
    </cfRule>
    <cfRule type="expression" dxfId="114" priority="114">
      <formula>"Ok"</formula>
    </cfRule>
  </conditionalFormatting>
  <conditionalFormatting sqref="I183">
    <cfRule type="containsText" dxfId="113" priority="98" operator="containsText" text="Ok">
      <formula>NOT(ISERROR(SEARCH("Ok",I183)))</formula>
    </cfRule>
    <cfRule type="containsText" dxfId="112" priority="97" operator="containsText" text="Error">
      <formula>NOT(ISERROR(SEARCH("Error",I183)))</formula>
    </cfRule>
    <cfRule type="expression" dxfId="111" priority="99">
      <formula>"Ok"</formula>
    </cfRule>
  </conditionalFormatting>
  <conditionalFormatting sqref="I208">
    <cfRule type="expression" dxfId="110" priority="93">
      <formula>"Ok"</formula>
    </cfRule>
    <cfRule type="containsText" dxfId="109" priority="91" operator="containsText" text="Error">
      <formula>NOT(ISERROR(SEARCH("Error",I208)))</formula>
    </cfRule>
    <cfRule type="containsText" dxfId="108" priority="92" operator="containsText" text="Ok">
      <formula>NOT(ISERROR(SEARCH("Ok",I208)))</formula>
    </cfRule>
  </conditionalFormatting>
  <conditionalFormatting sqref="I233">
    <cfRule type="containsText" dxfId="107" priority="85" operator="containsText" text="Error">
      <formula>NOT(ISERROR(SEARCH("Error",I233)))</formula>
    </cfRule>
    <cfRule type="expression" dxfId="106" priority="87">
      <formula>"Ok"</formula>
    </cfRule>
    <cfRule type="containsText" dxfId="105" priority="86" operator="containsText" text="Ok">
      <formula>NOT(ISERROR(SEARCH("Ok",I233)))</formula>
    </cfRule>
  </conditionalFormatting>
  <conditionalFormatting sqref="I258">
    <cfRule type="containsText" dxfId="104" priority="79" operator="containsText" text="Error">
      <formula>NOT(ISERROR(SEARCH("Error",I258)))</formula>
    </cfRule>
    <cfRule type="containsText" dxfId="103" priority="80" operator="containsText" text="Ok">
      <formula>NOT(ISERROR(SEARCH("Ok",I258)))</formula>
    </cfRule>
    <cfRule type="expression" dxfId="102" priority="81">
      <formula>"Ok"</formula>
    </cfRule>
  </conditionalFormatting>
  <conditionalFormatting sqref="I283">
    <cfRule type="containsText" dxfId="101" priority="74" operator="containsText" text="Ok">
      <formula>NOT(ISERROR(SEARCH("Ok",I283)))</formula>
    </cfRule>
    <cfRule type="expression" dxfId="100" priority="75">
      <formula>"Ok"</formula>
    </cfRule>
    <cfRule type="containsText" dxfId="99" priority="73" operator="containsText" text="Error">
      <formula>NOT(ISERROR(SEARCH("Error",I283)))</formula>
    </cfRule>
  </conditionalFormatting>
  <conditionalFormatting sqref="I308">
    <cfRule type="containsText" dxfId="98" priority="109" operator="containsText" text="Error">
      <formula>NOT(ISERROR(SEARCH("Error",I308)))</formula>
    </cfRule>
    <cfRule type="containsText" dxfId="97" priority="110" operator="containsText" text="Ok">
      <formula>NOT(ISERROR(SEARCH("Ok",I308)))</formula>
    </cfRule>
    <cfRule type="expression" dxfId="96" priority="111">
      <formula>"Ok"</formula>
    </cfRule>
  </conditionalFormatting>
  <conditionalFormatting sqref="I333">
    <cfRule type="containsText" dxfId="95" priority="107" operator="containsText" text="Ok">
      <formula>NOT(ISERROR(SEARCH("Ok",I333)))</formula>
    </cfRule>
    <cfRule type="containsText" dxfId="94" priority="106" operator="containsText" text="Error">
      <formula>NOT(ISERROR(SEARCH("Error",I333)))</formula>
    </cfRule>
    <cfRule type="expression" dxfId="93" priority="108">
      <formula>"Ok"</formula>
    </cfRule>
  </conditionalFormatting>
  <conditionalFormatting sqref="I358">
    <cfRule type="containsText" dxfId="92" priority="103" operator="containsText" text="Error">
      <formula>NOT(ISERROR(SEARCH("Error",I358)))</formula>
    </cfRule>
    <cfRule type="containsText" dxfId="91" priority="104" operator="containsText" text="Ok">
      <formula>NOT(ISERROR(SEARCH("Ok",I358)))</formula>
    </cfRule>
    <cfRule type="expression" dxfId="90" priority="105">
      <formula>"Ok"</formula>
    </cfRule>
  </conditionalFormatting>
  <conditionalFormatting sqref="I383">
    <cfRule type="containsText" dxfId="89" priority="67" operator="containsText" text="Error">
      <formula>NOT(ISERROR(SEARCH("Error",I383)))</formula>
    </cfRule>
    <cfRule type="containsText" dxfId="88" priority="68" operator="containsText" text="Ok">
      <formula>NOT(ISERROR(SEARCH("Ok",I383)))</formula>
    </cfRule>
    <cfRule type="expression" dxfId="87" priority="69">
      <formula>"Ok"</formula>
    </cfRule>
  </conditionalFormatting>
  <conditionalFormatting sqref="I408">
    <cfRule type="containsText" dxfId="86" priority="61" operator="containsText" text="Error">
      <formula>NOT(ISERROR(SEARCH("Error",I408)))</formula>
    </cfRule>
    <cfRule type="containsText" dxfId="85" priority="62" operator="containsText" text="Ok">
      <formula>NOT(ISERROR(SEARCH("Ok",I408)))</formula>
    </cfRule>
    <cfRule type="expression" dxfId="84" priority="63">
      <formula>"Ok"</formula>
    </cfRule>
  </conditionalFormatting>
  <conditionalFormatting sqref="I433">
    <cfRule type="containsText" dxfId="83" priority="55" operator="containsText" text="Error">
      <formula>NOT(ISERROR(SEARCH("Error",I433)))</formula>
    </cfRule>
    <cfRule type="expression" dxfId="82" priority="57">
      <formula>"Ok"</formula>
    </cfRule>
    <cfRule type="containsText" dxfId="81" priority="56" operator="containsText" text="Ok">
      <formula>NOT(ISERROR(SEARCH("Ok",I433)))</formula>
    </cfRule>
  </conditionalFormatting>
  <conditionalFormatting sqref="I458">
    <cfRule type="containsText" dxfId="80" priority="49" operator="containsText" text="Error">
      <formula>NOT(ISERROR(SEARCH("Error",I458)))</formula>
    </cfRule>
    <cfRule type="containsText" dxfId="79" priority="50" operator="containsText" text="Ok">
      <formula>NOT(ISERROR(SEARCH("Ok",I458)))</formula>
    </cfRule>
    <cfRule type="expression" dxfId="78" priority="51">
      <formula>"Ok"</formula>
    </cfRule>
  </conditionalFormatting>
  <conditionalFormatting sqref="I483">
    <cfRule type="containsText" dxfId="77" priority="43" operator="containsText" text="Error">
      <formula>NOT(ISERROR(SEARCH("Error",I483)))</formula>
    </cfRule>
    <cfRule type="containsText" dxfId="76" priority="44" operator="containsText" text="Ok">
      <formula>NOT(ISERROR(SEARCH("Ok",I483)))</formula>
    </cfRule>
    <cfRule type="expression" dxfId="75" priority="45">
      <formula>"Ok"</formula>
    </cfRule>
  </conditionalFormatting>
  <conditionalFormatting sqref="I508">
    <cfRule type="expression" dxfId="74" priority="39">
      <formula>"Ok"</formula>
    </cfRule>
    <cfRule type="containsText" dxfId="73" priority="37" operator="containsText" text="Error">
      <formula>NOT(ISERROR(SEARCH("Error",I508)))</formula>
    </cfRule>
    <cfRule type="containsText" dxfId="72" priority="38" operator="containsText" text="Ok">
      <formula>NOT(ISERROR(SEARCH("Ok",I508)))</formula>
    </cfRule>
  </conditionalFormatting>
  <conditionalFormatting sqref="I533">
    <cfRule type="containsText" dxfId="71" priority="31" operator="containsText" text="Error">
      <formula>NOT(ISERROR(SEARCH("Error",I533)))</formula>
    </cfRule>
    <cfRule type="containsText" dxfId="70" priority="32" operator="containsText" text="Ok">
      <formula>NOT(ISERROR(SEARCH("Ok",I533)))</formula>
    </cfRule>
    <cfRule type="expression" dxfId="69" priority="33">
      <formula>"Ok"</formula>
    </cfRule>
  </conditionalFormatting>
  <conditionalFormatting sqref="I558">
    <cfRule type="containsText" dxfId="68" priority="25" operator="containsText" text="Error">
      <formula>NOT(ISERROR(SEARCH("Error",I558)))</formula>
    </cfRule>
    <cfRule type="containsText" dxfId="67" priority="26" operator="containsText" text="Ok">
      <formula>NOT(ISERROR(SEARCH("Ok",I558)))</formula>
    </cfRule>
    <cfRule type="expression" dxfId="66" priority="27">
      <formula>"Ok"</formula>
    </cfRule>
  </conditionalFormatting>
  <conditionalFormatting sqref="I583">
    <cfRule type="containsText" dxfId="65" priority="20" operator="containsText" text="Ok">
      <formula>NOT(ISERROR(SEARCH("Ok",I583)))</formula>
    </cfRule>
    <cfRule type="expression" dxfId="64" priority="21">
      <formula>"Ok"</formula>
    </cfRule>
    <cfRule type="containsText" dxfId="63" priority="19" operator="containsText" text="Error">
      <formula>NOT(ISERROR(SEARCH("Error",I583)))</formula>
    </cfRule>
  </conditionalFormatting>
  <conditionalFormatting sqref="I608">
    <cfRule type="containsText" dxfId="62" priority="14" operator="containsText" text="Ok">
      <formula>NOT(ISERROR(SEARCH("Ok",I608)))</formula>
    </cfRule>
    <cfRule type="containsText" dxfId="61" priority="13" operator="containsText" text="Error">
      <formula>NOT(ISERROR(SEARCH("Error",I608)))</formula>
    </cfRule>
    <cfRule type="expression" dxfId="60" priority="15">
      <formula>"Ok"</formula>
    </cfRule>
  </conditionalFormatting>
  <conditionalFormatting sqref="I633">
    <cfRule type="expression" dxfId="59" priority="9">
      <formula>"Ok"</formula>
    </cfRule>
    <cfRule type="containsText" dxfId="58" priority="8" operator="containsText" text="Ok">
      <formula>NOT(ISERROR(SEARCH("Ok",I633)))</formula>
    </cfRule>
    <cfRule type="containsText" dxfId="57" priority="7" operator="containsText" text="Error">
      <formula>NOT(ISERROR(SEARCH("Error",I633)))</formula>
    </cfRule>
  </conditionalFormatting>
  <conditionalFormatting sqref="I658">
    <cfRule type="expression" dxfId="56" priority="3">
      <formula>"Ok"</formula>
    </cfRule>
    <cfRule type="containsText" dxfId="55" priority="2" operator="containsText" text="Ok">
      <formula>NOT(ISERROR(SEARCH("Ok",I658)))</formula>
    </cfRule>
    <cfRule type="containsText" dxfId="54" priority="1" operator="containsText" text="Error">
      <formula>NOT(ISERROR(SEARCH("Error",I658)))</formula>
    </cfRule>
  </conditionalFormatting>
  <hyperlinks>
    <hyperlink ref="C3" location="'Resultados &gt;&gt;'!A1" display="Ir a Resultados &gt;&gt;" xr:uid="{00000000-0004-0000-0700-000000000000}"/>
  </hyperlinks>
  <pageMargins left="0.7" right="0.7" top="0.75" bottom="0.75" header="0.3" footer="0.3"/>
  <pageSetup paperSize="9"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42E9335-03FF-4D86-BC21-203F034095C2}">
  <sheetPr>
    <tabColor theme="8" tint="0.79998168889431442"/>
  </sheetPr>
  <dimension ref="B1:Q37"/>
  <sheetViews>
    <sheetView showGridLines="0" topLeftCell="A3" zoomScale="70" zoomScaleNormal="70" workbookViewId="0">
      <selection activeCell="F18" sqref="F18"/>
    </sheetView>
  </sheetViews>
  <sheetFormatPr baseColWidth="10" defaultColWidth="8.81640625" defaultRowHeight="12.5" x14ac:dyDescent="0.25"/>
  <cols>
    <col min="1" max="1" width="1.81640625" style="5" customWidth="1"/>
    <col min="2" max="2" width="8.81640625" style="5"/>
    <col min="3" max="3" width="47.1796875" style="5" customWidth="1"/>
    <col min="4" max="4" width="26.1796875" style="5" customWidth="1"/>
    <col min="5" max="5" width="4.1796875" style="5" customWidth="1"/>
    <col min="6" max="6" width="23.54296875" style="5" customWidth="1"/>
    <col min="7" max="8" width="4.1796875" style="5" customWidth="1"/>
    <col min="9" max="9" width="18.1796875" style="5" customWidth="1"/>
    <col min="10" max="10" width="4.1796875" style="5" customWidth="1"/>
    <col min="11" max="11" width="3.453125" style="5" customWidth="1"/>
    <col min="12" max="12" width="18.81640625" style="5" customWidth="1"/>
    <col min="13" max="13" width="3.81640625" style="5" customWidth="1"/>
    <col min="14" max="14" width="24.54296875" style="5" customWidth="1"/>
    <col min="15" max="15" width="23" style="5" customWidth="1"/>
    <col min="16" max="16" width="16.81640625" style="5" customWidth="1"/>
    <col min="17" max="16384" width="8.81640625" style="5"/>
  </cols>
  <sheetData>
    <row r="1" spans="2:17" s="427" customFormat="1" ht="20" x14ac:dyDescent="0.4">
      <c r="B1" s="427" t="s">
        <v>110</v>
      </c>
    </row>
    <row r="3" spans="2:17" ht="20.149999999999999" customHeight="1" x14ac:dyDescent="0.25">
      <c r="C3" s="14" t="s">
        <v>90</v>
      </c>
    </row>
    <row r="5" spans="2:17" ht="13" x14ac:dyDescent="0.3">
      <c r="C5" s="16" t="s">
        <v>63</v>
      </c>
      <c r="D5" s="88" t="s">
        <v>64</v>
      </c>
      <c r="E5" s="71"/>
      <c r="F5" s="88" t="s">
        <v>65</v>
      </c>
    </row>
    <row r="6" spans="2:17" x14ac:dyDescent="0.25">
      <c r="C6"/>
      <c r="D6" s="85">
        <f>Supuestos!$C$5</f>
        <v>45658</v>
      </c>
      <c r="E6" s="71"/>
      <c r="F6" s="85">
        <f>Supuestos!$C$6</f>
        <v>45747</v>
      </c>
    </row>
    <row r="7" spans="2:17" x14ac:dyDescent="0.25">
      <c r="C7"/>
    </row>
    <row r="8" spans="2:17" ht="92.15" customHeight="1" x14ac:dyDescent="0.25">
      <c r="C8" s="510" t="s">
        <v>111</v>
      </c>
      <c r="D8" s="511"/>
      <c r="E8" s="511"/>
      <c r="F8" s="511"/>
      <c r="G8" s="511"/>
      <c r="H8" s="511"/>
      <c r="I8" s="511"/>
      <c r="J8" s="511"/>
      <c r="K8" s="511"/>
      <c r="L8" s="511"/>
      <c r="M8" s="511"/>
      <c r="N8" s="511"/>
      <c r="O8" s="512"/>
      <c r="P8"/>
      <c r="Q8"/>
    </row>
    <row r="9" spans="2:17" ht="56.5" customHeight="1" x14ac:dyDescent="0.25">
      <c r="C9" s="40"/>
      <c r="D9" s="216"/>
      <c r="E9" s="240"/>
      <c r="F9" s="239"/>
      <c r="G9" s="240"/>
      <c r="H9" s="240"/>
      <c r="J9" s="241"/>
      <c r="K9" s="241"/>
      <c r="L9" s="241" t="s">
        <v>112</v>
      </c>
      <c r="M9" s="241"/>
      <c r="N9" s="241"/>
      <c r="O9" s="241"/>
      <c r="P9" s="193"/>
      <c r="Q9" s="193"/>
    </row>
    <row r="10" spans="2:17" ht="21.65" customHeight="1" x14ac:dyDescent="0.3">
      <c r="C10" s="74" t="s">
        <v>70</v>
      </c>
      <c r="D10" s="435" t="s">
        <v>113</v>
      </c>
      <c r="E10" s="75"/>
      <c r="F10" s="435" t="s">
        <v>114</v>
      </c>
      <c r="G10" s="75"/>
      <c r="H10" s="75"/>
      <c r="I10" s="435" t="s">
        <v>115</v>
      </c>
      <c r="J10" s="4"/>
      <c r="K10" s="77"/>
      <c r="L10" s="77"/>
      <c r="M10" s="77"/>
      <c r="N10" s="77"/>
      <c r="O10" s="204"/>
    </row>
    <row r="11" spans="2:17" ht="13" x14ac:dyDescent="0.3">
      <c r="C11" s="5" t="str">
        <f>Supuestos!B76</f>
        <v>Segmento Prepago</v>
      </c>
      <c r="D11" s="434">
        <f>INDEX('Informacion del AEP'!$H$31:$H$84,MATCH('Administración usuario prepago'!C11,'Informacion del AEP'!$C$31:$C$84,0))</f>
        <v>66000000</v>
      </c>
      <c r="F11" s="238"/>
      <c r="G11"/>
      <c r="L11" s="78">
        <f>INDEX('Informacion del AEP'!$H$31:$H$84,MATCH('Administración usuario prepago'!C11,'Informacion del AEP'!$C$31:$C$84,0))*'Hoja Auxiliar'!$D$61</f>
        <v>24750000</v>
      </c>
    </row>
    <row r="12" spans="2:17" ht="13" x14ac:dyDescent="0.3">
      <c r="C12" s="5" t="str">
        <f>Supuestos!B78</f>
        <v>Telcel Prepago 1</v>
      </c>
      <c r="D12" s="434">
        <f>INDEX('Informacion del AEP'!$H$31:$H$84,MATCH('Administración usuario prepago'!C12,'Informacion del AEP'!$C$31:$C$84,0))</f>
        <v>55000000</v>
      </c>
      <c r="F12" s="238"/>
      <c r="L12" s="78">
        <f>INDEX('Informacion del AEP'!$H$31:$H$84,MATCH('Administración usuario prepago'!C12,'Informacion del AEP'!$C$31:$C$60,0))*'Hoja Auxiliar'!$D$61</f>
        <v>20625000</v>
      </c>
    </row>
    <row r="13" spans="2:17" ht="13" x14ac:dyDescent="0.3">
      <c r="C13" s="5" t="str">
        <f>Supuestos!B79</f>
        <v>Telcel Prepago 2</v>
      </c>
      <c r="D13" s="434">
        <f>INDEX('Informacion del AEP'!$H$31:$H$84,MATCH('Administración usuario prepago'!C13,'Informacion del AEP'!$C$31:$C$84,0))</f>
        <v>1500000</v>
      </c>
      <c r="F13" s="238"/>
      <c r="I13" s="246"/>
      <c r="L13" s="78">
        <f>INDEX('Informacion del AEP'!$H$31:$H$84,MATCH('Administración usuario prepago'!C13,'Informacion del AEP'!$C$31:$C$60,0))*'Hoja Auxiliar'!$D$61</f>
        <v>562500</v>
      </c>
      <c r="N13" s="209"/>
    </row>
    <row r="14" spans="2:17" ht="13" x14ac:dyDescent="0.3">
      <c r="C14" s="5" t="str">
        <f>Supuestos!B80</f>
        <v>Telcel Prepago 3</v>
      </c>
      <c r="D14" s="434">
        <f>INDEX('Informacion del AEP'!$H$31:$H$84,MATCH('Administración usuario prepago'!C14,'Informacion del AEP'!$C$31:$C$84,0))</f>
        <v>500000</v>
      </c>
      <c r="F14" s="238"/>
      <c r="L14" s="78">
        <f>INDEX('Informacion del AEP'!$H$31:$H$84,MATCH('Administración usuario prepago'!C14,'Informacion del AEP'!$C$31:$C$60,0))*'Hoja Auxiliar'!$D$61</f>
        <v>187500</v>
      </c>
      <c r="N14" s="209"/>
    </row>
    <row r="15" spans="2:17" ht="13" x14ac:dyDescent="0.3">
      <c r="B15"/>
      <c r="C15" s="5" t="str">
        <f>Supuestos!B91</f>
        <v>Monto 1</v>
      </c>
      <c r="D15" s="434">
        <f>INDEX('Informacion del AEP'!$H$31:$H$84,MATCH('Administración usuario prepago'!C15,'Informacion del AEP'!$C$31:$C$84,0))</f>
        <v>55000000</v>
      </c>
      <c r="F15" s="437" t="str">
        <f>C12</f>
        <v>Telcel Prepago 1</v>
      </c>
      <c r="I15" s="438">
        <f>INDEX('Ofertas insignia'!$F$27:$F$50,MATCH('Administración usuario prepago'!C15,'Ofertas insignia'!$B$27:$B$50,0))/'Ofertas insignia'!$F$36</f>
        <v>0.52941176470588236</v>
      </c>
      <c r="L15" s="78">
        <f>INDEX($L$11:$L$14,MATCH('Administración usuario prepago'!F15,$C$11:$C$14,0))*I15</f>
        <v>10919117.647058824</v>
      </c>
      <c r="N15" s="437" t="s">
        <v>116</v>
      </c>
    </row>
    <row r="16" spans="2:17" ht="13" x14ac:dyDescent="0.3">
      <c r="B16"/>
      <c r="C16" s="5" t="str">
        <f>Supuestos!B92</f>
        <v>Monto 2</v>
      </c>
      <c r="D16" s="434">
        <f>INDEX('Informacion del AEP'!$H$31:$H$84,MATCH('Administración usuario prepago'!C16,'Informacion del AEP'!$C$31:$C$84,0))</f>
        <v>1500000</v>
      </c>
      <c r="F16" s="437" t="str">
        <f>F15</f>
        <v>Telcel Prepago 1</v>
      </c>
      <c r="I16" s="438">
        <f>INDEX('Ofertas insignia'!$F$27:$F$50,MATCH('Administración usuario prepago'!C16,'Ofertas insignia'!$B$27:$B$50,0))/'Ofertas insignia'!$F$36</f>
        <v>0.29411764705882354</v>
      </c>
      <c r="L16" s="78">
        <f>INDEX($L$11:$L$14,MATCH('Administración usuario prepago'!F16,$C$11:$C$14,0))*I16</f>
        <v>6066176.4705882352</v>
      </c>
      <c r="N16" s="437" t="s">
        <v>116</v>
      </c>
    </row>
    <row r="17" spans="2:14" ht="13" x14ac:dyDescent="0.3">
      <c r="B17"/>
      <c r="C17" s="5" t="str">
        <f>Supuestos!B93</f>
        <v>Monto 3</v>
      </c>
      <c r="D17" s="434">
        <f>INDEX('Informacion del AEP'!$H$31:$H$84,MATCH('Administración usuario prepago'!C17,'Informacion del AEP'!$C$31:$C$84,0))</f>
        <v>500000</v>
      </c>
      <c r="F17" s="437" t="str">
        <f>F16</f>
        <v>Telcel Prepago 1</v>
      </c>
      <c r="I17" s="438">
        <f>INDEX('Ofertas insignia'!$F$27:$F$50,MATCH('Administración usuario prepago'!C17,'Ofertas insignia'!$B$27:$B$50,0))/'Ofertas insignia'!$F$36</f>
        <v>5.8823529411764705E-2</v>
      </c>
      <c r="L17" s="78">
        <f>INDEX($L$11:$L$14,MATCH('Administración usuario prepago'!F17,$C$11:$C$14,0))*I17</f>
        <v>1213235.294117647</v>
      </c>
      <c r="N17" s="437" t="s">
        <v>116</v>
      </c>
    </row>
    <row r="18" spans="2:14" ht="13" x14ac:dyDescent="0.3">
      <c r="B18"/>
      <c r="C18" s="5" t="str">
        <f>Supuestos!B94</f>
        <v>Portabilidad 1</v>
      </c>
      <c r="D18" s="434">
        <f>INDEX('Informacion del AEP'!$H$31:$H$84,MATCH('Administración usuario prepago'!C18,'Informacion del AEP'!$C$31:$C$84,0))</f>
        <v>500000</v>
      </c>
      <c r="F18" s="437" t="str">
        <f>C11</f>
        <v>Segmento Prepago</v>
      </c>
      <c r="I18" s="438">
        <f>INDEX('Ofertas insignia'!$F$27:$F$50,MATCH('Administración usuario prepago'!C18,'Ofertas insignia'!$B$27:$B$50,0))/'Ofertas insignia'!$F$36</f>
        <v>3.5294117647058825E-3</v>
      </c>
      <c r="L18" s="78">
        <f>INDEX($L$11:$L$14,MATCH('Administración usuario prepago'!F18,$C$11:$C$14,0))*I18</f>
        <v>87352.941176470587</v>
      </c>
      <c r="N18" s="437" t="s">
        <v>116</v>
      </c>
    </row>
    <row r="19" spans="2:14" ht="13" x14ac:dyDescent="0.3">
      <c r="B19"/>
      <c r="C19" s="5" t="str">
        <f>Supuestos!B95</f>
        <v>Portabilidad 2</v>
      </c>
      <c r="D19" s="434">
        <f>INDEX('Informacion del AEP'!$H$31:$H$84,MATCH('Administración usuario prepago'!C19,'Informacion del AEP'!$C$31:$C$60,0))</f>
        <v>500000</v>
      </c>
      <c r="F19" s="437" t="str">
        <f>F18</f>
        <v>Segmento Prepago</v>
      </c>
      <c r="I19" s="438">
        <f>INDEX('Ofertas insignia'!$F$27:$F$50,MATCH('Administración usuario prepago'!C19,'Ofertas insignia'!$B$27:$B$50,0))/'Ofertas insignia'!$F$36</f>
        <v>1.176470588235294E-3</v>
      </c>
      <c r="L19" s="78">
        <f>INDEX($L$11:$L$14,MATCH('Administración usuario prepago'!F19,$C$11:$C$14,0))*I19</f>
        <v>29117.647058823528</v>
      </c>
      <c r="N19" s="437" t="s">
        <v>116</v>
      </c>
    </row>
    <row r="20" spans="2:14" x14ac:dyDescent="0.25">
      <c r="B20"/>
      <c r="D20" s="78"/>
      <c r="F20" s="238"/>
      <c r="N20" s="209"/>
    </row>
    <row r="21" spans="2:14" x14ac:dyDescent="0.25">
      <c r="B21"/>
      <c r="D21" s="78"/>
      <c r="F21" s="238"/>
      <c r="N21" s="209"/>
    </row>
    <row r="22" spans="2:14" x14ac:dyDescent="0.25">
      <c r="B22"/>
      <c r="D22" s="78"/>
      <c r="F22" s="238"/>
      <c r="N22" s="209"/>
    </row>
    <row r="23" spans="2:14" x14ac:dyDescent="0.25">
      <c r="B23"/>
      <c r="D23" s="78"/>
      <c r="F23" s="238"/>
      <c r="N23" s="209"/>
    </row>
    <row r="24" spans="2:14" x14ac:dyDescent="0.25">
      <c r="B24"/>
      <c r="D24" s="78"/>
      <c r="F24" s="238"/>
      <c r="N24" s="209"/>
    </row>
    <row r="25" spans="2:14" x14ac:dyDescent="0.25">
      <c r="B25"/>
      <c r="D25" s="78"/>
      <c r="F25" s="238"/>
      <c r="N25" s="209"/>
    </row>
    <row r="26" spans="2:14" x14ac:dyDescent="0.25">
      <c r="B26"/>
      <c r="D26" s="78"/>
      <c r="F26" s="238"/>
      <c r="N26" s="209"/>
    </row>
    <row r="27" spans="2:14" x14ac:dyDescent="0.25">
      <c r="B27"/>
      <c r="D27" s="78"/>
      <c r="F27" s="238"/>
      <c r="N27" s="209"/>
    </row>
    <row r="28" spans="2:14" x14ac:dyDescent="0.25">
      <c r="B28"/>
      <c r="D28" s="78"/>
      <c r="F28" s="238"/>
      <c r="N28" s="209"/>
    </row>
    <row r="29" spans="2:14" x14ac:dyDescent="0.25">
      <c r="D29" s="78"/>
      <c r="F29" s="238"/>
      <c r="N29" s="209"/>
    </row>
    <row r="30" spans="2:14" x14ac:dyDescent="0.25">
      <c r="D30" s="78"/>
      <c r="F30" s="78"/>
    </row>
    <row r="31" spans="2:14" s="242" customFormat="1" ht="13" x14ac:dyDescent="0.3">
      <c r="C31" s="243"/>
      <c r="D31" s="244"/>
      <c r="F31" s="245"/>
    </row>
    <row r="32" spans="2:14" s="242" customFormat="1" x14ac:dyDescent="0.25">
      <c r="F32" s="245"/>
    </row>
    <row r="33" spans="3:14" s="242" customFormat="1" x14ac:dyDescent="0.25">
      <c r="F33" s="212"/>
    </row>
    <row r="34" spans="3:14" s="242" customFormat="1" x14ac:dyDescent="0.25"/>
    <row r="35" spans="3:14" x14ac:dyDescent="0.25">
      <c r="D35" s="78"/>
    </row>
    <row r="36" spans="3:14" x14ac:dyDescent="0.25">
      <c r="C36" s="5" t="str">
        <f>IF(Supuestos!B67="","",Supuestos!B67)</f>
        <v/>
      </c>
      <c r="N36" s="209"/>
    </row>
    <row r="37" spans="3:14" ht="13" x14ac:dyDescent="0.3">
      <c r="C37" s="64"/>
    </row>
  </sheetData>
  <mergeCells count="1">
    <mergeCell ref="C8:O8"/>
  </mergeCells>
  <hyperlinks>
    <hyperlink ref="C3" location="'Resultados &gt;&gt;'!A1" display="Ir a Resultados &gt;&gt;" xr:uid="{3A404277-608A-4B8C-A672-CB241F14508E}"/>
  </hyperlinks>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o" ma:contentTypeID="0x0101003CD5121B912868449A3C5ACBE470BFC5" ma:contentTypeVersion="2" ma:contentTypeDescription="Crear nuevo documento." ma:contentTypeScope="" ma:versionID="2592c275756a7e9db8147c1ad6a05c37">
  <xsd:schema xmlns:xsd="http://www.w3.org/2001/XMLSchema" xmlns:xs="http://www.w3.org/2001/XMLSchema" xmlns:p="http://schemas.microsoft.com/office/2006/metadata/properties" xmlns:ns2="6495ad76-b129-4426-9f15-29f13e1ad190" targetNamespace="http://schemas.microsoft.com/office/2006/metadata/properties" ma:root="true" ma:fieldsID="3ab55f5ffa007d74f190251a470e73a8" ns2:_="">
    <xsd:import namespace="6495ad76-b129-4426-9f15-29f13e1ad190"/>
    <xsd:element name="properties">
      <xsd:complexType>
        <xsd:sequence>
          <xsd:element name="documentManagement">
            <xsd:complexType>
              <xsd:all>
                <xsd:element ref="ns2:SharedWithUsers" minOccurs="0"/>
                <xsd:element ref="ns2: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6495ad76-b129-4426-9f15-29f13e1ad190" elementFormDefault="qualified">
    <xsd:import namespace="http://schemas.microsoft.com/office/2006/documentManagement/types"/>
    <xsd:import namespace="http://schemas.microsoft.com/office/infopath/2007/PartnerControls"/>
    <xsd:element name="SharedWithUsers" ma:index="8"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Asunto_"/>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9FB622DC-3A47-4289-B47B-EC0853C84843}">
  <ds:schemaRefs>
    <ds:schemaRef ds:uri="http://schemas.microsoft.com/sharepoint/v3/contenttype/forms"/>
  </ds:schemaRefs>
</ds:datastoreItem>
</file>

<file path=customXml/itemProps2.xml><?xml version="1.0" encoding="utf-8"?>
<ds:datastoreItem xmlns:ds="http://schemas.openxmlformats.org/officeDocument/2006/customXml" ds:itemID="{86DF4807-63C1-4C9E-9B95-773B8834D74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6495ad76-b129-4426-9f15-29f13e1ad190"/>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1557DC42-C7DD-490A-946A-76E68FBAC211}">
  <ds:schemaRefs>
    <ds:schemaRef ds:uri="http://schemas.microsoft.com/office/2006/metadata/properties"/>
    <ds:schemaRef ds:uri="http://purl.org/dc/terms/"/>
    <ds:schemaRef ds:uri="http://purl.org/dc/dcmitype/"/>
    <ds:schemaRef ds:uri="http://schemas.microsoft.com/office/2006/documentManagement/types"/>
    <ds:schemaRef ds:uri="http://purl.org/dc/elements/1.1/"/>
    <ds:schemaRef ds:uri="http://www.w3.org/XML/1998/namespace"/>
    <ds:schemaRef ds:uri="http://schemas.microsoft.com/office/infopath/2007/PartnerControls"/>
    <ds:schemaRef ds:uri="http://schemas.openxmlformats.org/package/2006/metadata/core-properties"/>
    <ds:schemaRef ds:uri="6495ad76-b129-4426-9f15-29f13e1ad190"/>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20</vt:i4>
      </vt:variant>
    </vt:vector>
  </HeadingPairs>
  <TitlesOfParts>
    <vt:vector size="20" baseType="lpstr">
      <vt:lpstr>Descripción</vt:lpstr>
      <vt:lpstr>Resultados &gt;&gt;</vt:lpstr>
      <vt:lpstr>Prueba Servicios Moviles</vt:lpstr>
      <vt:lpstr>Resultados intermedios &gt;&gt;</vt:lpstr>
      <vt:lpstr>Ingresos minoristas</vt:lpstr>
      <vt:lpstr>Costos</vt:lpstr>
      <vt:lpstr>Cálculos intermedios &gt;&gt;</vt:lpstr>
      <vt:lpstr>Costos aguas abajo</vt:lpstr>
      <vt:lpstr>Administración usuario prepago</vt:lpstr>
      <vt:lpstr>Pagos Mayoristas</vt:lpstr>
      <vt:lpstr>Requerimiento de información &gt;&gt;</vt:lpstr>
      <vt:lpstr>Ofertas insignia</vt:lpstr>
      <vt:lpstr>Informacion del AEP</vt:lpstr>
      <vt:lpstr>Informacion de tráfico</vt:lpstr>
      <vt:lpstr>Oferta de Referencia &gt;&gt;</vt:lpstr>
      <vt:lpstr>Precio Mayorista</vt:lpstr>
      <vt:lpstr>Precios mayoristas efectivos</vt:lpstr>
      <vt:lpstr>Hoja Auxiliar</vt:lpstr>
      <vt:lpstr>Supuestos</vt:lpstr>
      <vt:lpstr>Hoja auxiliar gráficos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IFT</dc:creator>
  <cp:keywords/>
  <dc:description/>
  <cp:lastModifiedBy>UPR</cp:lastModifiedBy>
  <cp:revision/>
  <dcterms:created xsi:type="dcterms:W3CDTF">2003-10-24T13:18:20Z</dcterms:created>
  <dcterms:modified xsi:type="dcterms:W3CDTF">2025-09-29T17:23:47Z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0x0101003CD5121B912868449A3C5ACBE470BFC5</vt:lpwstr>
  </property>
  <property fmtid="{D5CDD505-2E9C-101B-9397-08002B2CF9AE}" pid="3" name="GVData">
    <vt:lpwstr>ew0KICAiZG9jSUQiOiAiZGE4NTUzZDUtM2EwNi00ZjAwLTllMDQtNTYxNzE3OGY2MjJlIg0KfQ==</vt:lpwstr>
  </property>
  <property fmtid="{D5CDD505-2E9C-101B-9397-08002B2CF9AE}" pid="4" name="GVData0">
    <vt:lpwstr>(end)</vt:lpwstr>
  </property>
</Properties>
</file>