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D:\Users\lizet.diaz\Desktop\Portal IFT Modelos Anonimizados 2023\"/>
    </mc:Choice>
  </mc:AlternateContent>
  <xr:revisionPtr revIDLastSave="0" documentId="13_ncr:1_{E63E5B95-7450-4367-9BA6-F495AAC17611}" xr6:coauthVersionLast="47" xr6:coauthVersionMax="47" xr10:uidLastSave="{00000000-0000-0000-0000-000000000000}"/>
  <bookViews>
    <workbookView xWindow="-110" yWindow="-110" windowWidth="19420" windowHeight="10420" activeTab="2" xr2:uid="{00000000-000D-0000-FFFF-FFFF00000000}"/>
  </bookViews>
  <sheets>
    <sheet name="S" sheetId="47" r:id="rId1"/>
    <sheet name="Resultados" sheetId="51" r:id="rId2"/>
    <sheet name="Modelo ITX cruzada" sheetId="49" r:id="rId3"/>
    <sheet name="Costos asociados" sheetId="52" r:id="rId4"/>
  </sheets>
  <definedNames>
    <definedName name="billion">1000000000</definedName>
    <definedName name="bit.conversion">1024</definedName>
    <definedName name="bit.per.byte">8</definedName>
    <definedName name="Caso">'Modelo ITX cruzada'!#REF!</definedName>
    <definedName name="cell.pi">2.6</definedName>
    <definedName name="days.per.month">30.42</definedName>
    <definedName name="days.per.year">365</definedName>
    <definedName name="epsilon">0.000001</definedName>
    <definedName name="hours.per.day">24</definedName>
    <definedName name="inflación">'Modelo ITX cruzada'!$E$40:$J$40</definedName>
    <definedName name="million">1000000</definedName>
    <definedName name="minutes.per.hour">60</definedName>
    <definedName name="months.per.year">12</definedName>
    <definedName name="numero.de.interconexiones">'Modelo ITX cruzada'!$E$30</definedName>
    <definedName name="numero.de.operadores">'Modelo ITX cruzada'!$E$29</definedName>
    <definedName name="seconds.per.hour">3600</definedName>
    <definedName name="seconds.per.minute">60</definedName>
    <definedName name="tasa.cambio.mxn.usd">'Modelo ITX cruzada'!$E$39:$L$39</definedName>
    <definedName name="tendencia.equipamiento">'Costos asociados'!$D$39</definedName>
    <definedName name="tendencia.opex">'Costos asociados'!$D$40</definedName>
    <definedName name="thousand">1000</definedName>
    <definedName name="wacc">'Modelo ITX cruzada'!$E$32</definedName>
    <definedName name="Workbook.Author">#REF!</definedName>
    <definedName name="Workbook.Authors_Email_Address">#REF!</definedName>
    <definedName name="Workbook.Objective">#REF!</definedName>
    <definedName name="Workbook.Status">#REF!</definedName>
    <definedName name="Workbook.Title">#REF!</definedName>
    <definedName name="Workbook.Version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49" l="1"/>
  <c r="G5" i="49" s="1"/>
  <c r="H5" i="49" s="1"/>
  <c r="I5" i="49" s="1"/>
  <c r="J5" i="49" s="1"/>
  <c r="K5" i="49" s="1"/>
  <c r="L5" i="49" s="1"/>
  <c r="O5" i="49"/>
  <c r="P5" i="49" s="1"/>
  <c r="Q5" i="49" s="1"/>
  <c r="R5" i="49" s="1"/>
  <c r="S5" i="49" s="1"/>
  <c r="T5" i="49" s="1"/>
  <c r="U5" i="49" s="1"/>
  <c r="C9" i="52" l="1"/>
  <c r="C10" i="52" l="1"/>
  <c r="F28" i="52" l="1"/>
  <c r="F63" i="49" l="1"/>
  <c r="G63" i="49" s="1"/>
  <c r="H63" i="49" s="1"/>
  <c r="I63" i="49" s="1"/>
  <c r="J63" i="49" s="1"/>
  <c r="K63" i="49" s="1"/>
  <c r="L63" i="49" s="1"/>
  <c r="F47" i="49"/>
  <c r="G47" i="49" s="1"/>
  <c r="H47" i="49" s="1"/>
  <c r="I47" i="49" s="1"/>
  <c r="J47" i="49" s="1"/>
  <c r="K47" i="49" s="1"/>
  <c r="L47" i="49" s="1"/>
  <c r="G29" i="52" a="1"/>
  <c r="G29" i="52" s="1"/>
  <c r="C34" i="52" s="1"/>
  <c r="C18" i="52"/>
  <c r="E14" i="52" a="1"/>
  <c r="E14" i="52" s="1"/>
  <c r="C19" i="52" s="1"/>
  <c r="I13" i="52"/>
  <c r="E10" i="52"/>
  <c r="G28" i="52" l="1"/>
  <c r="C33" i="52" s="1"/>
  <c r="B16" i="51"/>
  <c r="B9" i="51"/>
  <c r="F12" i="49" l="1"/>
  <c r="G12" i="49" s="1"/>
  <c r="H12" i="49" s="1"/>
  <c r="I12" i="49" s="1"/>
  <c r="J12" i="49" s="1"/>
  <c r="K12" i="49" s="1"/>
  <c r="L12" i="49" s="1"/>
  <c r="O12" i="49" l="1"/>
  <c r="P12" i="49" s="1"/>
  <c r="Q12" i="49" s="1"/>
  <c r="R12" i="49" s="1"/>
  <c r="S12" i="49" s="1"/>
  <c r="T12" i="49" s="1"/>
  <c r="U12" i="49" s="1"/>
  <c r="F38" i="49"/>
  <c r="G38" i="49" s="1"/>
  <c r="H38" i="49" s="1"/>
  <c r="I38" i="49" s="1"/>
  <c r="J38" i="49" s="1"/>
  <c r="K38" i="49" s="1"/>
  <c r="L38" i="49" s="1"/>
  <c r="E25" i="49" l="1"/>
  <c r="C12" i="52" s="1"/>
  <c r="B65" i="49" l="1" a="1"/>
  <c r="B68" i="49" s="1"/>
  <c r="B49" i="49" a="1"/>
  <c r="B49" i="49" s="1"/>
  <c r="B65" i="49" l="1"/>
  <c r="B67" i="49"/>
  <c r="B70" i="49"/>
  <c r="B66" i="49"/>
  <c r="B69" i="49"/>
  <c r="B51" i="49"/>
  <c r="B54" i="49"/>
  <c r="B50" i="49"/>
  <c r="B52" i="49"/>
  <c r="B53" i="49"/>
  <c r="E24" i="49"/>
  <c r="C11" i="52" s="1"/>
  <c r="C24" i="52" s="1" a="1"/>
  <c r="B24" i="52" l="1" a="1"/>
  <c r="B9" i="52" a="1"/>
  <c r="F31" i="49"/>
  <c r="B24" i="52" l="1"/>
  <c r="B27" i="52"/>
  <c r="B29" i="52"/>
  <c r="B25" i="52"/>
  <c r="B28" i="52"/>
  <c r="B26" i="52"/>
  <c r="B9" i="52"/>
  <c r="B14" i="52"/>
  <c r="B12" i="52"/>
  <c r="B13" i="52"/>
  <c r="B11" i="52"/>
  <c r="B10" i="52"/>
  <c r="E11" i="52"/>
  <c r="E9" i="52"/>
  <c r="G9" i="52" s="1" a="1"/>
  <c r="B14" i="49"/>
  <c r="B7" i="49"/>
  <c r="C70" i="49" l="1"/>
  <c r="E70" i="49" s="1"/>
  <c r="C54" i="49"/>
  <c r="C52" i="49"/>
  <c r="E52" i="49" s="1"/>
  <c r="F52" i="49" s="1"/>
  <c r="G52" i="49" s="1"/>
  <c r="H52" i="49" s="1"/>
  <c r="I52" i="49" s="1"/>
  <c r="J52" i="49" s="1"/>
  <c r="K52" i="49" s="1"/>
  <c r="L52" i="49" s="1"/>
  <c r="C50" i="49"/>
  <c r="E50" i="49" s="1"/>
  <c r="F50" i="49" s="1"/>
  <c r="G50" i="49" s="1"/>
  <c r="H50" i="49" s="1"/>
  <c r="I50" i="49" s="1"/>
  <c r="J50" i="49" s="1"/>
  <c r="K50" i="49" s="1"/>
  <c r="L50" i="49" s="1"/>
  <c r="C53" i="49"/>
  <c r="C69" i="49"/>
  <c r="G12" i="52"/>
  <c r="C27" i="52"/>
  <c r="G9" i="52"/>
  <c r="F24" i="52" s="1"/>
  <c r="C24" i="52"/>
  <c r="G11" i="52"/>
  <c r="F26" i="52" s="1"/>
  <c r="C26" i="52"/>
  <c r="G10" i="52"/>
  <c r="C25" i="52"/>
  <c r="C49" i="49"/>
  <c r="C51" i="49"/>
  <c r="E51" i="49" s="1"/>
  <c r="F51" i="49" s="1"/>
  <c r="G51" i="49" s="1"/>
  <c r="H51" i="49" s="1"/>
  <c r="I51" i="49" s="1"/>
  <c r="J51" i="49" s="1"/>
  <c r="K51" i="49" s="1"/>
  <c r="L51" i="49" s="1"/>
  <c r="E30" i="49"/>
  <c r="C75" i="49" l="1"/>
  <c r="I11" i="52"/>
  <c r="G26" i="52" s="1"/>
  <c r="C67" i="49" s="1"/>
  <c r="E67" i="49" s="1"/>
  <c r="F67" i="49" s="1"/>
  <c r="G67" i="49" s="1"/>
  <c r="H67" i="49" s="1"/>
  <c r="I67" i="49" s="1"/>
  <c r="J67" i="49" s="1"/>
  <c r="K67" i="49" s="1"/>
  <c r="L67" i="49" s="1"/>
  <c r="C74" i="49"/>
  <c r="E69" i="49"/>
  <c r="E53" i="49"/>
  <c r="E58" i="49" s="1"/>
  <c r="C58" i="49"/>
  <c r="C56" i="49" a="1"/>
  <c r="C56" i="49" s="1"/>
  <c r="F70" i="49"/>
  <c r="E75" i="49"/>
  <c r="C59" i="49"/>
  <c r="E54" i="49"/>
  <c r="E59" i="49" s="1"/>
  <c r="I9" i="52"/>
  <c r="G24" i="52" s="1"/>
  <c r="C65" i="49" s="1"/>
  <c r="E65" i="49" s="1"/>
  <c r="F65" i="49" s="1"/>
  <c r="G65" i="49" s="1"/>
  <c r="H65" i="49" s="1"/>
  <c r="I65" i="49" s="1"/>
  <c r="J65" i="49" s="1"/>
  <c r="K65" i="49" s="1"/>
  <c r="F25" i="52"/>
  <c r="I10" i="52"/>
  <c r="F27" i="52"/>
  <c r="I12" i="52"/>
  <c r="C16" i="52"/>
  <c r="C17" i="52" s="1"/>
  <c r="E49" i="49"/>
  <c r="L65" i="49" l="1"/>
  <c r="G27" i="52"/>
  <c r="C68" i="49" s="1"/>
  <c r="E68" i="49" s="1"/>
  <c r="F68" i="49" s="1"/>
  <c r="G68" i="49" s="1"/>
  <c r="H68" i="49" s="1"/>
  <c r="I68" i="49" s="1"/>
  <c r="J68" i="49" s="1"/>
  <c r="K68" i="49" s="1"/>
  <c r="L68" i="49" s="1"/>
  <c r="E56" i="49" a="1"/>
  <c r="E56" i="49" s="1"/>
  <c r="G25" i="52"/>
  <c r="C66" i="49" s="1"/>
  <c r="E66" i="49" s="1"/>
  <c r="F66" i="49" s="1"/>
  <c r="G66" i="49" s="1"/>
  <c r="H66" i="49" s="1"/>
  <c r="I66" i="49" s="1"/>
  <c r="J66" i="49" s="1"/>
  <c r="K66" i="49" s="1"/>
  <c r="L66" i="49" s="1"/>
  <c r="F53" i="49"/>
  <c r="F58" i="49" s="1"/>
  <c r="F49" i="49"/>
  <c r="G70" i="49"/>
  <c r="F75" i="49"/>
  <c r="F69" i="49"/>
  <c r="E74" i="49"/>
  <c r="F54" i="49"/>
  <c r="F59" i="49" s="1"/>
  <c r="C57" i="49"/>
  <c r="C31" i="52" l="1"/>
  <c r="C32" i="52" s="1"/>
  <c r="L72" i="49"/>
  <c r="K72" i="49"/>
  <c r="J72" i="49"/>
  <c r="E57" i="49"/>
  <c r="F56" i="49" a="1"/>
  <c r="F56" i="49" s="1"/>
  <c r="C72" i="49"/>
  <c r="C73" i="49" s="1"/>
  <c r="E72" i="49"/>
  <c r="G54" i="49"/>
  <c r="G59" i="49" s="1"/>
  <c r="G53" i="49"/>
  <c r="G58" i="49" s="1"/>
  <c r="G69" i="49"/>
  <c r="F74" i="49"/>
  <c r="H70" i="49"/>
  <c r="G75" i="49"/>
  <c r="G49" i="49"/>
  <c r="F72" i="49"/>
  <c r="J73" i="49" l="1"/>
  <c r="E73" i="49"/>
  <c r="K73" i="49"/>
  <c r="L73" i="49"/>
  <c r="F57" i="49"/>
  <c r="G56" i="49" a="1"/>
  <c r="G56" i="49" s="1"/>
  <c r="H54" i="49"/>
  <c r="H59" i="49" s="1"/>
  <c r="H49" i="49"/>
  <c r="I70" i="49"/>
  <c r="H75" i="49"/>
  <c r="H53" i="49"/>
  <c r="H58" i="49" s="1"/>
  <c r="H69" i="49"/>
  <c r="G74" i="49"/>
  <c r="F73" i="49"/>
  <c r="G72" i="49"/>
  <c r="G57" i="49" l="1"/>
  <c r="H56" i="49" a="1"/>
  <c r="H56" i="49" s="1"/>
  <c r="I75" i="49"/>
  <c r="J70" i="49"/>
  <c r="I53" i="49"/>
  <c r="I58" i="49" s="1"/>
  <c r="I49" i="49"/>
  <c r="I54" i="49"/>
  <c r="I59" i="49" s="1"/>
  <c r="I69" i="49"/>
  <c r="H74" i="49"/>
  <c r="H72" i="49"/>
  <c r="I72" i="49"/>
  <c r="G73" i="49"/>
  <c r="J75" i="49" l="1"/>
  <c r="K70" i="49"/>
  <c r="H57" i="49"/>
  <c r="I56" i="49" a="1"/>
  <c r="I56" i="49" s="1"/>
  <c r="J54" i="49"/>
  <c r="K54" i="49" s="1"/>
  <c r="J53" i="49"/>
  <c r="K53" i="49" s="1"/>
  <c r="I74" i="49"/>
  <c r="J69" i="49"/>
  <c r="J49" i="49"/>
  <c r="K49" i="49" s="1"/>
  <c r="K56" i="49" s="1" a="1"/>
  <c r="I73" i="49"/>
  <c r="H73" i="49"/>
  <c r="L54" i="49" l="1"/>
  <c r="K59" i="49"/>
  <c r="L49" i="49"/>
  <c r="L56" i="49" s="1" a="1"/>
  <c r="K56" i="49"/>
  <c r="J74" i="49"/>
  <c r="K69" i="49"/>
  <c r="K75" i="49"/>
  <c r="L70" i="49"/>
  <c r="L53" i="49"/>
  <c r="K58" i="49"/>
  <c r="I57" i="49"/>
  <c r="J56" i="49" a="1"/>
  <c r="J56" i="49" s="1"/>
  <c r="J58" i="49"/>
  <c r="J59" i="49"/>
  <c r="L75" i="49" l="1"/>
  <c r="L69" i="49"/>
  <c r="K74" i="49"/>
  <c r="K57" i="49"/>
  <c r="L56" i="49"/>
  <c r="L58" i="49"/>
  <c r="L59" i="49"/>
  <c r="J57" i="49"/>
  <c r="L57" i="49" l="1"/>
  <c r="N6" i="49" s="1" a="1"/>
  <c r="L74" i="49"/>
  <c r="N13" i="49" s="1" a="1"/>
  <c r="O13" i="49" l="1"/>
  <c r="T15" i="49"/>
  <c r="N15" i="49"/>
  <c r="R15" i="49"/>
  <c r="P15" i="49"/>
  <c r="S16" i="49"/>
  <c r="T16" i="49"/>
  <c r="P16" i="49"/>
  <c r="T14" i="49"/>
  <c r="N14" i="49"/>
  <c r="R14" i="49"/>
  <c r="P14" i="49"/>
  <c r="Q16" i="49"/>
  <c r="S13" i="49"/>
  <c r="R16" i="49"/>
  <c r="T13" i="49"/>
  <c r="N13" i="49"/>
  <c r="R13" i="49"/>
  <c r="P13" i="49"/>
  <c r="U16" i="49"/>
  <c r="O16" i="49"/>
  <c r="U13" i="49"/>
  <c r="N16" i="49"/>
  <c r="S15" i="49"/>
  <c r="U15" i="49"/>
  <c r="Q15" i="49"/>
  <c r="O15" i="49"/>
  <c r="Q14" i="49"/>
  <c r="S14" i="49"/>
  <c r="U14" i="49"/>
  <c r="O14" i="49"/>
  <c r="Q13" i="49"/>
  <c r="Q6" i="49"/>
  <c r="N6" i="49"/>
  <c r="O8" i="49"/>
  <c r="Q8" i="49"/>
  <c r="N9" i="49"/>
  <c r="O9" i="49"/>
  <c r="P9" i="49"/>
  <c r="Q7" i="49"/>
  <c r="N8" i="49"/>
  <c r="O6" i="49"/>
  <c r="P8" i="49"/>
  <c r="P6" i="49"/>
  <c r="N7" i="49"/>
  <c r="O7" i="49"/>
  <c r="P7" i="49"/>
  <c r="Q9" i="49"/>
  <c r="T6" i="49"/>
  <c r="U6" i="49"/>
  <c r="S8" i="49"/>
  <c r="T8" i="49"/>
  <c r="U7" i="49"/>
  <c r="S9" i="49"/>
  <c r="R9" i="49"/>
  <c r="R8" i="49"/>
  <c r="R7" i="49"/>
  <c r="U8" i="49"/>
  <c r="T7" i="49"/>
  <c r="S7" i="49"/>
  <c r="S6" i="49"/>
  <c r="R6" i="49"/>
  <c r="U9" i="49"/>
  <c r="T9" i="49"/>
  <c r="E6" i="49" l="1" a="1"/>
  <c r="E13" i="49" a="1"/>
  <c r="E13" i="49" l="1"/>
  <c r="L14" i="49"/>
  <c r="F16" i="51" s="1"/>
  <c r="K13" i="49"/>
  <c r="H16" i="49"/>
  <c r="F16" i="49"/>
  <c r="L15" i="49"/>
  <c r="E14" i="49"/>
  <c r="I13" i="49"/>
  <c r="J13" i="49"/>
  <c r="J16" i="49"/>
  <c r="H15" i="49"/>
  <c r="F15" i="49"/>
  <c r="J14" i="49"/>
  <c r="F13" i="49"/>
  <c r="G13" i="49"/>
  <c r="L16" i="49"/>
  <c r="J15" i="49"/>
  <c r="H14" i="49"/>
  <c r="F14" i="49"/>
  <c r="H13" i="49"/>
  <c r="K14" i="49"/>
  <c r="L13" i="49"/>
  <c r="F15" i="51" s="1"/>
  <c r="I16" i="49"/>
  <c r="G16" i="49"/>
  <c r="E16" i="49"/>
  <c r="K16" i="49"/>
  <c r="I15" i="49"/>
  <c r="G15" i="49"/>
  <c r="E15" i="49"/>
  <c r="K15" i="49"/>
  <c r="I14" i="49"/>
  <c r="G14" i="49"/>
  <c r="J6" i="49"/>
  <c r="I7" i="49"/>
  <c r="G7" i="49"/>
  <c r="E7" i="49"/>
  <c r="K7" i="49"/>
  <c r="H8" i="49"/>
  <c r="J8" i="49"/>
  <c r="I9" i="49"/>
  <c r="E8" i="49"/>
  <c r="I6" i="49"/>
  <c r="G6" i="49"/>
  <c r="E6" i="49"/>
  <c r="K6" i="49"/>
  <c r="L8" i="49"/>
  <c r="F10" i="51" s="1"/>
  <c r="G9" i="49"/>
  <c r="G8" i="49"/>
  <c r="H9" i="49"/>
  <c r="F9" i="49"/>
  <c r="L9" i="49"/>
  <c r="F11" i="51" s="1"/>
  <c r="J9" i="49"/>
  <c r="F8" i="49"/>
  <c r="E9" i="49"/>
  <c r="I8" i="49"/>
  <c r="K8" i="49"/>
  <c r="H7" i="49"/>
  <c r="F7" i="49"/>
  <c r="L7" i="49"/>
  <c r="F9" i="51" s="1"/>
  <c r="J7" i="49"/>
  <c r="H6" i="49"/>
  <c r="L6" i="49"/>
  <c r="F8" i="51" s="1"/>
  <c r="F6" i="49"/>
  <c r="K9" i="49"/>
  <c r="F17" i="51" l="1"/>
</calcChain>
</file>

<file path=xl/sharedStrings.xml><?xml version="1.0" encoding="utf-8"?>
<sst xmlns="http://schemas.openxmlformats.org/spreadsheetml/2006/main" count="171" uniqueCount="113">
  <si>
    <t>unlocked</t>
  </si>
  <si>
    <t>locked</t>
  </si>
  <si>
    <t>Calculation</t>
  </si>
  <si>
    <t>Output</t>
  </si>
  <si>
    <t>A key result from this part of the model (in particular one that will be used elsewhere in the model)</t>
  </si>
  <si>
    <t>Input Parameter</t>
  </si>
  <si>
    <t>Input Data</t>
  </si>
  <si>
    <t>Input Calculation</t>
  </si>
  <si>
    <t>Input Link</t>
  </si>
  <si>
    <t>Name</t>
  </si>
  <si>
    <t>A calculation of the model</t>
  </si>
  <si>
    <t>A piece of real data (only change if you have better data)</t>
  </si>
  <si>
    <t>An input to the model that it is expected the user will change (change at will)</t>
  </si>
  <si>
    <t>A side calculation intended solely to cross check a result (and which therefore should not be referenced anywhere else in the model)</t>
  </si>
  <si>
    <t>A total (use if not part of a "Sub-total row" or a "Total row" in a table - see below)</t>
  </si>
  <si>
    <t>Input Estimate</t>
  </si>
  <si>
    <t>An estimate used in the absence of real data (only change if you have a better estimate, or real data )</t>
  </si>
  <si>
    <t>Input cell styles</t>
  </si>
  <si>
    <t>Other cell styles</t>
  </si>
  <si>
    <t>Total</t>
  </si>
  <si>
    <t xml:space="preserve"> </t>
  </si>
  <si>
    <t>Input Link (different Workbook)</t>
  </si>
  <si>
    <t>An input to this part of the model, which is linked to a source on a worksheet in a different workbook</t>
  </si>
  <si>
    <t>Checksum</t>
  </si>
  <si>
    <t>Input Link (different Worksheet)</t>
  </si>
  <si>
    <t>An input to this part of the model, which is linked to a source on this worksheet within this workbook</t>
  </si>
  <si>
    <t>An input to this part of the model, which is linked to a source on another worksheet within this workbook</t>
  </si>
  <si>
    <t>Style guidelines</t>
  </si>
  <si>
    <r>
      <t xml:space="preserve">An Excel Name applying to one or more adjacent cells – use Create from Selection (on Formulas tab) </t>
    </r>
    <r>
      <rPr>
        <sz val="9"/>
        <rFont val="Arial"/>
        <family val="2"/>
      </rPr>
      <t>to actually create the Excel Names</t>
    </r>
  </si>
  <si>
    <t>An input to the model that has been calculated from other inputs (e.g. interpolated input values)</t>
  </si>
  <si>
    <t>Cable óptico</t>
  </si>
  <si>
    <t>Jumper óptico</t>
  </si>
  <si>
    <t>MXN</t>
  </si>
  <si>
    <t>Opex</t>
  </si>
  <si>
    <t>Escalerilla</t>
  </si>
  <si>
    <t>Fuente</t>
  </si>
  <si>
    <t>MXN:USD</t>
  </si>
  <si>
    <t>Opex (% capex)</t>
  </si>
  <si>
    <t>Número de operadores</t>
  </si>
  <si>
    <t>Unidades</t>
  </si>
  <si>
    <t>Costos instalación</t>
  </si>
  <si>
    <t>Totales</t>
  </si>
  <si>
    <t>Costos mantenimiento mensuales</t>
  </si>
  <si>
    <t>Número de interconexiones posibles</t>
  </si>
  <si>
    <t>numero.de.operadores</t>
  </si>
  <si>
    <t>numero.de.interconexiones</t>
  </si>
  <si>
    <t>Demarcador (switch)</t>
  </si>
  <si>
    <t>1Gbps</t>
  </si>
  <si>
    <t>10Gbps</t>
  </si>
  <si>
    <t>Multiplicador de precio</t>
  </si>
  <si>
    <t xml:space="preserve">Velocidad switch </t>
  </si>
  <si>
    <t>Equipo de transporte (Switch)</t>
  </si>
  <si>
    <t>DFO pequeño</t>
  </si>
  <si>
    <t>Capex</t>
  </si>
  <si>
    <t>Resultados del modelo</t>
  </si>
  <si>
    <t>Modelo de interconexión cruzada</t>
  </si>
  <si>
    <t>tasa.cambio.mxn.usd</t>
  </si>
  <si>
    <t>Costos comunes</t>
  </si>
  <si>
    <t>Costos construcción de escalerilla por ML</t>
  </si>
  <si>
    <t>Costos comunes por operador</t>
  </si>
  <si>
    <t>Costos despliegue fibra por ML</t>
  </si>
  <si>
    <t>Despliegue fibra por ML</t>
  </si>
  <si>
    <t>Construcción de escalerilla por ML</t>
  </si>
  <si>
    <t>Capex (MXN)</t>
  </si>
  <si>
    <t>Capex (USD)</t>
  </si>
  <si>
    <t>Installation</t>
  </si>
  <si>
    <t>Anualización</t>
  </si>
  <si>
    <t>Vida útil</t>
  </si>
  <si>
    <t>Incluir anualización</t>
  </si>
  <si>
    <t>Sí</t>
  </si>
  <si>
    <t>No</t>
  </si>
  <si>
    <t>CCPP nominal antes de impuestos</t>
  </si>
  <si>
    <t>wacc</t>
  </si>
  <si>
    <t>Costos comunes mensuales</t>
  </si>
  <si>
    <t>Parámetros del modelo</t>
  </si>
  <si>
    <t>Capex total (USD)</t>
  </si>
  <si>
    <t>USD</t>
  </si>
  <si>
    <t>USD/mes</t>
  </si>
  <si>
    <t>Opex total (USD)</t>
  </si>
  <si>
    <t>Oferta de Referencia, por metro lineal</t>
  </si>
  <si>
    <t>Opex mensual (USD)</t>
  </si>
  <si>
    <t>Costos mensual fibra por ML</t>
  </si>
  <si>
    <t>Costos mensual escalerilla por ML</t>
  </si>
  <si>
    <t>Escalerilla por ML</t>
  </si>
  <si>
    <t>Fibra por ML</t>
  </si>
  <si>
    <r>
      <rPr>
        <b/>
        <i/>
        <sz val="9"/>
        <color rgb="FFC41230"/>
        <rFont val="Arial"/>
        <family val="2"/>
      </rPr>
      <t xml:space="preserve">Nota: </t>
    </r>
    <r>
      <rPr>
        <i/>
        <sz val="9"/>
        <color rgb="FFC41230"/>
        <rFont val="Arial"/>
        <family val="2"/>
      </rPr>
      <t>Precio de construcción de escalerilla por ML ya definido en la Oferta de Referencia de Desagregación</t>
    </r>
  </si>
  <si>
    <r>
      <rPr>
        <b/>
        <i/>
        <sz val="9"/>
        <color rgb="FFC41230"/>
        <rFont val="Arial"/>
        <family val="2"/>
      </rPr>
      <t xml:space="preserve">Nota: </t>
    </r>
    <r>
      <rPr>
        <i/>
        <sz val="9"/>
        <color rgb="FFC41230"/>
        <rFont val="Arial"/>
        <family val="2"/>
      </rPr>
      <t>Precio mensual de mantenimiento de escalerilla por ML ya definido en la Oferta de Referencia de Desagregación</t>
    </r>
  </si>
  <si>
    <t>Opex mensual (MXN)</t>
  </si>
  <si>
    <t>Fibra y escalerilla por ML</t>
  </si>
  <si>
    <t>Resultados</t>
  </si>
  <si>
    <t>Precios de los enlaces de transmisión de interconexión gestionados entre coubicaciones</t>
  </si>
  <si>
    <t>Costos</t>
  </si>
  <si>
    <t>Capex unitario (2016)</t>
  </si>
  <si>
    <t>Opex mensual (2016)</t>
  </si>
  <si>
    <t>Tendencia de costes</t>
  </si>
  <si>
    <t>Tendencia de costo de equipamiento</t>
  </si>
  <si>
    <t>Tendencia de costo de opex</t>
  </si>
  <si>
    <t>tendencia.equipamiento</t>
  </si>
  <si>
    <t>tendencia.opex</t>
  </si>
  <si>
    <t>Escenario</t>
  </si>
  <si>
    <t>Interconexión cruzada</t>
  </si>
  <si>
    <t>5.80% real antes de impuestos</t>
  </si>
  <si>
    <t>IFT con información de Analysys Mason. Fibre NG SDH switch de 16 puertos</t>
  </si>
  <si>
    <t>IFT con información de Analysys Mason. Distribuidor óptico de 6 pares de fibra o 12 conectores simplex, estimado a USD70 por par de fibra</t>
  </si>
  <si>
    <t>IFT con información de Analysys Mason. Fibre NG SDH switch de 6 puertos</t>
  </si>
  <si>
    <t>IFT con información de Analysys Mason. Jumper óptico multimodo duplex 2mm con conectores, de 10m de longitud</t>
  </si>
  <si>
    <t>IFT con información de Analysys Mason. Cable de 12 fibras</t>
  </si>
  <si>
    <t>IFT con información de Analysys Mason.</t>
  </si>
  <si>
    <t>AÑO</t>
  </si>
  <si>
    <t>Expectativas BM</t>
  </si>
  <si>
    <r>
      <rPr>
        <b/>
        <i/>
        <sz val="9"/>
        <color theme="0"/>
        <rFont val="Arial"/>
        <family val="2"/>
      </rPr>
      <t xml:space="preserve">Fuente: </t>
    </r>
    <r>
      <rPr>
        <i/>
        <sz val="9"/>
        <color theme="0"/>
        <rFont val="Arial"/>
        <family val="2"/>
      </rPr>
      <t>Encuesta sobre las expectativas de los especialistas en economía del sector privado, julio 2022, Banco de México</t>
    </r>
  </si>
  <si>
    <r>
      <rPr>
        <b/>
        <i/>
        <sz val="9"/>
        <color rgb="FFC41230"/>
        <rFont val="Arial"/>
        <family val="2"/>
      </rPr>
      <t xml:space="preserve">Fuente: </t>
    </r>
    <r>
      <rPr>
        <i/>
        <sz val="9"/>
        <color rgb="FFC41230"/>
        <rFont val="Arial"/>
        <family val="2"/>
      </rPr>
      <t>Encuesta sobre las expectativas de los especialistas en economía del sector privado, julio 2022, Banco de México</t>
    </r>
  </si>
  <si>
    <t>Dado el Capex y Opex Nominal de cada año, se utiliza para transformar los dolares nominales de cada año a pesos nominales de cada año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</si>
</sst>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5">
    <numFmt numFmtId="164" formatCode="#,##0_);[Red]\-#,##0_);0_);@_)"/>
    <numFmt numFmtId="165" formatCode="#,##0.00_);[Red]\-#,##0.00_);0.00_);@_)"/>
    <numFmt numFmtId="166" formatCode="dd\ mmm\ yy_)"/>
    <numFmt numFmtId="167" formatCode="* _(#,##0_);[Red]* \(#,##0\);* _(&quot;-&quot;?_);@_)"/>
    <numFmt numFmtId="168" formatCode="* _(#,##0.00_);[Red]* \(#,##0.00\);* _(&quot;-&quot;?_);@_)"/>
    <numFmt numFmtId="169" formatCode="\€\ * _(#,##0_);[Red]\€\ * \(#,##0\);\€\ * _(&quot;-&quot;?_);@_)"/>
    <numFmt numFmtId="170" formatCode="\€\ * _(#,##0.00_);[Red]\€\ * \(#,##0.00\);\€\ * _(&quot;-&quot;?_);@_)"/>
    <numFmt numFmtId="171" formatCode="[$EUR]\ * _(#,##0_);[Red][$EUR]\ * \(#,##0\);[$EUR]\ * _(&quot;-&quot;?_);@_)"/>
    <numFmt numFmtId="172" formatCode="[$EUR]\ * _(#,##0.00_);[Red][$EUR]\ * \(#,##0.00\);[$EUR]\ * _(&quot;-&quot;?_);@_)"/>
    <numFmt numFmtId="173" formatCode="\$\ * _(#,##0_);[Red]\$\ * \(#,##0\);\$\ * _(&quot;-&quot;?_);@_)"/>
    <numFmt numFmtId="174" formatCode="\$\ * _(#,##0.00_);[Red]\$\ * \(#,##0.00\);\$\ * _(&quot;-&quot;?_);@_)"/>
    <numFmt numFmtId="175" formatCode="[$USD]\ * _(#,##0_);[Red][$USD]\ * \(#,##0\);[$USD]\ * _(&quot;-&quot;?_);@_)"/>
    <numFmt numFmtId="176" formatCode="[$USD]\ * _(#,##0.00_);[Red][$USD]\ * \(#,##0.00\);[$USD]\ * _(&quot;-&quot;?_);@_)"/>
    <numFmt numFmtId="177" formatCode="\£\ * _(#,##0_);[Red]\£\ * \(#,##0\);\£\ * _(&quot;-&quot;?_);@_)"/>
    <numFmt numFmtId="178" formatCode="\£\ * _(#,##0.00_);[Red]\£\ * \(#,##0.00\);\£\ * _(&quot;-&quot;?_);@_)"/>
    <numFmt numFmtId="179" formatCode="[$GBP]\ * _(#,##0_);[Red][$GBP]\ * \(#,##0\);[$GBP]\ * _(&quot;-&quot;?_);@_)"/>
    <numFmt numFmtId="180" formatCode="[$GBP]\ * _(#,##0.00_);[Red][$GBP]\ * \(#,##0.00\);[$GBP]\ * _(&quot;-&quot;?_);@_)"/>
    <numFmt numFmtId="181" formatCode="mmm\ yy_)"/>
    <numFmt numFmtId="182" formatCode="yyyy_)"/>
    <numFmt numFmtId="183" formatCode="#,##0_);[Red]\-#,##0_);&quot;-&quot;?_);@_)"/>
    <numFmt numFmtId="184" formatCode="#,##0.00_);[Red]\-#,##0.00_);&quot;-&quot;?_);@_)"/>
    <numFmt numFmtId="185" formatCode="#,##0%;[Red]\-#,##0%;&quot;-&quot;\%;@_)"/>
    <numFmt numFmtId="186" formatCode="#,##0.00%;[Red]\-#,##0.00%;&quot;-&quot;\%;@_)"/>
    <numFmt numFmtId="187" formatCode="#,##0.0_);[Red]\-#,##0.0_);&quot;-&quot;?_);@_)"/>
    <numFmt numFmtId="188" formatCode="#,##0.0%;[Red]\-#,##0.0%;&quot;-&quot;\%;@_)"/>
  </numFmts>
  <fonts count="23" x14ac:knownFonts="1">
    <font>
      <sz val="9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b/>
      <sz val="18"/>
      <name val="Arial"/>
      <family val="2"/>
    </font>
    <font>
      <b/>
      <sz val="14"/>
      <name val="Arial"/>
      <family val="2"/>
    </font>
    <font>
      <b/>
      <sz val="9"/>
      <name val="Arial"/>
      <family val="2"/>
    </font>
    <font>
      <b/>
      <sz val="22"/>
      <name val="Arial"/>
      <family val="2"/>
    </font>
    <font>
      <sz val="8"/>
      <name val="Arial"/>
      <family val="2"/>
    </font>
    <font>
      <i/>
      <sz val="9"/>
      <color indexed="55"/>
      <name val="Arial"/>
      <family val="2"/>
    </font>
    <font>
      <i/>
      <sz val="9"/>
      <name val="Arial"/>
      <family val="2"/>
    </font>
    <font>
      <i/>
      <sz val="9"/>
      <color rgb="FFC41230"/>
      <name val="Arial"/>
      <family val="2"/>
    </font>
    <font>
      <b/>
      <sz val="9"/>
      <color rgb="FFFFFFFF"/>
      <name val="Arial"/>
      <family val="2"/>
    </font>
    <font>
      <sz val="9"/>
      <color rgb="FFFFFFFF"/>
      <name val="Arial"/>
      <family val="2"/>
    </font>
    <font>
      <b/>
      <sz val="9"/>
      <color rgb="FFC41230"/>
      <name val="Arial"/>
      <family val="2"/>
    </font>
    <font>
      <b/>
      <sz val="13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b/>
      <i/>
      <sz val="9"/>
      <color rgb="FFC41230"/>
      <name val="Arial"/>
      <family val="2"/>
    </font>
    <font>
      <b/>
      <sz val="10"/>
      <name val="Arial"/>
      <family val="2"/>
    </font>
    <font>
      <sz val="9"/>
      <color theme="0"/>
      <name val="Arial"/>
      <family val="2"/>
    </font>
    <font>
      <sz val="9"/>
      <name val="Arial"/>
      <family val="2"/>
      <scheme val="minor"/>
    </font>
    <font>
      <i/>
      <sz val="9"/>
      <color theme="0"/>
      <name val="Arial"/>
      <family val="2"/>
    </font>
    <font>
      <b/>
      <i/>
      <sz val="9"/>
      <color theme="0"/>
      <name val="Arial"/>
      <family val="2"/>
    </font>
    <font>
      <sz val="9"/>
      <color theme="1"/>
      <name val="Arial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AB3"/>
        <bgColor indexed="15"/>
      </patternFill>
    </fill>
    <fill>
      <patternFill patternType="solid">
        <fgColor rgb="FFD0FFD0"/>
        <bgColor indexed="64"/>
      </patternFill>
    </fill>
    <fill>
      <patternFill patternType="solid">
        <fgColor rgb="FFB4FF3C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E0A0"/>
        <bgColor indexed="64"/>
      </patternFill>
    </fill>
    <fill>
      <patternFill patternType="solid">
        <fgColor rgb="FF221F72"/>
        <bgColor indexed="64"/>
      </patternFill>
    </fill>
    <fill>
      <patternFill patternType="solid">
        <fgColor rgb="FFC4D0E9"/>
        <bgColor indexed="64"/>
      </patternFill>
    </fill>
    <fill>
      <patternFill patternType="solid">
        <fgColor rgb="FF221F72"/>
        <bgColor rgb="FF221F72"/>
      </patternFill>
    </fill>
    <fill>
      <patternFill patternType="solid">
        <fgColor rgb="FFFFFF0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AB3"/>
        <bgColor indexed="64"/>
      </patternFill>
    </fill>
    <fill>
      <patternFill patternType="solid">
        <fgColor theme="1" tint="0.89999084444715716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rgb="FF0000FF"/>
      </left>
      <right style="thin">
        <color rgb="FF0000FF"/>
      </right>
      <top style="thin">
        <color rgb="FF0000FF"/>
      </top>
      <bottom style="thin">
        <color rgb="FF0000FF"/>
      </bottom>
      <diagonal/>
    </border>
    <border>
      <left style="thin">
        <color rgb="FF00C000"/>
      </left>
      <right style="thin">
        <color rgb="FF00C000"/>
      </right>
      <top style="thin">
        <color rgb="FF00C000"/>
      </top>
      <bottom style="thin">
        <color rgb="FF00C000"/>
      </bottom>
      <diagonal/>
    </border>
    <border>
      <left/>
      <right/>
      <top style="medium">
        <color rgb="FFC4D0E9"/>
      </top>
      <bottom style="medium">
        <color rgb="FFC4D0E9"/>
      </bottom>
      <diagonal/>
    </border>
    <border>
      <left/>
      <right/>
      <top style="medium">
        <color rgb="FFC4D0E9"/>
      </top>
      <bottom/>
      <diagonal/>
    </border>
    <border>
      <left style="dotted">
        <color rgb="FF00C000"/>
      </left>
      <right style="dotted">
        <color rgb="FF00C000"/>
      </right>
      <top style="dotted">
        <color rgb="FF00C000"/>
      </top>
      <bottom style="dotted">
        <color rgb="FF00C000"/>
      </bottom>
      <diagonal/>
    </border>
    <border>
      <left/>
      <right/>
      <top style="medium">
        <color indexed="41"/>
      </top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indexed="57"/>
      </left>
      <right style="thin">
        <color indexed="57"/>
      </right>
      <top style="thin">
        <color indexed="57"/>
      </top>
      <bottom style="thin">
        <color indexed="57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/>
      <right/>
      <top/>
      <bottom style="thin">
        <color theme="4" tint="0.39997558519241921"/>
      </bottom>
      <diagonal/>
    </border>
  </borders>
  <cellStyleXfs count="61">
    <xf numFmtId="0" fontId="0" fillId="0" borderId="0">
      <alignment vertical="center"/>
    </xf>
    <xf numFmtId="0" fontId="2" fillId="0" borderId="0" applyNumberFormat="0" applyAlignment="0">
      <alignment vertical="center"/>
    </xf>
    <xf numFmtId="165" fontId="8" fillId="0" borderId="0" applyNumberFormat="0" applyAlignment="0">
      <alignment vertical="center"/>
    </xf>
    <xf numFmtId="0" fontId="11" fillId="10" borderId="0" applyNumberFormat="0">
      <alignment horizontal="center" vertical="top" wrapText="1"/>
    </xf>
    <xf numFmtId="0" fontId="11" fillId="8" borderId="0" applyNumberFormat="0">
      <alignment horizontal="left" vertical="top" wrapText="1"/>
    </xf>
    <xf numFmtId="0" fontId="11" fillId="8" borderId="0" applyNumberFormat="0">
      <alignment horizontal="centerContinuous" vertical="top"/>
    </xf>
    <xf numFmtId="0" fontId="12" fillId="8" borderId="0" applyNumberFormat="0">
      <alignment horizontal="center" vertical="top" wrapText="1"/>
    </xf>
    <xf numFmtId="167" fontId="2" fillId="0" borderId="0" applyFont="0" applyFill="0" applyBorder="0" applyAlignment="0" applyProtection="0">
      <alignment vertical="center"/>
    </xf>
    <xf numFmtId="168" fontId="2" fillId="0" borderId="0" applyFont="0" applyFill="0" applyBorder="0" applyAlignment="0" applyProtection="0">
      <alignment vertical="center"/>
    </xf>
    <xf numFmtId="173" fontId="2" fillId="0" borderId="0" applyFont="0" applyFill="0" applyBorder="0" applyAlignment="0" applyProtection="0">
      <alignment vertical="center"/>
    </xf>
    <xf numFmtId="174" fontId="2" fillId="0" borderId="0" applyFont="0" applyFill="0" applyBorder="0" applyAlignment="0" applyProtection="0">
      <alignment vertical="center"/>
    </xf>
    <xf numFmtId="171" fontId="2" fillId="0" borderId="0" applyFont="0" applyFill="0" applyBorder="0" applyAlignment="0" applyProtection="0">
      <alignment vertical="center"/>
    </xf>
    <xf numFmtId="172" fontId="2" fillId="0" borderId="0" applyFont="0" applyFill="0" applyBorder="0" applyAlignment="0" applyProtection="0">
      <alignment vertical="center"/>
    </xf>
    <xf numFmtId="169" fontId="2" fillId="0" borderId="0" applyFont="0" applyFill="0" applyBorder="0" applyAlignment="0" applyProtection="0">
      <alignment vertical="center"/>
    </xf>
    <xf numFmtId="170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80" fontId="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5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66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2" fontId="2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horizontal="left" vertical="center"/>
    </xf>
    <xf numFmtId="0" fontId="5" fillId="0" borderId="0" applyNumberFormat="0" applyFill="0" applyBorder="0" applyAlignment="0" applyProtection="0">
      <alignment vertical="center"/>
    </xf>
    <xf numFmtId="0" fontId="2" fillId="11" borderId="0" applyNumberFormat="0" applyFont="0" applyBorder="0" applyAlignment="0" applyProtection="0">
      <alignment vertical="center"/>
    </xf>
    <xf numFmtId="0" fontId="2" fillId="0" borderId="5" applyNumberFormat="0" applyAlignment="0">
      <alignment vertical="center"/>
    </xf>
    <xf numFmtId="0" fontId="2" fillId="0" borderId="2" applyNumberFormat="0" applyAlignment="0">
      <alignment vertical="center"/>
      <protection locked="0"/>
    </xf>
    <xf numFmtId="164" fontId="2" fillId="3" borderId="2" applyNumberFormat="0" applyAlignment="0">
      <alignment vertical="center"/>
      <protection locked="0"/>
    </xf>
    <xf numFmtId="0" fontId="2" fillId="4" borderId="0" applyNumberFormat="0" applyAlignment="0">
      <alignment vertical="center"/>
    </xf>
    <xf numFmtId="0" fontId="2" fillId="6" borderId="0" applyNumberFormat="0" applyAlignment="0">
      <alignment vertical="center"/>
    </xf>
    <xf numFmtId="0" fontId="2" fillId="5" borderId="0" applyNumberFormat="0" applyAlignment="0">
      <alignment vertical="center"/>
    </xf>
    <xf numFmtId="0" fontId="2" fillId="0" borderId="1" applyNumberFormat="0" applyAlignment="0">
      <alignment vertical="center"/>
      <protection locked="0"/>
    </xf>
    <xf numFmtId="0" fontId="10" fillId="0" borderId="0" applyNumberFormat="0" applyAlignment="0">
      <alignment vertical="center"/>
    </xf>
    <xf numFmtId="0" fontId="7" fillId="0" borderId="0" applyNumberForma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4" fontId="2" fillId="0" borderId="0" applyFont="0" applyFill="0" applyBorder="0" applyAlignment="0" applyProtection="0">
      <alignment vertical="center"/>
    </xf>
    <xf numFmtId="0" fontId="2" fillId="7" borderId="0" applyNumberFormat="0" applyFont="0" applyBorder="0" applyAlignment="0" applyProtection="0">
      <alignment vertical="center"/>
    </xf>
    <xf numFmtId="185" fontId="2" fillId="0" borderId="0" applyFont="0" applyFill="0" applyBorder="0" applyAlignment="0" applyProtection="0">
      <alignment horizontal="right" vertical="center"/>
    </xf>
    <xf numFmtId="186" fontId="2" fillId="0" borderId="0" applyFont="0" applyFill="0" applyBorder="0" applyAlignment="0" applyProtection="0">
      <alignment vertical="center"/>
    </xf>
    <xf numFmtId="0" fontId="5" fillId="0" borderId="0" applyNumberFormat="0" applyFill="0" applyBorder="0">
      <alignment horizontal="left" vertical="center" wrapText="1"/>
    </xf>
    <xf numFmtId="0" fontId="2" fillId="0" borderId="0" applyNumberFormat="0" applyFill="0" applyBorder="0">
      <alignment horizontal="left" vertical="center" wrapText="1" indent="1"/>
    </xf>
    <xf numFmtId="164" fontId="5" fillId="0" borderId="3" applyNumberFormat="0" applyFill="0" applyAlignment="0" applyProtection="0">
      <alignment vertical="center"/>
    </xf>
    <xf numFmtId="164" fontId="2" fillId="0" borderId="4" applyNumberFormat="0" applyFont="0" applyFill="0" applyAlignment="0" applyProtection="0">
      <alignment vertical="center"/>
    </xf>
    <xf numFmtId="0" fontId="2" fillId="2" borderId="0" applyNumberFormat="0" applyFont="0" applyBorder="0" applyAlignment="0" applyProtection="0">
      <alignment vertical="center"/>
    </xf>
    <xf numFmtId="0" fontId="2" fillId="0" borderId="0" applyNumberFormat="0" applyFont="0" applyFill="0" applyAlignment="0" applyProtection="0">
      <alignment vertical="center"/>
    </xf>
    <xf numFmtId="164" fontId="2" fillId="0" borderId="0" applyNumberFormat="0" applyFont="0" applyBorder="0" applyAlignment="0" applyProtection="0">
      <alignment vertical="center"/>
    </xf>
    <xf numFmtId="49" fontId="2" fillId="0" borderId="0" applyFont="0" applyFill="0" applyBorder="0" applyAlignment="0" applyProtection="0">
      <alignment horizontal="center" vertical="center"/>
    </xf>
    <xf numFmtId="164" fontId="5" fillId="0" borderId="0" applyNumberFormat="0" applyFill="0" applyBorder="0" applyAlignment="0" applyProtection="0">
      <alignment vertical="center"/>
    </xf>
    <xf numFmtId="164" fontId="5" fillId="9" borderId="0" applyNumberFormat="0" applyAlignment="0" applyProtection="0">
      <alignment vertical="center"/>
    </xf>
    <xf numFmtId="0" fontId="2" fillId="0" borderId="0" applyNumberFormat="0" applyFont="0" applyBorder="0" applyAlignment="0" applyProtection="0">
      <alignment vertical="center"/>
    </xf>
    <xf numFmtId="0" fontId="2" fillId="0" borderId="0" applyNumberFormat="0" applyFont="0" applyAlignment="0" applyProtection="0">
      <alignment vertical="center"/>
    </xf>
    <xf numFmtId="0" fontId="2" fillId="0" borderId="0">
      <alignment vertical="center"/>
    </xf>
    <xf numFmtId="0" fontId="6" fillId="0" borderId="0" applyFill="0" applyBorder="0" applyAlignment="0" applyProtection="0">
      <alignment vertical="center"/>
    </xf>
    <xf numFmtId="0" fontId="3" fillId="0" borderId="0" applyFill="0" applyBorder="0" applyAlignment="0" applyProtection="0">
      <alignment vertical="center"/>
    </xf>
    <xf numFmtId="0" fontId="6" fillId="12" borderId="0" applyNumberFormat="0">
      <alignment vertical="center"/>
    </xf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2" fillId="0" borderId="10" applyNumberFormat="0" applyAlignment="0">
      <alignment vertical="center"/>
      <protection locked="0"/>
    </xf>
  </cellStyleXfs>
  <cellXfs count="103">
    <xf numFmtId="0" fontId="0" fillId="0" borderId="0" xfId="0">
      <alignment vertical="center"/>
    </xf>
    <xf numFmtId="0" fontId="11" fillId="10" borderId="0" xfId="3">
      <alignment horizontal="center" vertical="top" wrapText="1"/>
    </xf>
    <xf numFmtId="183" fontId="0" fillId="0" borderId="0" xfId="37" applyFont="1">
      <alignment vertical="center"/>
    </xf>
    <xf numFmtId="0" fontId="5" fillId="0" borderId="0" xfId="42">
      <alignment horizontal="left" vertical="center" wrapText="1"/>
    </xf>
    <xf numFmtId="0" fontId="4" fillId="0" borderId="0" xfId="24">
      <alignment vertical="center"/>
    </xf>
    <xf numFmtId="164" fontId="2" fillId="0" borderId="1" xfId="34" applyNumberFormat="1">
      <alignment vertical="center"/>
      <protection locked="0"/>
    </xf>
    <xf numFmtId="164" fontId="2" fillId="0" borderId="5" xfId="28" applyNumberFormat="1">
      <alignment vertical="center"/>
    </xf>
    <xf numFmtId="164" fontId="2" fillId="0" borderId="2" xfId="29" applyNumberFormat="1">
      <alignment vertical="center"/>
      <protection locked="0"/>
    </xf>
    <xf numFmtId="164" fontId="2" fillId="4" borderId="0" xfId="31" applyNumberFormat="1">
      <alignment vertical="center"/>
    </xf>
    <xf numFmtId="164" fontId="2" fillId="0" borderId="0" xfId="1" applyNumberFormat="1">
      <alignment vertical="center"/>
    </xf>
    <xf numFmtId="164" fontId="2" fillId="7" borderId="0" xfId="39" applyNumberFormat="1">
      <alignment vertical="center"/>
    </xf>
    <xf numFmtId="0" fontId="7" fillId="0" borderId="0" xfId="36">
      <alignment vertical="center"/>
    </xf>
    <xf numFmtId="164" fontId="10" fillId="0" borderId="0" xfId="35" applyNumberFormat="1">
      <alignment vertical="center"/>
    </xf>
    <xf numFmtId="0" fontId="0" fillId="0" borderId="0" xfId="0">
      <alignment vertical="center"/>
    </xf>
    <xf numFmtId="0" fontId="10" fillId="0" borderId="0" xfId="35">
      <alignment vertical="center"/>
    </xf>
    <xf numFmtId="0" fontId="0" fillId="0" borderId="0" xfId="52" applyFont="1">
      <alignment vertical="center"/>
    </xf>
    <xf numFmtId="164" fontId="2" fillId="3" borderId="2" xfId="30">
      <alignment vertical="center"/>
      <protection locked="0"/>
    </xf>
    <xf numFmtId="0" fontId="5" fillId="0" borderId="0" xfId="42" applyAlignment="1">
      <alignment horizontal="left" vertical="center" wrapText="1"/>
    </xf>
    <xf numFmtId="0" fontId="0" fillId="0" borderId="0" xfId="0" applyBorder="1">
      <alignment vertical="center"/>
    </xf>
    <xf numFmtId="165" fontId="8" fillId="0" borderId="0" xfId="2">
      <alignment vertical="center"/>
    </xf>
    <xf numFmtId="0" fontId="11" fillId="8" borderId="0" xfId="4">
      <alignment horizontal="left" vertical="top" wrapText="1"/>
    </xf>
    <xf numFmtId="164" fontId="2" fillId="6" borderId="0" xfId="32" applyNumberFormat="1">
      <alignment vertical="center"/>
    </xf>
    <xf numFmtId="164" fontId="5" fillId="0" borderId="0" xfId="5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5" borderId="0" xfId="33">
      <alignment vertical="center"/>
    </xf>
    <xf numFmtId="0" fontId="6" fillId="0" borderId="0" xfId="55" applyFill="1" applyBorder="1">
      <alignment vertical="center"/>
    </xf>
    <xf numFmtId="0" fontId="6" fillId="0" borderId="0" xfId="55" applyFill="1">
      <alignment vertical="center"/>
    </xf>
    <xf numFmtId="183" fontId="2" fillId="0" borderId="2" xfId="29" applyNumberFormat="1">
      <alignment vertical="center"/>
      <protection locked="0"/>
    </xf>
    <xf numFmtId="185" fontId="2" fillId="3" borderId="2" xfId="40" applyFill="1" applyBorder="1" applyAlignment="1" applyProtection="1">
      <alignment vertical="center"/>
      <protection locked="0"/>
    </xf>
    <xf numFmtId="183" fontId="2" fillId="0" borderId="5" xfId="28" applyNumberFormat="1">
      <alignment vertical="center"/>
    </xf>
    <xf numFmtId="0" fontId="0" fillId="0" borderId="0" xfId="0" applyFill="1" applyBorder="1">
      <alignment vertical="center"/>
    </xf>
    <xf numFmtId="184" fontId="2" fillId="0" borderId="2" xfId="38" applyBorder="1" applyProtection="1">
      <alignment vertical="center"/>
      <protection locked="0"/>
    </xf>
    <xf numFmtId="0" fontId="5" fillId="0" borderId="0" xfId="0" applyFont="1">
      <alignment vertical="center"/>
    </xf>
    <xf numFmtId="0" fontId="5" fillId="0" borderId="0" xfId="0" applyFont="1" applyFill="1" applyBorder="1">
      <alignment vertical="center"/>
    </xf>
    <xf numFmtId="0" fontId="13" fillId="0" borderId="0" xfId="35" applyFont="1">
      <alignment vertical="center"/>
    </xf>
    <xf numFmtId="0" fontId="5" fillId="0" borderId="0" xfId="42" applyFill="1" applyBorder="1">
      <alignment horizontal="left" vertical="center" wrapText="1"/>
    </xf>
    <xf numFmtId="0" fontId="0" fillId="0" borderId="6" xfId="0" applyBorder="1">
      <alignment vertical="center"/>
    </xf>
    <xf numFmtId="0" fontId="8" fillId="0" borderId="0" xfId="2" applyNumberFormat="1">
      <alignment vertical="center"/>
    </xf>
    <xf numFmtId="183" fontId="2" fillId="0" borderId="1" xfId="34" applyNumberFormat="1">
      <alignment vertical="center"/>
      <protection locked="0"/>
    </xf>
    <xf numFmtId="0" fontId="2" fillId="0" borderId="1" xfId="34">
      <alignment vertical="center"/>
      <protection locked="0"/>
    </xf>
    <xf numFmtId="183" fontId="2" fillId="0" borderId="1" xfId="37" applyBorder="1" applyProtection="1">
      <alignment vertical="center"/>
      <protection locked="0"/>
    </xf>
    <xf numFmtId="183" fontId="2" fillId="4" borderId="0" xfId="31" applyNumberFormat="1">
      <alignment vertical="center"/>
    </xf>
    <xf numFmtId="0" fontId="9" fillId="0" borderId="0" xfId="0" applyFont="1">
      <alignment vertical="center"/>
    </xf>
    <xf numFmtId="183" fontId="2" fillId="0" borderId="5" xfId="37" applyBorder="1">
      <alignment vertical="center"/>
    </xf>
    <xf numFmtId="187" fontId="2" fillId="0" borderId="1" xfId="38" applyNumberFormat="1" applyBorder="1" applyProtection="1">
      <alignment vertical="center"/>
      <protection locked="0"/>
    </xf>
    <xf numFmtId="0" fontId="0" fillId="0" borderId="0" xfId="0" applyAlignment="1">
      <alignment vertical="center" wrapText="1"/>
    </xf>
    <xf numFmtId="0" fontId="14" fillId="0" borderId="7" xfId="58" applyAlignment="1">
      <alignment vertical="center"/>
    </xf>
    <xf numFmtId="183" fontId="14" fillId="0" borderId="7" xfId="58" applyNumberFormat="1" applyAlignment="1" applyProtection="1">
      <alignment vertical="center"/>
      <protection locked="0"/>
    </xf>
    <xf numFmtId="0" fontId="14" fillId="0" borderId="7" xfId="58" applyNumberFormat="1" applyAlignment="1">
      <alignment vertical="center"/>
    </xf>
    <xf numFmtId="0" fontId="15" fillId="0" borderId="8" xfId="59" applyAlignment="1">
      <alignment vertical="center"/>
    </xf>
    <xf numFmtId="184" fontId="2" fillId="4" borderId="0" xfId="31" applyNumberFormat="1">
      <alignment vertical="center"/>
    </xf>
    <xf numFmtId="184" fontId="2" fillId="0" borderId="5" xfId="38" applyBorder="1">
      <alignment vertical="center"/>
    </xf>
    <xf numFmtId="184" fontId="2" fillId="7" borderId="0" xfId="38" applyFill="1">
      <alignment vertical="center"/>
    </xf>
    <xf numFmtId="184" fontId="2" fillId="13" borderId="5" xfId="38" applyFill="1" applyBorder="1">
      <alignment vertical="center"/>
    </xf>
    <xf numFmtId="183" fontId="2" fillId="3" borderId="2" xfId="37" applyFill="1" applyBorder="1" applyProtection="1">
      <alignment vertical="center"/>
      <protection locked="0"/>
    </xf>
    <xf numFmtId="184" fontId="0" fillId="0" borderId="0" xfId="38" applyFont="1" applyAlignment="1"/>
    <xf numFmtId="184" fontId="0" fillId="13" borderId="0" xfId="38" applyFont="1" applyFill="1" applyAlignment="1"/>
    <xf numFmtId="184" fontId="0" fillId="0" borderId="0" xfId="38" applyFont="1">
      <alignment vertical="center"/>
    </xf>
    <xf numFmtId="9" fontId="0" fillId="0" borderId="0" xfId="0" applyNumberFormat="1">
      <alignment vertical="center"/>
    </xf>
    <xf numFmtId="184" fontId="0" fillId="13" borderId="0" xfId="38" applyFont="1" applyFill="1">
      <alignment vertical="center"/>
    </xf>
    <xf numFmtId="187" fontId="2" fillId="0" borderId="2" xfId="38" applyNumberFormat="1" applyBorder="1" applyProtection="1">
      <alignment vertical="center"/>
      <protection locked="0"/>
    </xf>
    <xf numFmtId="0" fontId="16" fillId="0" borderId="0" xfId="35" applyFo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13" fillId="0" borderId="0" xfId="35" applyFont="1" applyAlignment="1">
      <alignment horizontal="center" vertical="center"/>
    </xf>
    <xf numFmtId="165" fontId="2" fillId="0" borderId="9" xfId="38" applyNumberFormat="1" applyBorder="1" applyProtection="1">
      <alignment vertical="center"/>
      <protection locked="0"/>
    </xf>
    <xf numFmtId="0" fontId="6" fillId="0" borderId="0" xfId="57" applyFill="1" applyBorder="1">
      <alignment vertical="center"/>
    </xf>
    <xf numFmtId="0" fontId="6" fillId="0" borderId="0" xfId="57" applyFont="1" applyFill="1">
      <alignment vertical="center"/>
    </xf>
    <xf numFmtId="0" fontId="11" fillId="8" borderId="0" xfId="4" applyAlignment="1">
      <alignment horizontal="center" vertical="top" wrapText="1"/>
    </xf>
    <xf numFmtId="184" fontId="2" fillId="5" borderId="0" xfId="38" applyFill="1">
      <alignment vertical="center"/>
    </xf>
    <xf numFmtId="0" fontId="5" fillId="0" borderId="0" xfId="0" applyFont="1" applyAlignment="1">
      <alignment horizontal="left" vertical="center" indent="1"/>
    </xf>
    <xf numFmtId="0" fontId="9" fillId="0" borderId="0" xfId="0" applyFont="1" applyAlignment="1">
      <alignment horizontal="left" vertical="center" indent="1"/>
    </xf>
    <xf numFmtId="0" fontId="17" fillId="0" borderId="0" xfId="0" applyFont="1" applyAlignment="1">
      <alignment horizontal="left" vertical="center"/>
    </xf>
    <xf numFmtId="187" fontId="2" fillId="5" borderId="0" xfId="33" applyNumberFormat="1">
      <alignment vertical="center"/>
    </xf>
    <xf numFmtId="187" fontId="2" fillId="4" borderId="0" xfId="31" applyNumberFormat="1">
      <alignment vertical="center"/>
    </xf>
    <xf numFmtId="187" fontId="2" fillId="5" borderId="0" xfId="37" applyNumberFormat="1" applyFill="1">
      <alignment vertical="center"/>
    </xf>
    <xf numFmtId="187" fontId="0" fillId="0" borderId="0" xfId="0" applyNumberFormat="1">
      <alignment vertical="center"/>
    </xf>
    <xf numFmtId="187" fontId="2" fillId="4" borderId="0" xfId="37" applyNumberFormat="1" applyFill="1">
      <alignment vertical="center"/>
    </xf>
    <xf numFmtId="187" fontId="0" fillId="0" borderId="0" xfId="0" applyNumberFormat="1" applyFill="1" applyBorder="1">
      <alignment vertical="center"/>
    </xf>
    <xf numFmtId="187" fontId="5" fillId="0" borderId="0" xfId="0" applyNumberFormat="1" applyFont="1" applyFill="1" applyBorder="1">
      <alignment vertical="center"/>
    </xf>
    <xf numFmtId="187" fontId="2" fillId="0" borderId="5" xfId="38" applyNumberFormat="1" applyBorder="1">
      <alignment vertical="center"/>
    </xf>
    <xf numFmtId="187" fontId="2" fillId="0" borderId="5" xfId="28" applyNumberFormat="1">
      <alignment vertical="center"/>
    </xf>
    <xf numFmtId="187" fontId="0" fillId="0" borderId="0" xfId="37" applyNumberFormat="1" applyFont="1">
      <alignment vertical="center"/>
    </xf>
    <xf numFmtId="187" fontId="2" fillId="4" borderId="0" xfId="31" applyNumberFormat="1" applyFont="1">
      <alignment vertical="center"/>
    </xf>
    <xf numFmtId="187" fontId="0" fillId="0" borderId="0" xfId="0" applyNumberFormat="1" applyFont="1" applyFill="1" applyBorder="1">
      <alignment vertical="center"/>
    </xf>
    <xf numFmtId="188" fontId="2" fillId="0" borderId="1" xfId="34" applyNumberFormat="1" applyAlignment="1">
      <alignment vertical="center"/>
      <protection locked="0"/>
    </xf>
    <xf numFmtId="183" fontId="2" fillId="5" borderId="0" xfId="33" applyNumberFormat="1">
      <alignment vertical="center"/>
    </xf>
    <xf numFmtId="0" fontId="10" fillId="0" borderId="0" xfId="35" applyFill="1">
      <alignment vertical="center"/>
    </xf>
    <xf numFmtId="186" fontId="2" fillId="0" borderId="2" xfId="41" applyFill="1" applyBorder="1" applyProtection="1">
      <alignment vertical="center"/>
      <protection locked="0"/>
    </xf>
    <xf numFmtId="165" fontId="2" fillId="0" borderId="9" xfId="29" applyNumberFormat="1" applyFill="1" applyBorder="1">
      <alignment vertical="center"/>
      <protection locked="0"/>
    </xf>
    <xf numFmtId="165" fontId="2" fillId="0" borderId="10" xfId="60" applyNumberFormat="1" applyFill="1" applyBorder="1">
      <alignment vertical="center"/>
      <protection locked="0"/>
    </xf>
    <xf numFmtId="0" fontId="5" fillId="0" borderId="0" xfId="42" applyAlignment="1">
      <alignment horizontal="left" vertical="center"/>
    </xf>
    <xf numFmtId="184" fontId="2" fillId="0" borderId="2" xfId="38" applyFill="1" applyBorder="1" applyProtection="1">
      <alignment vertical="center"/>
      <protection locked="0"/>
    </xf>
    <xf numFmtId="184" fontId="2" fillId="0" borderId="5" xfId="38" applyFill="1" applyBorder="1">
      <alignment vertical="center"/>
    </xf>
    <xf numFmtId="0" fontId="0" fillId="14" borderId="0" xfId="0" applyFill="1">
      <alignment vertical="center"/>
    </xf>
    <xf numFmtId="0" fontId="18" fillId="0" borderId="0" xfId="0" applyFont="1">
      <alignment vertical="center"/>
    </xf>
    <xf numFmtId="0" fontId="18" fillId="15" borderId="0" xfId="0" applyFont="1" applyFill="1">
      <alignment vertical="center"/>
    </xf>
    <xf numFmtId="0" fontId="19" fillId="0" borderId="7" xfId="58" applyFont="1" applyAlignment="1">
      <alignment vertical="center"/>
    </xf>
    <xf numFmtId="0" fontId="20" fillId="0" borderId="0" xfId="35" applyFont="1" applyFill="1">
      <alignment vertical="center"/>
    </xf>
    <xf numFmtId="184" fontId="2" fillId="0" borderId="5" xfId="28" applyNumberFormat="1">
      <alignment vertical="center"/>
    </xf>
    <xf numFmtId="184" fontId="2" fillId="0" borderId="5" xfId="38" applyNumberFormat="1" applyBorder="1">
      <alignment vertical="center"/>
    </xf>
    <xf numFmtId="2" fontId="22" fillId="0" borderId="11" xfId="0" applyNumberFormat="1" applyFont="1" applyBorder="1" applyAlignment="1"/>
  </cellXfs>
  <cellStyles count="61">
    <cellStyle name="Cálculo" xfId="1" builtinId="22" customBuiltin="1"/>
    <cellStyle name="Checksum" xfId="2" xr:uid="{00000000-0005-0000-0000-000001000000}"/>
    <cellStyle name="Column label" xfId="3" xr:uid="{00000000-0005-0000-0000-000002000000}"/>
    <cellStyle name="Column label (left aligned)" xfId="4" xr:uid="{00000000-0005-0000-0000-000003000000}"/>
    <cellStyle name="Column label (no wrap)" xfId="5" xr:uid="{00000000-0005-0000-0000-000004000000}"/>
    <cellStyle name="Column label (not bold)" xfId="6" xr:uid="{00000000-0005-0000-0000-000005000000}"/>
    <cellStyle name="Currency (0dp)" xfId="7" xr:uid="{00000000-0005-0000-0000-000006000000}"/>
    <cellStyle name="Currency (2dp)" xfId="8" xr:uid="{00000000-0005-0000-0000-000007000000}"/>
    <cellStyle name="Currency Dollar" xfId="9" xr:uid="{00000000-0005-0000-0000-000008000000}"/>
    <cellStyle name="Currency Dollar (2dp)" xfId="10" xr:uid="{00000000-0005-0000-0000-000009000000}"/>
    <cellStyle name="Currency EUR" xfId="11" xr:uid="{00000000-0005-0000-0000-00000A000000}"/>
    <cellStyle name="Currency EUR (2dp)" xfId="12" xr:uid="{00000000-0005-0000-0000-00000B000000}"/>
    <cellStyle name="Currency Euro" xfId="13" xr:uid="{00000000-0005-0000-0000-00000C000000}"/>
    <cellStyle name="Currency Euro (2dp)" xfId="14" xr:uid="{00000000-0005-0000-0000-00000D000000}"/>
    <cellStyle name="Currency GBP" xfId="15" xr:uid="{00000000-0005-0000-0000-00000E000000}"/>
    <cellStyle name="Currency GBP (2dp)" xfId="16" xr:uid="{00000000-0005-0000-0000-00000F000000}"/>
    <cellStyle name="Currency Pound" xfId="17" xr:uid="{00000000-0005-0000-0000-000010000000}"/>
    <cellStyle name="Currency Pound (2dp)" xfId="18" xr:uid="{00000000-0005-0000-0000-000011000000}"/>
    <cellStyle name="Currency USD" xfId="19" xr:uid="{00000000-0005-0000-0000-000012000000}"/>
    <cellStyle name="Currency USD (2dp)" xfId="20" xr:uid="{00000000-0005-0000-0000-000013000000}"/>
    <cellStyle name="Date" xfId="21" xr:uid="{00000000-0005-0000-0000-000014000000}"/>
    <cellStyle name="Date (Month)" xfId="22" xr:uid="{00000000-0005-0000-0000-000015000000}"/>
    <cellStyle name="Date (Year)" xfId="23" xr:uid="{00000000-0005-0000-0000-000016000000}"/>
    <cellStyle name="H0" xfId="55" xr:uid="{00000000-0005-0000-0000-000017000000}"/>
    <cellStyle name="H0 2" xfId="57" xr:uid="{00000000-0005-0000-0000-000018000000}"/>
    <cellStyle name="H1" xfId="56" xr:uid="{00000000-0005-0000-0000-000019000000}"/>
    <cellStyle name="H2" xfId="24" xr:uid="{00000000-0005-0000-0000-00001A000000}"/>
    <cellStyle name="H3" xfId="25" xr:uid="{00000000-0005-0000-0000-00001B000000}"/>
    <cellStyle name="H4" xfId="26" xr:uid="{00000000-0005-0000-0000-00001C000000}"/>
    <cellStyle name="Highlight" xfId="27" xr:uid="{00000000-0005-0000-0000-00001D000000}"/>
    <cellStyle name="Input calculation" xfId="28" xr:uid="{00000000-0005-0000-0000-00001E000000}"/>
    <cellStyle name="Input data" xfId="29" xr:uid="{00000000-0005-0000-0000-00001F000000}"/>
    <cellStyle name="Input estimate" xfId="30" xr:uid="{00000000-0005-0000-0000-000020000000}"/>
    <cellStyle name="Input link" xfId="31" xr:uid="{00000000-0005-0000-0000-000021000000}"/>
    <cellStyle name="Input link (different workbook)" xfId="32" xr:uid="{00000000-0005-0000-0000-000022000000}"/>
    <cellStyle name="Input Link (different Worksheet)" xfId="33" xr:uid="{00000000-0005-0000-0000-000023000000}"/>
    <cellStyle name="Input parameter" xfId="34" xr:uid="{00000000-0005-0000-0000-000024000000}"/>
    <cellStyle name="Input parameter 2" xfId="60" xr:uid="{00000000-0005-0000-0000-000025000000}"/>
    <cellStyle name="Name" xfId="35" xr:uid="{00000000-0005-0000-0000-000026000000}"/>
    <cellStyle name="Normal" xfId="0" builtinId="0"/>
    <cellStyle name="Normal 2" xfId="54" xr:uid="{00000000-0005-0000-0000-000028000000}"/>
    <cellStyle name="Notas" xfId="36" builtinId="10" customBuiltin="1"/>
    <cellStyle name="Number" xfId="37" xr:uid="{00000000-0005-0000-0000-00002A000000}"/>
    <cellStyle name="Number (2dp)" xfId="38" xr:uid="{00000000-0005-0000-0000-00002B000000}"/>
    <cellStyle name="Percentage" xfId="40" xr:uid="{00000000-0005-0000-0000-00002C000000}"/>
    <cellStyle name="Percentage (2dp)" xfId="41" xr:uid="{00000000-0005-0000-0000-00002D000000}"/>
    <cellStyle name="Row label" xfId="42" xr:uid="{00000000-0005-0000-0000-00002E000000}"/>
    <cellStyle name="Row label (indent)" xfId="43" xr:uid="{00000000-0005-0000-0000-00002F000000}"/>
    <cellStyle name="Salida" xfId="39" builtinId="21" customBuiltin="1"/>
    <cellStyle name="Sub-total row" xfId="44" xr:uid="{00000000-0005-0000-0000-000031000000}"/>
    <cellStyle name="Table finish row" xfId="45" xr:uid="{00000000-0005-0000-0000-000032000000}"/>
    <cellStyle name="Table shading" xfId="46" xr:uid="{00000000-0005-0000-0000-000033000000}"/>
    <cellStyle name="Table unfinish row" xfId="47" xr:uid="{00000000-0005-0000-0000-000034000000}"/>
    <cellStyle name="Table unshading" xfId="48" xr:uid="{00000000-0005-0000-0000-000035000000}"/>
    <cellStyle name="Text" xfId="49" xr:uid="{00000000-0005-0000-0000-000036000000}"/>
    <cellStyle name="Título 2" xfId="58" builtinId="17"/>
    <cellStyle name="Título 3" xfId="59" builtinId="18"/>
    <cellStyle name="Total" xfId="50" builtinId="25" customBuiltin="1"/>
    <cellStyle name="Total row" xfId="51" xr:uid="{00000000-0005-0000-0000-00003A000000}"/>
    <cellStyle name="Unhighlight" xfId="52" xr:uid="{00000000-0005-0000-0000-00003B000000}"/>
    <cellStyle name="Untotal row" xfId="53" xr:uid="{00000000-0005-0000-0000-00003C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8080"/>
      <rgbColor rgb="00BFDCF9"/>
      <rgbColor rgb="00C00000"/>
      <rgbColor rgb="00008000"/>
      <rgbColor rgb="000000C0"/>
      <rgbColor rgb="00808000"/>
      <rgbColor rgb="00FF00FF"/>
      <rgbColor rgb="000060C0"/>
      <rgbColor rgb="00E0E0E0"/>
      <rgbColor rgb="00A0A0A0"/>
      <rgbColor rgb="00DDB9D8"/>
      <rgbColor rgb="00CDDCEF"/>
      <rgbColor rgb="00A6BEDA"/>
      <rgbColor rgb="00F6DCC2"/>
      <rgbColor rgb="00EFC2C1"/>
      <rgbColor rgb="00DBD7DB"/>
      <rgbColor rgb="00C2CAAA"/>
      <rgbColor rgb="00F5EEB9"/>
      <rgbColor rgb="00A670A1"/>
      <rgbColor rgb="0099CEFF"/>
      <rgbColor rgb="0000679A"/>
      <rgbColor rgb="00ECB088"/>
      <rgbColor rgb="00ED7F7F"/>
      <rgbColor rgb="00A79FAF"/>
      <rgbColor rgb="0049BB3D"/>
      <rgbColor rgb="00E3DE15"/>
      <rgbColor rgb="00C0C0FF"/>
      <rgbColor rgb="00CCECFF"/>
      <rgbColor rgb="00D0FFD0"/>
      <rgbColor rgb="00FFFFA0"/>
      <rgbColor rgb="00E0E0FF"/>
      <rgbColor rgb="00FFC0C0"/>
      <rgbColor rgb="00FFC0FF"/>
      <rgbColor rgb="00FFF1C9"/>
      <rgbColor rgb="008080FF"/>
      <rgbColor rgb="000080FF"/>
      <rgbColor rgb="00C0C000"/>
      <rgbColor rgb="00FFE0A0"/>
      <rgbColor rgb="00FF8000"/>
      <rgbColor rgb="00C06000"/>
      <rgbColor rgb="00C000C0"/>
      <rgbColor rgb="00C0C0C0"/>
      <rgbColor rgb="00003A47"/>
      <rgbColor rgb="0000C000"/>
      <rgbColor rgb="00006000"/>
      <rgbColor rgb="00606000"/>
      <rgbColor rgb="00804000"/>
      <rgbColor rgb="00FF80FF"/>
      <rgbColor rgb="00800080"/>
      <rgbColor rgb="00808080"/>
    </indexedColors>
    <mruColors>
      <color rgb="FF00FFFF"/>
      <color rgb="FFFFFAB3"/>
      <color rgb="FFC41230"/>
      <color rgb="FF000000"/>
      <color rgb="FF221F72"/>
      <color rgb="FFC4D0E9"/>
      <color rgb="FFFFFFFF"/>
      <color rgb="FFFFE0A0"/>
      <color rgb="FFFFFF00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AnalysysMasonXL">
  <a:themeElements>
    <a:clrScheme name="AnalysysMasonXL">
      <a:dk1>
        <a:srgbClr val="003352"/>
      </a:dk1>
      <a:lt1>
        <a:srgbClr val="FFFFFF"/>
      </a:lt1>
      <a:dk2>
        <a:srgbClr val="003352"/>
      </a:dk2>
      <a:lt2>
        <a:srgbClr val="61586C"/>
      </a:lt2>
      <a:accent1>
        <a:srgbClr val="221F72"/>
      </a:accent1>
      <a:accent2>
        <a:srgbClr val="6762D4"/>
      </a:accent2>
      <a:accent3>
        <a:srgbClr val="A5A2E6"/>
      </a:accent3>
      <a:accent4>
        <a:srgbClr val="5A2149"/>
      </a:accent4>
      <a:accent5>
        <a:srgbClr val="9F3B80"/>
      </a:accent5>
      <a:accent6>
        <a:srgbClr val="D284BA"/>
      </a:accent6>
      <a:hlink>
        <a:srgbClr val="013352"/>
      </a:hlink>
      <a:folHlink>
        <a:srgbClr val="003352"/>
      </a:folHlink>
    </a:clrScheme>
    <a:fontScheme name="Office Classic 2">
      <a:majorFont>
        <a:latin typeface="Arial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reamble3">
    <outlinePr summaryBelow="0"/>
    <pageSetUpPr autoPageBreaks="0" fitToPage="1"/>
  </sheetPr>
  <dimension ref="A1:K29"/>
  <sheetViews>
    <sheetView showGridLines="0" defaultGridColor="0" colorId="22" zoomScale="110" zoomScaleNormal="110" workbookViewId="0">
      <pane ySplit="1" topLeftCell="A2" activePane="bottomLeft" state="frozen"/>
      <selection pane="bottomLeft"/>
    </sheetView>
  </sheetViews>
  <sheetFormatPr baseColWidth="10" defaultColWidth="12.69921875" defaultRowHeight="11.5" x14ac:dyDescent="0.25"/>
  <cols>
    <col min="1" max="1" width="2.69921875" customWidth="1"/>
    <col min="2" max="2" width="26.59765625" customWidth="1"/>
  </cols>
  <sheetData>
    <row r="1" spans="1:5" s="23" customFormat="1" ht="33.75" customHeight="1" x14ac:dyDescent="0.25">
      <c r="C1" s="26" t="s">
        <v>27</v>
      </c>
    </row>
    <row r="2" spans="1:5" s="18" customFormat="1" ht="12" customHeight="1" x14ac:dyDescent="0.25"/>
    <row r="3" spans="1:5" ht="18" x14ac:dyDescent="0.25">
      <c r="A3" s="4" t="s">
        <v>17</v>
      </c>
    </row>
    <row r="5" spans="1:5" x14ac:dyDescent="0.25">
      <c r="B5" s="17" t="s">
        <v>5</v>
      </c>
      <c r="C5" s="5">
        <v>100</v>
      </c>
      <c r="D5" s="11" t="s">
        <v>0</v>
      </c>
      <c r="E5" t="s">
        <v>12</v>
      </c>
    </row>
    <row r="7" spans="1:5" x14ac:dyDescent="0.25">
      <c r="B7" s="3" t="s">
        <v>6</v>
      </c>
      <c r="C7" s="7">
        <v>100</v>
      </c>
      <c r="D7" s="11" t="s">
        <v>0</v>
      </c>
      <c r="E7" t="s">
        <v>11</v>
      </c>
    </row>
    <row r="9" spans="1:5" x14ac:dyDescent="0.25">
      <c r="B9" s="3" t="s">
        <v>15</v>
      </c>
      <c r="C9" s="16">
        <v>100</v>
      </c>
      <c r="D9" s="11" t="s">
        <v>0</v>
      </c>
      <c r="E9" t="s">
        <v>16</v>
      </c>
    </row>
    <row r="11" spans="1:5" x14ac:dyDescent="0.25">
      <c r="B11" s="3" t="s">
        <v>7</v>
      </c>
      <c r="C11" s="6">
        <v>100</v>
      </c>
      <c r="D11" s="11" t="s">
        <v>1</v>
      </c>
      <c r="E11" t="s">
        <v>29</v>
      </c>
    </row>
    <row r="13" spans="1:5" x14ac:dyDescent="0.25">
      <c r="B13" s="3" t="s">
        <v>8</v>
      </c>
      <c r="C13" s="8">
        <v>100</v>
      </c>
      <c r="D13" s="11" t="s">
        <v>1</v>
      </c>
      <c r="E13" t="s">
        <v>25</v>
      </c>
    </row>
    <row r="15" spans="1:5" ht="12" customHeight="1" x14ac:dyDescent="0.25">
      <c r="B15" s="92" t="s">
        <v>24</v>
      </c>
      <c r="C15" s="25">
        <v>100</v>
      </c>
      <c r="D15" s="11" t="s">
        <v>1</v>
      </c>
      <c r="E15" t="s">
        <v>26</v>
      </c>
    </row>
    <row r="17" spans="1:11" ht="12" customHeight="1" x14ac:dyDescent="0.25">
      <c r="B17" s="92" t="s">
        <v>21</v>
      </c>
      <c r="C17" s="21">
        <v>100</v>
      </c>
      <c r="D17" s="11" t="s">
        <v>1</v>
      </c>
      <c r="E17" t="s">
        <v>22</v>
      </c>
    </row>
    <row r="19" spans="1:11" ht="18" x14ac:dyDescent="0.25">
      <c r="A19" s="4" t="s">
        <v>18</v>
      </c>
    </row>
    <row r="21" spans="1:11" x14ac:dyDescent="0.25">
      <c r="B21" s="3" t="s">
        <v>2</v>
      </c>
      <c r="C21" s="9">
        <v>100</v>
      </c>
      <c r="D21" s="11" t="s">
        <v>1</v>
      </c>
      <c r="E21" t="s">
        <v>10</v>
      </c>
    </row>
    <row r="22" spans="1:11" x14ac:dyDescent="0.25">
      <c r="C22" s="9"/>
    </row>
    <row r="23" spans="1:11" x14ac:dyDescent="0.25">
      <c r="B23" s="3" t="s">
        <v>19</v>
      </c>
      <c r="C23" s="22">
        <v>123.45</v>
      </c>
      <c r="E23" t="s">
        <v>14</v>
      </c>
    </row>
    <row r="25" spans="1:11" ht="12" x14ac:dyDescent="0.25">
      <c r="B25" s="3" t="s">
        <v>23</v>
      </c>
      <c r="C25" s="19">
        <v>0</v>
      </c>
      <c r="D25" s="11" t="s">
        <v>1</v>
      </c>
      <c r="E25" t="s">
        <v>13</v>
      </c>
      <c r="F25" s="15"/>
      <c r="G25" s="15"/>
      <c r="H25" s="15"/>
      <c r="I25" s="15"/>
      <c r="J25" s="15"/>
      <c r="K25" s="15"/>
    </row>
    <row r="27" spans="1:11" x14ac:dyDescent="0.25">
      <c r="B27" s="3" t="s">
        <v>3</v>
      </c>
      <c r="C27" s="10">
        <v>100</v>
      </c>
      <c r="E27" t="s">
        <v>4</v>
      </c>
    </row>
    <row r="29" spans="1:11" ht="12" x14ac:dyDescent="0.25">
      <c r="B29" s="3" t="s">
        <v>9</v>
      </c>
      <c r="C29" s="12" t="s">
        <v>9</v>
      </c>
      <c r="D29" s="11" t="s">
        <v>1</v>
      </c>
      <c r="E29" t="s">
        <v>28</v>
      </c>
    </row>
  </sheetData>
  <phoneticPr fontId="0" type="noConversion"/>
  <pageMargins left="0.74803149606299213" right="0.74803149606299213" top="0.51181102362204722" bottom="0.51181102362204722" header="0.51181102362204722" footer="0.35433070866141736"/>
  <pageSetup paperSize="9" fitToHeight="0" orientation="landscape" horizontalDpi="4294967292" verticalDpi="4294967292" r:id="rId1"/>
  <headerFooter alignWithMargins="0">
    <oddFooter xml:space="preserve">&amp;L&amp;F : &amp;A&amp;CPrinted at &amp;T on &amp;D&amp;RCommercial in confidence © Analysys Mason 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FFFF00"/>
    <pageSetUpPr autoPageBreaks="0"/>
  </sheetPr>
  <dimension ref="B1:I17"/>
  <sheetViews>
    <sheetView showGridLines="0" defaultGridColor="0" colorId="22" zoomScaleNormal="100" workbookViewId="0">
      <pane ySplit="1" topLeftCell="A2" activePane="bottomLeft" state="frozen"/>
      <selection pane="bottomLeft" activeCell="H11" sqref="H11"/>
    </sheetView>
  </sheetViews>
  <sheetFormatPr baseColWidth="10" defaultColWidth="12.69921875" defaultRowHeight="11.5" x14ac:dyDescent="0.25"/>
  <cols>
    <col min="1" max="1" width="6.69921875" style="13" customWidth="1"/>
    <col min="2" max="6" width="12.69921875" style="13"/>
    <col min="7" max="7" width="12.3984375" style="13" customWidth="1"/>
    <col min="8" max="8" width="23.69921875" style="13" customWidth="1"/>
    <col min="9" max="9" width="53.09765625" style="13" bestFit="1" customWidth="1"/>
    <col min="10" max="10" width="2.69921875" style="13" customWidth="1"/>
    <col min="11" max="16384" width="12.69921875" style="13"/>
  </cols>
  <sheetData>
    <row r="1" spans="2:9" s="67" customFormat="1" ht="33.75" customHeight="1" x14ac:dyDescent="0.25">
      <c r="D1" s="68" t="s">
        <v>89</v>
      </c>
    </row>
    <row r="4" spans="2:9" ht="13" x14ac:dyDescent="0.25">
      <c r="B4" s="73" t="s">
        <v>90</v>
      </c>
    </row>
    <row r="6" spans="2:9" x14ac:dyDescent="0.25">
      <c r="E6" s="95" t="s">
        <v>108</v>
      </c>
      <c r="F6" s="69">
        <v>2023</v>
      </c>
    </row>
    <row r="7" spans="2:9" x14ac:dyDescent="0.25">
      <c r="B7" s="71" t="s">
        <v>40</v>
      </c>
    </row>
    <row r="8" spans="2:9" ht="12" x14ac:dyDescent="0.25">
      <c r="B8" s="72" t="s">
        <v>41</v>
      </c>
      <c r="F8" s="70">
        <f>VLOOKUP(B8,'Modelo ITX cruzada'!$B$5:$M$9,Resultados!$F$6-2012,FALSE)</f>
        <v>314394.36632935441</v>
      </c>
    </row>
    <row r="9" spans="2:9" ht="12" x14ac:dyDescent="0.25">
      <c r="B9" s="72" t="str">
        <f>"Por operador ("&amp;numero.de.operadores&amp;" operadores)"</f>
        <v>Por operador (2 operadores)</v>
      </c>
      <c r="F9" s="70">
        <f>VLOOKUP(B9,'Modelo ITX cruzada'!$B$5:$M$9,Resultados!$F$6-2012,FALSE)</f>
        <v>157197.1831646772</v>
      </c>
      <c r="I9" s="14"/>
    </row>
    <row r="10" spans="2:9" ht="12" x14ac:dyDescent="0.25">
      <c r="B10" s="72" t="s">
        <v>61</v>
      </c>
      <c r="F10" s="70">
        <f>VLOOKUP(B10,'Modelo ITX cruzada'!$B$5:$M$9,Resultados!$F$6-2012,FALSE)</f>
        <v>60.744150270645335</v>
      </c>
    </row>
    <row r="11" spans="2:9" ht="12" x14ac:dyDescent="0.25">
      <c r="B11" s="72" t="s">
        <v>62</v>
      </c>
      <c r="F11" s="70">
        <f>VLOOKUP(B11,'Modelo ITX cruzada'!$B$5:$M$9,Resultados!$F$6-2012,FALSE)</f>
        <v>577.75053842763293</v>
      </c>
    </row>
    <row r="12" spans="2:9" ht="12" x14ac:dyDescent="0.25">
      <c r="B12" s="72"/>
      <c r="F12" s="58"/>
    </row>
    <row r="13" spans="2:9" ht="12" x14ac:dyDescent="0.25">
      <c r="B13" s="72"/>
      <c r="F13" s="58"/>
    </row>
    <row r="14" spans="2:9" x14ac:dyDescent="0.25">
      <c r="B14" s="71" t="s">
        <v>42</v>
      </c>
      <c r="F14" s="58"/>
    </row>
    <row r="15" spans="2:9" ht="12" x14ac:dyDescent="0.25">
      <c r="B15" s="72" t="s">
        <v>41</v>
      </c>
      <c r="F15" s="70">
        <f>VLOOKUP(B15,'Modelo ITX cruzada'!$B$12:$M$16,Resultados!$F$6-2012,FALSE)</f>
        <v>3087.3616211449103</v>
      </c>
    </row>
    <row r="16" spans="2:9" ht="12" x14ac:dyDescent="0.25">
      <c r="B16" s="72" t="str">
        <f>"Por operador ("&amp;numero.de.operadores&amp;" operadores)"</f>
        <v>Por operador (2 operadores)</v>
      </c>
      <c r="F16" s="70">
        <f>VLOOKUP(B16,'Modelo ITX cruzada'!$B$12:$M$16,Resultados!$F$6-2012,FALSE)</f>
        <v>1543.6808105724551</v>
      </c>
      <c r="I16" s="14"/>
    </row>
    <row r="17" spans="2:6" ht="12" x14ac:dyDescent="0.25">
      <c r="B17" s="72" t="s">
        <v>88</v>
      </c>
      <c r="F17" s="70">
        <f>VLOOKUP("Fibra por ML",'Modelo ITX cruzada'!$B$12:$M$16,Resultados!$F$6-2012,FALSE)+VLOOKUP("Escalerilla por ML",'Modelo ITX cruzada'!$B$12:$M$16,Resultados!$F$6-2012,FALSE)</f>
        <v>16.448078053372587</v>
      </c>
    </row>
  </sheetData>
  <pageMargins left="0.70866141732283472" right="0.70866141732283472" top="0.51181102362204722" bottom="0.51181102362204722" header="0.51181102362204722" footer="0.35433070866141736"/>
  <pageSetup paperSize="9" orientation="landscape" horizontalDpi="4294967292" verticalDpi="4294967292" r:id="rId1"/>
  <headerFooter alignWithMargins="0">
    <oddFooter xml:space="preserve">&amp;L&amp;F : &amp;A&amp;CPrinted at &amp;T on &amp;D&amp;RCommercial in confidence © Analysys Mason 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>
    <pageSetUpPr autoPageBreaks="0"/>
  </sheetPr>
  <dimension ref="A1:Y76"/>
  <sheetViews>
    <sheetView showGridLines="0" tabSelected="1" defaultGridColor="0" colorId="22" zoomScale="90" zoomScaleNormal="90" workbookViewId="0"/>
  </sheetViews>
  <sheetFormatPr baseColWidth="10" defaultColWidth="12.69921875" defaultRowHeight="11.5" x14ac:dyDescent="0.25"/>
  <cols>
    <col min="1" max="1" width="6.69921875" customWidth="1"/>
    <col min="2" max="2" width="42.09765625" customWidth="1"/>
    <col min="3" max="3" width="16.09765625" style="13" customWidth="1"/>
    <col min="4" max="4" width="4.09765625" style="13" customWidth="1"/>
    <col min="5" max="5" width="16.09765625" style="13" customWidth="1"/>
    <col min="6" max="6" width="16.09765625" customWidth="1"/>
    <col min="7" max="7" width="16.09765625" style="13" customWidth="1"/>
    <col min="8" max="9" width="16.09765625" customWidth="1"/>
    <col min="11" max="11" width="12.69921875" style="13" customWidth="1"/>
    <col min="12" max="13" width="12.8984375" style="13" customWidth="1"/>
  </cols>
  <sheetData>
    <row r="1" spans="1:25" s="24" customFormat="1" ht="33.75" customHeight="1" x14ac:dyDescent="0.25">
      <c r="A1" s="24" t="s">
        <v>20</v>
      </c>
      <c r="C1" s="27" t="s">
        <v>100</v>
      </c>
    </row>
    <row r="2" spans="1:25" s="13" customFormat="1" x14ac:dyDescent="0.25"/>
    <row r="3" spans="1:25" s="13" customFormat="1" ht="17" thickBot="1" x14ac:dyDescent="0.3">
      <c r="A3" s="47"/>
      <c r="B3" s="47" t="s">
        <v>54</v>
      </c>
      <c r="C3" s="47"/>
      <c r="D3" s="47"/>
      <c r="E3" s="48"/>
      <c r="F3" s="49"/>
      <c r="G3" s="49"/>
      <c r="H3" s="47"/>
      <c r="I3" s="47"/>
      <c r="J3" s="47"/>
      <c r="K3" s="47"/>
      <c r="L3" s="47"/>
      <c r="M3" s="47"/>
      <c r="N3" s="47"/>
      <c r="O3" s="47"/>
      <c r="P3" s="47"/>
    </row>
    <row r="4" spans="1:25" s="13" customFormat="1" ht="12" thickTop="1" x14ac:dyDescent="0.25">
      <c r="O4" s="62"/>
    </row>
    <row r="5" spans="1:25" s="13" customFormat="1" x14ac:dyDescent="0.25">
      <c r="B5" s="33" t="s">
        <v>40</v>
      </c>
      <c r="C5" s="33"/>
      <c r="D5" s="33"/>
      <c r="E5" s="1">
        <v>2016</v>
      </c>
      <c r="F5" s="1">
        <f>E5+1</f>
        <v>2017</v>
      </c>
      <c r="G5" s="1">
        <f t="shared" ref="G5" si="0">F5+1</f>
        <v>2018</v>
      </c>
      <c r="H5" s="1">
        <f t="shared" ref="H5" si="1">G5+1</f>
        <v>2019</v>
      </c>
      <c r="I5" s="1">
        <f t="shared" ref="I5:J5" si="2">H5+1</f>
        <v>2020</v>
      </c>
      <c r="J5" s="1">
        <f t="shared" si="2"/>
        <v>2021</v>
      </c>
      <c r="K5" s="1">
        <f t="shared" ref="K5" si="3">J5+1</f>
        <v>2022</v>
      </c>
      <c r="L5" s="1">
        <f t="shared" ref="L5" si="4">K5+1</f>
        <v>2023</v>
      </c>
      <c r="M5"/>
      <c r="N5" s="1">
        <v>2016</v>
      </c>
      <c r="O5" s="1">
        <f>N5+1</f>
        <v>2017</v>
      </c>
      <c r="P5" s="1">
        <f t="shared" ref="P5:S5" si="5">O5+1</f>
        <v>2018</v>
      </c>
      <c r="Q5" s="1">
        <f t="shared" si="5"/>
        <v>2019</v>
      </c>
      <c r="R5" s="1">
        <f t="shared" si="5"/>
        <v>2020</v>
      </c>
      <c r="S5" s="1">
        <f t="shared" si="5"/>
        <v>2021</v>
      </c>
      <c r="T5" s="1">
        <f t="shared" ref="T5" si="6">S5+1</f>
        <v>2022</v>
      </c>
      <c r="U5" s="1">
        <f t="shared" ref="U5" si="7">T5+1</f>
        <v>2023</v>
      </c>
      <c r="V5"/>
      <c r="W5"/>
      <c r="X5"/>
    </row>
    <row r="6" spans="1:25" s="13" customFormat="1" ht="12" x14ac:dyDescent="0.25">
      <c r="B6" s="43" t="s">
        <v>41</v>
      </c>
      <c r="C6" s="43"/>
      <c r="D6" s="43"/>
      <c r="E6" s="53">
        <f t="array" ref="E6:L9">N6:U9*tasa.cambio.mxn.usd</f>
        <v>338544.32685912703</v>
      </c>
      <c r="F6" s="53">
        <v>332218.09221456153</v>
      </c>
      <c r="G6" s="53">
        <v>327887.7262496347</v>
      </c>
      <c r="H6" s="53">
        <v>318383.81099692796</v>
      </c>
      <c r="I6" s="53">
        <v>344758.81677524291</v>
      </c>
      <c r="J6" s="53">
        <v>315475.00823626557</v>
      </c>
      <c r="K6" s="53">
        <v>314158.9734385935</v>
      </c>
      <c r="L6" s="53">
        <v>314394.36632935441</v>
      </c>
      <c r="M6" t="s">
        <v>32</v>
      </c>
      <c r="N6" s="51">
        <f t="array" ref="N6:U9">E56:L59</f>
        <v>18115</v>
      </c>
      <c r="O6" s="51">
        <v>17571.55</v>
      </c>
      <c r="P6" s="51">
        <v>17044.4035</v>
      </c>
      <c r="Q6" s="51">
        <v>16533.071394999999</v>
      </c>
      <c r="R6" s="51">
        <v>16037.079253150001</v>
      </c>
      <c r="S6" s="51">
        <v>15555.966875555499</v>
      </c>
      <c r="T6" s="51">
        <v>15089.287869288833</v>
      </c>
      <c r="U6" s="51">
        <v>14636.609233210167</v>
      </c>
      <c r="V6" t="s">
        <v>76</v>
      </c>
      <c r="W6"/>
      <c r="X6"/>
      <c r="Y6" s="18"/>
    </row>
    <row r="7" spans="1:25" s="13" customFormat="1" ht="12" x14ac:dyDescent="0.25">
      <c r="B7" s="43" t="str">
        <f>"Por operador ("&amp;numero.de.operadores&amp;" operadores)"</f>
        <v>Por operador (2 operadores)</v>
      </c>
      <c r="C7" s="43"/>
      <c r="D7" s="43"/>
      <c r="E7" s="53">
        <v>169272.16342956352</v>
      </c>
      <c r="F7" s="53">
        <v>166109.04610728077</v>
      </c>
      <c r="G7" s="53">
        <v>163943.86312481735</v>
      </c>
      <c r="H7" s="53">
        <v>159191.90549846398</v>
      </c>
      <c r="I7" s="53">
        <v>172379.40838762146</v>
      </c>
      <c r="J7" s="53">
        <v>157737.50411813278</v>
      </c>
      <c r="K7" s="53">
        <v>157079.48671929675</v>
      </c>
      <c r="L7" s="53">
        <v>157197.1831646772</v>
      </c>
      <c r="M7" t="s">
        <v>32</v>
      </c>
      <c r="N7" s="51">
        <v>9057.5</v>
      </c>
      <c r="O7" s="51">
        <v>8785.7749999999996</v>
      </c>
      <c r="P7" s="51">
        <v>8522.2017500000002</v>
      </c>
      <c r="Q7" s="51">
        <v>8266.5356974999995</v>
      </c>
      <c r="R7" s="51">
        <v>8018.5396265750005</v>
      </c>
      <c r="S7" s="51">
        <v>7777.9834377777497</v>
      </c>
      <c r="T7" s="51">
        <v>7544.6439346444167</v>
      </c>
      <c r="U7" s="51">
        <v>7318.3046166050835</v>
      </c>
      <c r="V7" s="13" t="s">
        <v>76</v>
      </c>
      <c r="W7"/>
      <c r="X7"/>
      <c r="Y7" s="18"/>
    </row>
    <row r="8" spans="1:25" s="13" customFormat="1" ht="12" x14ac:dyDescent="0.25">
      <c r="B8" s="43" t="s">
        <v>61</v>
      </c>
      <c r="C8" s="43"/>
      <c r="D8" s="43"/>
      <c r="E8" s="53">
        <v>65.410165277777793</v>
      </c>
      <c r="F8" s="53">
        <v>64.187873185258923</v>
      </c>
      <c r="G8" s="53">
        <v>63.351202973984059</v>
      </c>
      <c r="H8" s="53">
        <v>61.514951062061712</v>
      </c>
      <c r="I8" s="53">
        <v>66.610867166069553</v>
      </c>
      <c r="J8" s="53">
        <v>60.952941144185992</v>
      </c>
      <c r="K8" s="53">
        <v>60.698669999176211</v>
      </c>
      <c r="L8" s="53">
        <v>60.744150270645335</v>
      </c>
      <c r="M8" t="s">
        <v>32</v>
      </c>
      <c r="N8" s="51">
        <v>3.5</v>
      </c>
      <c r="O8" s="51">
        <v>3.395</v>
      </c>
      <c r="P8" s="51">
        <v>3.2931499999999998</v>
      </c>
      <c r="Q8" s="51">
        <v>3.1943554999999999</v>
      </c>
      <c r="R8" s="51">
        <v>3.0985248349999996</v>
      </c>
      <c r="S8" s="51">
        <v>3.0055690899499994</v>
      </c>
      <c r="T8" s="51">
        <v>2.9154020172514992</v>
      </c>
      <c r="U8" s="51">
        <v>2.827939956733954</v>
      </c>
      <c r="V8" s="13" t="s">
        <v>76</v>
      </c>
      <c r="W8"/>
      <c r="X8"/>
      <c r="Y8" s="18"/>
    </row>
    <row r="9" spans="1:25" s="13" customFormat="1" ht="12" x14ac:dyDescent="0.25">
      <c r="B9" s="43" t="s">
        <v>62</v>
      </c>
      <c r="C9" s="43"/>
      <c r="D9" s="43"/>
      <c r="E9" s="53">
        <v>622.13</v>
      </c>
      <c r="F9" s="53">
        <v>610.50451982746927</v>
      </c>
      <c r="G9" s="53">
        <v>602.54677142047558</v>
      </c>
      <c r="H9" s="53">
        <v>585.08178876658883</v>
      </c>
      <c r="I9" s="53">
        <v>633.55013114614042</v>
      </c>
      <c r="J9" s="53">
        <v>579.73639285261754</v>
      </c>
      <c r="K9" s="53">
        <v>577.31796588835061</v>
      </c>
      <c r="L9" s="53">
        <v>577.75053842763293</v>
      </c>
      <c r="M9" t="s">
        <v>32</v>
      </c>
      <c r="N9" s="51">
        <v>33.289244733643265</v>
      </c>
      <c r="O9" s="51">
        <v>32.290567391633964</v>
      </c>
      <c r="P9" s="51">
        <v>31.321850369884945</v>
      </c>
      <c r="Q9" s="51">
        <v>30.382194858788395</v>
      </c>
      <c r="R9" s="51">
        <v>29.470729013024741</v>
      </c>
      <c r="S9" s="51">
        <v>28.586607142633998</v>
      </c>
      <c r="T9" s="51">
        <v>27.729008928354975</v>
      </c>
      <c r="U9" s="51">
        <v>26.897138660504325</v>
      </c>
      <c r="V9" s="13" t="s">
        <v>76</v>
      </c>
      <c r="W9"/>
      <c r="X9"/>
      <c r="Y9" s="18"/>
    </row>
    <row r="10" spans="1:25" s="13" customFormat="1" ht="12" x14ac:dyDescent="0.25">
      <c r="B10" s="43"/>
      <c r="C10" s="43"/>
      <c r="D10" s="43"/>
      <c r="E10" s="14" t="s">
        <v>85</v>
      </c>
      <c r="F10" s="38"/>
      <c r="G10" s="43"/>
      <c r="H10" s="38"/>
      <c r="N10" s="43"/>
      <c r="O10" s="38"/>
      <c r="P10" s="43"/>
      <c r="Q10" s="38"/>
    </row>
    <row r="11" spans="1:25" s="13" customFormat="1" ht="12" x14ac:dyDescent="0.25">
      <c r="B11" s="43"/>
      <c r="C11" s="43"/>
      <c r="D11" s="43"/>
      <c r="E11" s="14"/>
      <c r="F11" s="38"/>
      <c r="G11" s="43"/>
      <c r="H11" s="38"/>
      <c r="N11" s="43"/>
      <c r="O11" s="38"/>
      <c r="P11" s="43"/>
      <c r="Q11" s="38"/>
    </row>
    <row r="12" spans="1:25" s="13" customFormat="1" x14ac:dyDescent="0.25">
      <c r="B12" s="33" t="s">
        <v>42</v>
      </c>
      <c r="C12" s="33"/>
      <c r="D12" s="33"/>
      <c r="E12" s="1">
        <v>2016</v>
      </c>
      <c r="F12" s="1">
        <f>E12+1</f>
        <v>2017</v>
      </c>
      <c r="G12" s="1">
        <f t="shared" ref="G12" si="8">F12+1</f>
        <v>2018</v>
      </c>
      <c r="H12" s="1">
        <f t="shared" ref="H12" si="9">G12+1</f>
        <v>2019</v>
      </c>
      <c r="I12" s="1">
        <f t="shared" ref="I12:J12" si="10">H12+1</f>
        <v>2020</v>
      </c>
      <c r="J12" s="1">
        <f t="shared" si="10"/>
        <v>2021</v>
      </c>
      <c r="K12" s="1">
        <f t="shared" ref="K12" si="11">J12+1</f>
        <v>2022</v>
      </c>
      <c r="L12" s="1">
        <f t="shared" ref="L12" si="12">K12+1</f>
        <v>2023</v>
      </c>
      <c r="M12"/>
      <c r="N12" s="1">
        <v>2016</v>
      </c>
      <c r="O12" s="1">
        <f>N12+1</f>
        <v>2017</v>
      </c>
      <c r="P12" s="1">
        <f t="shared" ref="P12:S12" si="13">O12+1</f>
        <v>2018</v>
      </c>
      <c r="Q12" s="1">
        <f t="shared" si="13"/>
        <v>2019</v>
      </c>
      <c r="R12" s="1">
        <f t="shared" si="13"/>
        <v>2020</v>
      </c>
      <c r="S12" s="1">
        <f t="shared" si="13"/>
        <v>2021</v>
      </c>
      <c r="T12" s="1">
        <f t="shared" ref="T12" si="14">S12+1</f>
        <v>2022</v>
      </c>
      <c r="U12" s="1">
        <f t="shared" ref="U12" si="15">T12+1</f>
        <v>2023</v>
      </c>
      <c r="V12"/>
      <c r="W12"/>
      <c r="X12"/>
    </row>
    <row r="13" spans="1:25" s="13" customFormat="1" ht="12" x14ac:dyDescent="0.25">
      <c r="B13" s="43" t="s">
        <v>41</v>
      </c>
      <c r="C13" s="43"/>
      <c r="D13" s="43"/>
      <c r="E13" s="53">
        <f t="array" ref="E13:L16">N13:U16*tasa.cambio.mxn.usd</f>
        <v>2259.7654718584658</v>
      </c>
      <c r="F13" s="53">
        <v>2343.2748917919971</v>
      </c>
      <c r="G13" s="53">
        <v>2443.8652180336567</v>
      </c>
      <c r="H13" s="53">
        <v>2507.5823149457096</v>
      </c>
      <c r="I13" s="53">
        <v>2869.2720911223128</v>
      </c>
      <c r="J13" s="53">
        <v>2774.42790556826</v>
      </c>
      <c r="K13" s="53">
        <v>2919.5107849496776</v>
      </c>
      <c r="L13" s="53">
        <v>3087.3616211449103</v>
      </c>
      <c r="M13" t="s">
        <v>32</v>
      </c>
      <c r="N13" s="51">
        <f t="array" ref="N13:U16">E72:L75</f>
        <v>120.91666666666667</v>
      </c>
      <c r="O13" s="51">
        <v>123.93958333333332</v>
      </c>
      <c r="P13" s="51">
        <v>127.03807291666665</v>
      </c>
      <c r="Q13" s="51">
        <v>130.21402473958329</v>
      </c>
      <c r="R13" s="51">
        <v>133.46937535807285</v>
      </c>
      <c r="S13" s="51">
        <v>136.80610974202466</v>
      </c>
      <c r="T13" s="51">
        <v>140.22626248557529</v>
      </c>
      <c r="U13" s="51">
        <v>143.73191904771463</v>
      </c>
      <c r="V13" t="s">
        <v>76</v>
      </c>
      <c r="W13"/>
      <c r="X13"/>
      <c r="Y13" s="18"/>
    </row>
    <row r="14" spans="1:25" s="13" customFormat="1" ht="12" x14ac:dyDescent="0.25">
      <c r="B14" s="43" t="str">
        <f>"Por operador ("&amp;numero.de.operadores&amp;" operadores)"</f>
        <v>Por operador (2 operadores)</v>
      </c>
      <c r="C14" s="43"/>
      <c r="D14" s="43"/>
      <c r="E14" s="53">
        <v>1129.8827359292329</v>
      </c>
      <c r="F14" s="53">
        <v>1171.6374458959986</v>
      </c>
      <c r="G14" s="53">
        <v>1221.9326090168283</v>
      </c>
      <c r="H14" s="53">
        <v>1253.7911574728548</v>
      </c>
      <c r="I14" s="53">
        <v>1434.6360455611564</v>
      </c>
      <c r="J14" s="53">
        <v>1387.21395278413</v>
      </c>
      <c r="K14" s="53">
        <v>1459.7553924748388</v>
      </c>
      <c r="L14" s="53">
        <v>1543.6808105724551</v>
      </c>
      <c r="M14" t="s">
        <v>32</v>
      </c>
      <c r="N14" s="51">
        <v>60.458333333333336</v>
      </c>
      <c r="O14" s="51">
        <v>61.969791666666659</v>
      </c>
      <c r="P14" s="51">
        <v>63.519036458333325</v>
      </c>
      <c r="Q14" s="51">
        <v>65.107012369791647</v>
      </c>
      <c r="R14" s="51">
        <v>66.734687679036426</v>
      </c>
      <c r="S14" s="51">
        <v>68.40305487101233</v>
      </c>
      <c r="T14" s="51">
        <v>70.113131242787645</v>
      </c>
      <c r="U14" s="51">
        <v>71.865959523857313</v>
      </c>
      <c r="V14" s="13" t="s">
        <v>76</v>
      </c>
      <c r="W14"/>
      <c r="X14"/>
      <c r="Y14" s="18"/>
    </row>
    <row r="15" spans="1:25" s="13" customFormat="1" ht="12" x14ac:dyDescent="0.25">
      <c r="B15" s="43" t="s">
        <v>84</v>
      </c>
      <c r="C15" s="43"/>
      <c r="D15" s="43"/>
      <c r="E15" s="53">
        <v>0.10901694212962965</v>
      </c>
      <c r="F15" s="53">
        <v>0.11304565294654707</v>
      </c>
      <c r="G15" s="53">
        <v>0.11789839094580011</v>
      </c>
      <c r="H15" s="53">
        <v>0.12097226881199151</v>
      </c>
      <c r="I15" s="53">
        <v>0.13842112086737554</v>
      </c>
      <c r="J15" s="53">
        <v>0.1338455915849609</v>
      </c>
      <c r="K15" s="53">
        <v>0.1408447656419555</v>
      </c>
      <c r="L15" s="53">
        <v>0.148942324934627</v>
      </c>
      <c r="M15" t="s">
        <v>32</v>
      </c>
      <c r="N15" s="51">
        <v>5.8333333333333336E-3</v>
      </c>
      <c r="O15" s="51">
        <v>5.9791666666666665E-3</v>
      </c>
      <c r="P15" s="51">
        <v>6.1286458333333323E-3</v>
      </c>
      <c r="Q15" s="51">
        <v>6.281861979166665E-3</v>
      </c>
      <c r="R15" s="51">
        <v>6.4389085286458312E-3</v>
      </c>
      <c r="S15" s="51">
        <v>6.5998812418619768E-3</v>
      </c>
      <c r="T15" s="51">
        <v>6.7648782729085258E-3</v>
      </c>
      <c r="U15" s="51">
        <v>6.9340002297312384E-3</v>
      </c>
      <c r="V15" s="13" t="s">
        <v>76</v>
      </c>
      <c r="W15"/>
      <c r="X15"/>
      <c r="Y15" s="18"/>
    </row>
    <row r="16" spans="1:25" s="13" customFormat="1" ht="12" x14ac:dyDescent="0.25">
      <c r="B16" s="43" t="s">
        <v>83</v>
      </c>
      <c r="C16" s="43"/>
      <c r="D16" s="43"/>
      <c r="E16" s="53">
        <v>11.93</v>
      </c>
      <c r="F16" s="53">
        <v>12.370872025090145</v>
      </c>
      <c r="G16" s="53">
        <v>12.901919431118552</v>
      </c>
      <c r="H16" s="53">
        <v>13.238301668845036</v>
      </c>
      <c r="I16" s="53">
        <v>15.147773728455801</v>
      </c>
      <c r="J16" s="53">
        <v>14.647061974182785</v>
      </c>
      <c r="K16" s="53">
        <v>15.412999312625624</v>
      </c>
      <c r="L16" s="53">
        <v>16.29913572843796</v>
      </c>
      <c r="M16" t="s">
        <v>32</v>
      </c>
      <c r="N16" s="51">
        <v>0.63835643623095528</v>
      </c>
      <c r="O16" s="51">
        <v>0.65431534713672912</v>
      </c>
      <c r="P16" s="51">
        <v>0.67067323081514729</v>
      </c>
      <c r="Q16" s="51">
        <v>0.68744006158552595</v>
      </c>
      <c r="R16" s="51">
        <v>0.70462606312516407</v>
      </c>
      <c r="S16" s="51">
        <v>0.72224171470329313</v>
      </c>
      <c r="T16" s="51">
        <v>0.74029775757087535</v>
      </c>
      <c r="U16" s="51">
        <v>0.75880520151014719</v>
      </c>
      <c r="V16" s="13" t="s">
        <v>76</v>
      </c>
      <c r="W16"/>
      <c r="X16"/>
      <c r="Y16" s="18"/>
    </row>
    <row r="17" spans="1:16" s="13" customFormat="1" ht="12" x14ac:dyDescent="0.25">
      <c r="E17" s="14" t="s">
        <v>86</v>
      </c>
    </row>
    <row r="18" spans="1:16" s="13" customFormat="1" x14ac:dyDescent="0.25"/>
    <row r="19" spans="1:16" s="13" customFormat="1" ht="17" thickBot="1" x14ac:dyDescent="0.3">
      <c r="A19" s="47"/>
      <c r="B19" s="47" t="s">
        <v>99</v>
      </c>
      <c r="C19" s="47"/>
      <c r="D19" s="47"/>
      <c r="E19" s="48"/>
      <c r="F19" s="49"/>
      <c r="G19" s="49"/>
      <c r="H19" s="47"/>
      <c r="I19" s="47"/>
      <c r="J19" s="47"/>
      <c r="K19" s="47"/>
      <c r="L19" s="47"/>
      <c r="M19" s="47"/>
      <c r="N19" s="47"/>
      <c r="O19" s="47"/>
      <c r="P19" s="47"/>
    </row>
    <row r="20" spans="1:16" s="13" customFormat="1" ht="12" thickTop="1" x14ac:dyDescent="0.25"/>
    <row r="21" spans="1:16" s="13" customFormat="1" x14ac:dyDescent="0.25">
      <c r="B21" s="20"/>
      <c r="C21" s="20"/>
      <c r="D21" s="20"/>
      <c r="E21" s="1"/>
    </row>
    <row r="22" spans="1:16" s="13" customFormat="1" x14ac:dyDescent="0.25">
      <c r="B22" s="3" t="s">
        <v>51</v>
      </c>
      <c r="C22" s="3"/>
      <c r="D22" s="3"/>
      <c r="E22" s="39">
        <v>1</v>
      </c>
    </row>
    <row r="23" spans="1:16" s="13" customFormat="1" x14ac:dyDescent="0.25">
      <c r="B23" s="3" t="s">
        <v>52</v>
      </c>
      <c r="C23" s="3"/>
      <c r="D23" s="3"/>
      <c r="E23" s="39">
        <v>1</v>
      </c>
    </row>
    <row r="24" spans="1:16" s="13" customFormat="1" x14ac:dyDescent="0.25">
      <c r="B24" s="3" t="s">
        <v>46</v>
      </c>
      <c r="C24" s="3"/>
      <c r="D24" s="3"/>
      <c r="E24" s="42">
        <f>numero.de.operadores</f>
        <v>2</v>
      </c>
    </row>
    <row r="25" spans="1:16" s="13" customFormat="1" x14ac:dyDescent="0.25">
      <c r="B25" s="3" t="s">
        <v>31</v>
      </c>
      <c r="C25" s="3"/>
      <c r="D25" s="3"/>
      <c r="E25" s="42">
        <f>numero.de.operadores</f>
        <v>2</v>
      </c>
    </row>
    <row r="26" spans="1:16" s="13" customFormat="1" x14ac:dyDescent="0.25">
      <c r="B26" s="3" t="s">
        <v>30</v>
      </c>
      <c r="C26" s="3"/>
      <c r="D26" s="3"/>
    </row>
    <row r="27" spans="1:16" s="13" customFormat="1" ht="12" thickBot="1" x14ac:dyDescent="0.3">
      <c r="B27" s="36" t="s">
        <v>34</v>
      </c>
      <c r="C27" s="36"/>
      <c r="D27" s="36"/>
    </row>
    <row r="28" spans="1:16" s="13" customFormat="1" x14ac:dyDescent="0.25">
      <c r="B28" s="37"/>
      <c r="C28" s="37"/>
      <c r="D28" s="37"/>
      <c r="E28" s="37"/>
      <c r="F28" s="37"/>
      <c r="G28" s="37"/>
    </row>
    <row r="29" spans="1:16" s="13" customFormat="1" ht="12" x14ac:dyDescent="0.25">
      <c r="B29" s="33" t="s">
        <v>38</v>
      </c>
      <c r="C29" s="33"/>
      <c r="D29" s="33"/>
      <c r="E29" s="41">
        <v>2</v>
      </c>
      <c r="F29" s="14" t="s">
        <v>44</v>
      </c>
      <c r="G29" s="38"/>
    </row>
    <row r="30" spans="1:16" s="13" customFormat="1" ht="12" x14ac:dyDescent="0.25">
      <c r="B30" s="33" t="s">
        <v>43</v>
      </c>
      <c r="C30" s="33"/>
      <c r="D30" s="33"/>
      <c r="E30" s="44">
        <f>$E$29*($E$29-1)/2</f>
        <v>1</v>
      </c>
      <c r="F30" s="14" t="s">
        <v>45</v>
      </c>
      <c r="G30" s="38"/>
      <c r="I30" s="20"/>
      <c r="J30" s="20" t="s">
        <v>47</v>
      </c>
      <c r="K30" s="20" t="s">
        <v>48</v>
      </c>
    </row>
    <row r="31" spans="1:16" s="13" customFormat="1" ht="23" x14ac:dyDescent="0.25">
      <c r="B31" s="33" t="s">
        <v>50</v>
      </c>
      <c r="C31" s="33"/>
      <c r="D31" s="33"/>
      <c r="E31" s="40" t="s">
        <v>47</v>
      </c>
      <c r="F31" s="38">
        <f>INDEX(J31:K31,MATCH(E31,J30:K30,0))</f>
        <v>1</v>
      </c>
      <c r="G31" s="38"/>
      <c r="I31" s="46" t="s">
        <v>49</v>
      </c>
      <c r="J31" s="45">
        <v>1</v>
      </c>
      <c r="K31" s="45">
        <v>2.5</v>
      </c>
    </row>
    <row r="32" spans="1:16" s="13" customFormat="1" ht="12" x14ac:dyDescent="0.25">
      <c r="A32" s="62"/>
      <c r="B32" s="33" t="s">
        <v>71</v>
      </c>
      <c r="C32" s="33"/>
      <c r="D32" s="33"/>
      <c r="E32" s="89">
        <v>8.9754971998106364E-2</v>
      </c>
      <c r="F32" s="14" t="s">
        <v>72</v>
      </c>
      <c r="G32" s="88" t="s">
        <v>101</v>
      </c>
    </row>
    <row r="33" spans="1:20" s="13" customFormat="1" ht="12" x14ac:dyDescent="0.25">
      <c r="B33" s="33" t="s">
        <v>68</v>
      </c>
      <c r="C33" s="33"/>
      <c r="D33" s="33"/>
      <c r="E33" s="40" t="s">
        <v>69</v>
      </c>
      <c r="F33" s="38" t="s">
        <v>69</v>
      </c>
      <c r="G33" s="38" t="s">
        <v>70</v>
      </c>
    </row>
    <row r="34" spans="1:20" s="13" customFormat="1" x14ac:dyDescent="0.25"/>
    <row r="35" spans="1:20" s="13" customFormat="1" x14ac:dyDescent="0.25"/>
    <row r="36" spans="1:20" s="13" customFormat="1" ht="17" thickBot="1" x14ac:dyDescent="0.3">
      <c r="A36" s="47"/>
      <c r="B36" s="47" t="s">
        <v>74</v>
      </c>
      <c r="C36" s="47"/>
      <c r="D36" s="47"/>
      <c r="E36" s="48"/>
      <c r="F36" s="49"/>
      <c r="G36" s="49"/>
      <c r="H36" s="47"/>
      <c r="I36" s="47"/>
      <c r="J36" s="47"/>
      <c r="K36" s="47"/>
      <c r="L36" s="47"/>
      <c r="M36" s="47"/>
      <c r="N36" s="47"/>
      <c r="O36" s="47"/>
      <c r="P36" s="47"/>
    </row>
    <row r="37" spans="1:20" s="13" customFormat="1" ht="12" thickTop="1" x14ac:dyDescent="0.25"/>
    <row r="38" spans="1:20" s="13" customFormat="1" ht="12" x14ac:dyDescent="0.25">
      <c r="E38" s="1">
        <v>2016</v>
      </c>
      <c r="F38" s="1">
        <f>E38+1</f>
        <v>2017</v>
      </c>
      <c r="G38" s="1">
        <f t="shared" ref="G38:J38" si="16">F38+1</f>
        <v>2018</v>
      </c>
      <c r="H38" s="1">
        <f t="shared" si="16"/>
        <v>2019</v>
      </c>
      <c r="I38" s="1">
        <f t="shared" si="16"/>
        <v>2020</v>
      </c>
      <c r="J38" s="1">
        <f t="shared" si="16"/>
        <v>2021</v>
      </c>
      <c r="K38" s="1">
        <f t="shared" ref="K38" si="17">J38+1</f>
        <v>2022</v>
      </c>
      <c r="L38" s="1">
        <f t="shared" ref="L38" si="18">K38+1</f>
        <v>2023</v>
      </c>
      <c r="M38" s="88" t="s">
        <v>111</v>
      </c>
      <c r="N38" s="88"/>
    </row>
    <row r="39" spans="1:20" s="13" customFormat="1" ht="12" x14ac:dyDescent="0.25">
      <c r="A39" s="62"/>
      <c r="B39" s="33" t="s">
        <v>36</v>
      </c>
      <c r="C39" s="33"/>
      <c r="D39" s="33"/>
      <c r="E39" s="66">
        <v>18.688618650793654</v>
      </c>
      <c r="F39" s="66">
        <v>18.906590039840626</v>
      </c>
      <c r="G39" s="102">
        <v>19.237266135458167</v>
      </c>
      <c r="H39" s="90">
        <v>19.257390438247</v>
      </c>
      <c r="I39" s="90">
        <v>21.49760634920635</v>
      </c>
      <c r="J39" s="91">
        <v>20.28</v>
      </c>
      <c r="K39" s="91">
        <v>20.82</v>
      </c>
      <c r="L39" s="91">
        <v>21.48</v>
      </c>
      <c r="M39" s="14" t="s">
        <v>56</v>
      </c>
      <c r="N39" s="88"/>
    </row>
    <row r="40" spans="1:20" s="13" customFormat="1" ht="12" x14ac:dyDescent="0.25">
      <c r="A40" s="62"/>
      <c r="B40" s="33"/>
      <c r="C40" s="33"/>
      <c r="D40" s="33"/>
      <c r="G40"/>
      <c r="H40"/>
      <c r="I40"/>
      <c r="J40"/>
      <c r="K40"/>
      <c r="L40"/>
      <c r="M40" s="14" t="s">
        <v>112</v>
      </c>
    </row>
    <row r="41" spans="1:20" s="13" customFormat="1" x14ac:dyDescent="0.25">
      <c r="G41"/>
      <c r="H41"/>
      <c r="I41"/>
      <c r="J41"/>
      <c r="K41"/>
      <c r="L41"/>
    </row>
    <row r="42" spans="1:20" s="13" customFormat="1" ht="12" x14ac:dyDescent="0.25">
      <c r="G42" s="97" t="s">
        <v>109</v>
      </c>
      <c r="H42" s="97"/>
      <c r="I42" s="97"/>
      <c r="J42" s="97"/>
      <c r="K42" s="97">
        <v>20.82</v>
      </c>
      <c r="L42" s="97">
        <v>21.48</v>
      </c>
      <c r="M42" s="99" t="s">
        <v>110</v>
      </c>
      <c r="N42" s="96"/>
      <c r="O42" s="96"/>
      <c r="P42" s="96"/>
      <c r="Q42" s="96"/>
    </row>
    <row r="43" spans="1:20" s="13" customFormat="1" ht="17" thickBot="1" x14ac:dyDescent="0.3">
      <c r="A43" s="47"/>
      <c r="B43" s="47" t="s">
        <v>55</v>
      </c>
      <c r="C43" s="47"/>
      <c r="D43" s="47"/>
      <c r="E43" s="48"/>
      <c r="F43" s="49"/>
      <c r="G43" s="47"/>
      <c r="H43" s="98"/>
      <c r="I43" s="47"/>
      <c r="J43" s="98"/>
      <c r="K43" s="98"/>
      <c r="L43" s="98"/>
      <c r="M43" s="47"/>
      <c r="N43" s="47"/>
      <c r="O43" s="47"/>
      <c r="P43" s="47"/>
    </row>
    <row r="44" spans="1:20" s="13" customFormat="1" ht="12" thickTop="1" x14ac:dyDescent="0.25"/>
    <row r="45" spans="1:20" s="13" customFormat="1" ht="14.5" thickBot="1" x14ac:dyDescent="0.3">
      <c r="A45" s="50"/>
      <c r="B45" s="50" t="s">
        <v>53</v>
      </c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</row>
    <row r="46" spans="1:20" s="13" customFormat="1" x14ac:dyDescent="0.25"/>
    <row r="47" spans="1:20" s="13" customFormat="1" ht="23" x14ac:dyDescent="0.25">
      <c r="C47" s="1" t="s">
        <v>92</v>
      </c>
      <c r="E47" s="1">
        <v>2016</v>
      </c>
      <c r="F47" s="1">
        <f>E47+1</f>
        <v>2017</v>
      </c>
      <c r="G47" s="1">
        <f t="shared" ref="G47" si="19">F47+1</f>
        <v>2018</v>
      </c>
      <c r="H47" s="1">
        <f t="shared" ref="H47" si="20">G47+1</f>
        <v>2019</v>
      </c>
      <c r="I47" s="1">
        <f t="shared" ref="I47:J47" si="21">H47+1</f>
        <v>2020</v>
      </c>
      <c r="J47" s="1">
        <f t="shared" si="21"/>
        <v>2021</v>
      </c>
      <c r="K47" s="1">
        <f t="shared" ref="K47" si="22">J47+1</f>
        <v>2022</v>
      </c>
      <c r="L47" s="1">
        <f t="shared" ref="L47" si="23">K47+1</f>
        <v>2023</v>
      </c>
      <c r="M47"/>
    </row>
    <row r="48" spans="1:20" x14ac:dyDescent="0.25">
      <c r="F48" s="13"/>
      <c r="H48" s="13"/>
      <c r="I48" s="13"/>
      <c r="J48" s="13"/>
      <c r="M48"/>
      <c r="O48" s="13"/>
      <c r="P48" s="13"/>
      <c r="Q48" s="13"/>
      <c r="R48" s="13"/>
      <c r="S48" s="13"/>
      <c r="T48" s="13"/>
    </row>
    <row r="49" spans="1:20" s="13" customFormat="1" x14ac:dyDescent="0.25">
      <c r="B49" s="13" t="str">
        <f t="array" ref="B49:B54">B22:B27</f>
        <v>Equipo de transporte (Switch)</v>
      </c>
      <c r="C49" s="76">
        <f>INDEX('Costos asociados'!$E$9:$E$14,MATCH(B49,'Costos asociados'!$B$9:$B$14,0),)</f>
        <v>8000</v>
      </c>
      <c r="D49" s="77"/>
      <c r="E49" s="78">
        <f>C49</f>
        <v>8000</v>
      </c>
      <c r="F49" s="83">
        <f t="shared" ref="F49:J54" si="24">E49*(1+tendencia.equipamiento)</f>
        <v>7760</v>
      </c>
      <c r="G49" s="83">
        <f t="shared" si="24"/>
        <v>7527.2</v>
      </c>
      <c r="H49" s="83">
        <f t="shared" si="24"/>
        <v>7301.384</v>
      </c>
      <c r="I49" s="83">
        <f t="shared" si="24"/>
        <v>7082.3424800000003</v>
      </c>
      <c r="J49" s="83">
        <f t="shared" si="24"/>
        <v>6869.8722055999997</v>
      </c>
      <c r="K49" s="83">
        <f t="shared" ref="K49" si="25">J49*(1+tendencia.equipamiento)</f>
        <v>6663.7760394319994</v>
      </c>
      <c r="L49" s="83">
        <f t="shared" ref="L49" si="26">K49*(1+tendencia.equipamiento)</f>
        <v>6463.862758249039</v>
      </c>
      <c r="M49"/>
    </row>
    <row r="50" spans="1:20" s="13" customFormat="1" x14ac:dyDescent="0.25">
      <c r="B50" s="13" t="str">
        <v>DFO pequeño</v>
      </c>
      <c r="C50" s="76">
        <f>INDEX('Costos asociados'!$E$9:$E$14,MATCH(B50,'Costos asociados'!$B$9:$B$14,0),)</f>
        <v>420</v>
      </c>
      <c r="D50" s="77"/>
      <c r="E50" s="78">
        <f t="shared" ref="E50:E54" si="27">C50</f>
        <v>420</v>
      </c>
      <c r="F50" s="83">
        <f t="shared" si="24"/>
        <v>407.4</v>
      </c>
      <c r="G50" s="83">
        <f t="shared" si="24"/>
        <v>395.17799999999994</v>
      </c>
      <c r="H50" s="83">
        <f t="shared" si="24"/>
        <v>383.32265999999993</v>
      </c>
      <c r="I50" s="83">
        <f t="shared" si="24"/>
        <v>371.8229801999999</v>
      </c>
      <c r="J50" s="83">
        <f t="shared" si="24"/>
        <v>360.66829079399992</v>
      </c>
      <c r="K50" s="83">
        <f t="shared" ref="K50:K54" si="28">J50*(1+tendencia.equipamiento)</f>
        <v>349.84824207017994</v>
      </c>
      <c r="L50" s="83">
        <f t="shared" ref="L50:L54" si="29">K50*(1+tendencia.equipamiento)</f>
        <v>339.35279480807452</v>
      </c>
      <c r="M50"/>
    </row>
    <row r="51" spans="1:20" s="13" customFormat="1" x14ac:dyDescent="0.25">
      <c r="B51" s="13" t="str">
        <v>Demarcador (switch)</v>
      </c>
      <c r="C51" s="76">
        <f>INDEX('Costos asociados'!$E$9:$E$14,MATCH(B51,'Costos asociados'!$B$9:$B$14,0),)</f>
        <v>3000</v>
      </c>
      <c r="D51" s="77"/>
      <c r="E51" s="78">
        <f t="shared" si="27"/>
        <v>3000</v>
      </c>
      <c r="F51" s="83">
        <f t="shared" si="24"/>
        <v>2910</v>
      </c>
      <c r="G51" s="83">
        <f t="shared" si="24"/>
        <v>2822.7</v>
      </c>
      <c r="H51" s="83">
        <f t="shared" si="24"/>
        <v>2738.0189999999998</v>
      </c>
      <c r="I51" s="83">
        <f t="shared" si="24"/>
        <v>2655.8784299999998</v>
      </c>
      <c r="J51" s="83">
        <f t="shared" si="24"/>
        <v>2576.2020770999998</v>
      </c>
      <c r="K51" s="83">
        <f t="shared" si="28"/>
        <v>2498.9160147869998</v>
      </c>
      <c r="L51" s="83">
        <f t="shared" si="29"/>
        <v>2423.9485343433898</v>
      </c>
      <c r="M51"/>
    </row>
    <row r="52" spans="1:20" x14ac:dyDescent="0.25">
      <c r="B52" s="13" t="str">
        <v>Jumper óptico</v>
      </c>
      <c r="C52" s="76">
        <f>INDEX('Costos asociados'!$E$9:$E$14,MATCH(B52,'Costos asociados'!$B$9:$B$14,0),)</f>
        <v>45</v>
      </c>
      <c r="D52" s="77"/>
      <c r="E52" s="78">
        <f t="shared" si="27"/>
        <v>45</v>
      </c>
      <c r="F52" s="83">
        <f t="shared" si="24"/>
        <v>43.65</v>
      </c>
      <c r="G52" s="83">
        <f t="shared" si="24"/>
        <v>42.340499999999999</v>
      </c>
      <c r="H52" s="83">
        <f t="shared" si="24"/>
        <v>41.070284999999998</v>
      </c>
      <c r="I52" s="83">
        <f t="shared" si="24"/>
        <v>39.838176449999999</v>
      </c>
      <c r="J52" s="83">
        <f t="shared" si="24"/>
        <v>38.643031156500001</v>
      </c>
      <c r="K52" s="83">
        <f t="shared" si="28"/>
        <v>37.483740221805</v>
      </c>
      <c r="L52" s="83">
        <f t="shared" si="29"/>
        <v>36.359228015150848</v>
      </c>
      <c r="M52"/>
      <c r="N52" s="13"/>
      <c r="O52" s="13"/>
      <c r="P52" s="13"/>
      <c r="Q52" s="13"/>
      <c r="R52" s="13"/>
      <c r="S52" s="13"/>
      <c r="T52" s="13"/>
    </row>
    <row r="53" spans="1:20" s="13" customFormat="1" x14ac:dyDescent="0.25">
      <c r="B53" s="31" t="str">
        <v>Cable óptico</v>
      </c>
      <c r="C53" s="76">
        <f>INDEX('Costos asociados'!$E$9:$E$14,MATCH(B53,'Costos asociados'!$B$9:$B$14,0),)</f>
        <v>3.5</v>
      </c>
      <c r="D53" s="79"/>
      <c r="E53" s="78">
        <f t="shared" si="27"/>
        <v>3.5</v>
      </c>
      <c r="F53" s="83">
        <f t="shared" si="24"/>
        <v>3.395</v>
      </c>
      <c r="G53" s="83">
        <f t="shared" si="24"/>
        <v>3.2931499999999998</v>
      </c>
      <c r="H53" s="83">
        <f t="shared" si="24"/>
        <v>3.1943554999999999</v>
      </c>
      <c r="I53" s="83">
        <f t="shared" si="24"/>
        <v>3.0985248349999996</v>
      </c>
      <c r="J53" s="83">
        <f t="shared" si="24"/>
        <v>3.0055690899499994</v>
      </c>
      <c r="K53" s="83">
        <f t="shared" si="28"/>
        <v>2.9154020172514992</v>
      </c>
      <c r="L53" s="83">
        <f t="shared" si="29"/>
        <v>2.827939956733954</v>
      </c>
      <c r="M53"/>
    </row>
    <row r="54" spans="1:20" x14ac:dyDescent="0.25">
      <c r="B54" s="13" t="str">
        <v>Escalerilla</v>
      </c>
      <c r="C54" s="76">
        <f>INDEX('Costos asociados'!$E$9:$E$14,MATCH(B54,'Costos asociados'!$B$9:$B$14,0),)</f>
        <v>33.289244733643265</v>
      </c>
      <c r="D54" s="77"/>
      <c r="E54" s="78">
        <f t="shared" si="27"/>
        <v>33.289244733643265</v>
      </c>
      <c r="F54" s="83">
        <f t="shared" si="24"/>
        <v>32.290567391633964</v>
      </c>
      <c r="G54" s="83">
        <f t="shared" si="24"/>
        <v>31.321850369884945</v>
      </c>
      <c r="H54" s="83">
        <f t="shared" si="24"/>
        <v>30.382194858788395</v>
      </c>
      <c r="I54" s="83">
        <f t="shared" si="24"/>
        <v>29.470729013024741</v>
      </c>
      <c r="J54" s="83">
        <f t="shared" si="24"/>
        <v>28.586607142633998</v>
      </c>
      <c r="K54" s="83">
        <f t="shared" si="28"/>
        <v>27.729008928354975</v>
      </c>
      <c r="L54" s="83">
        <f t="shared" si="29"/>
        <v>26.897138660504325</v>
      </c>
      <c r="M54"/>
      <c r="N54" s="13"/>
      <c r="O54" s="13"/>
      <c r="P54" s="13"/>
      <c r="Q54" s="13"/>
      <c r="R54" s="13"/>
      <c r="S54" s="13"/>
      <c r="T54" s="13"/>
    </row>
    <row r="55" spans="1:20" s="13" customFormat="1" x14ac:dyDescent="0.25">
      <c r="C55" s="77"/>
      <c r="D55" s="77"/>
      <c r="E55" s="77"/>
      <c r="L55" s="2"/>
      <c r="M55"/>
    </row>
    <row r="56" spans="1:20" s="13" customFormat="1" x14ac:dyDescent="0.25">
      <c r="B56" s="34" t="s">
        <v>57</v>
      </c>
      <c r="C56" s="82">
        <f t="array" ref="C56">SUM(C49:C52*'Costos asociados'!$C$9:$C$12*(1+'Costos asociados'!$F$9:$F$12))</f>
        <v>18115</v>
      </c>
      <c r="D56" s="80"/>
      <c r="E56" s="100">
        <f t="array" ref="E56">SUM(E49:E52*'Costos asociados'!$C$9:$C$12*(1+'Costos asociados'!$F$9:$F$12))</f>
        <v>18115</v>
      </c>
      <c r="F56" s="100">
        <f t="array" ref="F56">SUM(F49:F52*'Costos asociados'!$C$9:$C$12*(1+'Costos asociados'!$F$9:$F$12))</f>
        <v>17571.55</v>
      </c>
      <c r="G56" s="100">
        <f t="array" ref="G56">SUM(G49:G52*'Costos asociados'!$C$9:$C$12*(1+'Costos asociados'!$F$9:$F$12))</f>
        <v>17044.4035</v>
      </c>
      <c r="H56" s="100">
        <f t="array" ref="H56">SUM(H49:H52*'Costos asociados'!$C$9:$C$12*(1+'Costos asociados'!$F$9:$F$12))</f>
        <v>16533.071394999999</v>
      </c>
      <c r="I56" s="100">
        <f t="array" ref="I56">SUM(I49:I52*'Costos asociados'!$C$9:$C$12*(1+'Costos asociados'!$F$9:$F$12))</f>
        <v>16037.079253150001</v>
      </c>
      <c r="J56" s="100">
        <f t="array" ref="J56">SUM(J49:J52*'Costos asociados'!$C$9:$C$12*(1+'Costos asociados'!$F$9:$F$12))</f>
        <v>15555.966875555499</v>
      </c>
      <c r="K56" s="100">
        <f t="array" ref="K56">SUM(K49:K52*'Costos asociados'!$C$9:$C$12*(1+'Costos asociados'!$F$9:$F$12))</f>
        <v>15089.287869288833</v>
      </c>
      <c r="L56" s="100">
        <f t="array" ref="L56">SUM(L49:L52*'Costos asociados'!$C$9:$C$12*(1+'Costos asociados'!$F$9:$F$12))</f>
        <v>14636.609233210167</v>
      </c>
      <c r="M56"/>
    </row>
    <row r="57" spans="1:20" s="13" customFormat="1" x14ac:dyDescent="0.25">
      <c r="B57" s="34" t="s">
        <v>59</v>
      </c>
      <c r="C57" s="81">
        <f>C56/numero.de.operadores</f>
        <v>9057.5</v>
      </c>
      <c r="D57" s="80"/>
      <c r="E57" s="101">
        <f t="shared" ref="E57:J57" si="30">E56/numero.de.operadores</f>
        <v>9057.5</v>
      </c>
      <c r="F57" s="101">
        <f t="shared" si="30"/>
        <v>8785.7749999999996</v>
      </c>
      <c r="G57" s="101">
        <f t="shared" si="30"/>
        <v>8522.2017500000002</v>
      </c>
      <c r="H57" s="101">
        <f t="shared" si="30"/>
        <v>8266.5356974999995</v>
      </c>
      <c r="I57" s="101">
        <f t="shared" si="30"/>
        <v>8018.5396265750005</v>
      </c>
      <c r="J57" s="101">
        <f t="shared" si="30"/>
        <v>7777.9834377777497</v>
      </c>
      <c r="K57" s="101">
        <f t="shared" ref="K57:L57" si="31">K56/numero.de.operadores</f>
        <v>7544.6439346444167</v>
      </c>
      <c r="L57" s="101">
        <f t="shared" si="31"/>
        <v>7318.3046166050835</v>
      </c>
      <c r="M57"/>
    </row>
    <row r="58" spans="1:20" s="13" customFormat="1" x14ac:dyDescent="0.25">
      <c r="B58" s="34" t="s">
        <v>60</v>
      </c>
      <c r="C58" s="75">
        <f>C53</f>
        <v>3.5</v>
      </c>
      <c r="D58" s="80"/>
      <c r="E58" s="51">
        <f>E53</f>
        <v>3.5</v>
      </c>
      <c r="F58" s="51">
        <f t="shared" ref="F58:I59" si="32">F53</f>
        <v>3.395</v>
      </c>
      <c r="G58" s="51">
        <f t="shared" si="32"/>
        <v>3.2931499999999998</v>
      </c>
      <c r="H58" s="51">
        <f t="shared" si="32"/>
        <v>3.1943554999999999</v>
      </c>
      <c r="I58" s="51">
        <f t="shared" si="32"/>
        <v>3.0985248349999996</v>
      </c>
      <c r="J58" s="51">
        <f t="shared" ref="J58:L58" si="33">J53</f>
        <v>3.0055690899499994</v>
      </c>
      <c r="K58" s="51">
        <f t="shared" si="33"/>
        <v>2.9154020172514992</v>
      </c>
      <c r="L58" s="51">
        <f t="shared" si="33"/>
        <v>2.827939956733954</v>
      </c>
      <c r="M58"/>
    </row>
    <row r="59" spans="1:20" s="13" customFormat="1" x14ac:dyDescent="0.25">
      <c r="B59" s="34" t="s">
        <v>58</v>
      </c>
      <c r="C59" s="75">
        <f>C54</f>
        <v>33.289244733643265</v>
      </c>
      <c r="D59" s="80"/>
      <c r="E59" s="75">
        <f>E54</f>
        <v>33.289244733643265</v>
      </c>
      <c r="F59" s="75">
        <f t="shared" si="32"/>
        <v>32.290567391633964</v>
      </c>
      <c r="G59" s="75">
        <f t="shared" si="32"/>
        <v>31.321850369884945</v>
      </c>
      <c r="H59" s="75">
        <f t="shared" si="32"/>
        <v>30.382194858788395</v>
      </c>
      <c r="I59" s="75">
        <f t="shared" si="32"/>
        <v>29.470729013024741</v>
      </c>
      <c r="J59" s="75">
        <f t="shared" ref="J59:L59" si="34">J54</f>
        <v>28.586607142633998</v>
      </c>
      <c r="K59" s="75">
        <f t="shared" si="34"/>
        <v>27.729008928354975</v>
      </c>
      <c r="L59" s="75">
        <f t="shared" si="34"/>
        <v>26.897138660504325</v>
      </c>
      <c r="M59"/>
    </row>
    <row r="60" spans="1:20" s="13" customFormat="1" x14ac:dyDescent="0.25">
      <c r="J60" s="2"/>
    </row>
    <row r="61" spans="1:20" ht="14.5" thickBot="1" x14ac:dyDescent="0.3">
      <c r="A61" s="50"/>
      <c r="B61" s="50" t="s">
        <v>33</v>
      </c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</row>
    <row r="62" spans="1:20" s="13" customFormat="1" x14ac:dyDescent="0.25"/>
    <row r="63" spans="1:20" s="13" customFormat="1" ht="23" x14ac:dyDescent="0.25">
      <c r="C63" s="1" t="s">
        <v>93</v>
      </c>
      <c r="E63" s="1">
        <v>2016</v>
      </c>
      <c r="F63" s="1">
        <f>E63+1</f>
        <v>2017</v>
      </c>
      <c r="G63" s="1">
        <f t="shared" ref="G63" si="35">F63+1</f>
        <v>2018</v>
      </c>
      <c r="H63" s="1">
        <f t="shared" ref="H63" si="36">G63+1</f>
        <v>2019</v>
      </c>
      <c r="I63" s="1">
        <f t="shared" ref="I63:J63" si="37">H63+1</f>
        <v>2020</v>
      </c>
      <c r="J63" s="1">
        <f t="shared" si="37"/>
        <v>2021</v>
      </c>
      <c r="K63" s="1">
        <f t="shared" ref="K63" si="38">J63+1</f>
        <v>2022</v>
      </c>
      <c r="L63" s="1">
        <f t="shared" ref="L63" si="39">K63+1</f>
        <v>2023</v>
      </c>
      <c r="M63"/>
    </row>
    <row r="64" spans="1:20" s="23" customFormat="1" x14ac:dyDescent="0.25">
      <c r="E64" s="13"/>
      <c r="F64" s="13"/>
      <c r="G64" s="13"/>
      <c r="H64" s="13"/>
      <c r="I64" s="13"/>
      <c r="J64" s="13"/>
      <c r="M64"/>
    </row>
    <row r="65" spans="2:13" x14ac:dyDescent="0.25">
      <c r="B65" s="13" t="str">
        <f t="array" ref="B65:B70">B22:B27</f>
        <v>Equipo de transporte (Switch)</v>
      </c>
      <c r="C65" s="74">
        <f>INDEX('Costos asociados'!$G$24:$G$29,MATCH(B65,'Costos asociados'!$B$24:$B$29,0),)</f>
        <v>66.666666666666671</v>
      </c>
      <c r="E65" s="78">
        <f>C65</f>
        <v>66.666666666666671</v>
      </c>
      <c r="F65" s="83">
        <f t="shared" ref="F65:J70" si="40">E65*(1+tendencia.opex)</f>
        <v>68.333333333333329</v>
      </c>
      <c r="G65" s="83">
        <f t="shared" si="40"/>
        <v>70.041666666666657</v>
      </c>
      <c r="H65" s="83">
        <f t="shared" si="40"/>
        <v>71.792708333333323</v>
      </c>
      <c r="I65" s="83">
        <f t="shared" si="40"/>
        <v>73.587526041666649</v>
      </c>
      <c r="J65" s="83">
        <f t="shared" si="40"/>
        <v>75.427214192708306</v>
      </c>
      <c r="K65" s="83">
        <f t="shared" ref="K65:K70" si="41">J65*(1+tendencia.opex)</f>
        <v>77.312894547526</v>
      </c>
      <c r="L65" s="83">
        <f t="shared" ref="L65:L70" si="42">K65*(1+tendencia.opex)</f>
        <v>79.245716911214146</v>
      </c>
      <c r="M65"/>
    </row>
    <row r="66" spans="2:13" x14ac:dyDescent="0.25">
      <c r="B66" s="13" t="str">
        <v>DFO pequeño</v>
      </c>
      <c r="C66" s="74">
        <f>INDEX('Costos asociados'!$G$24:$G$29,MATCH(B66,'Costos asociados'!$B$24:$B$29,0),)</f>
        <v>3.5</v>
      </c>
      <c r="E66" s="78">
        <f t="shared" ref="E66:E70" si="43">C66</f>
        <v>3.5</v>
      </c>
      <c r="F66" s="83">
        <f t="shared" si="40"/>
        <v>3.5874999999999995</v>
      </c>
      <c r="G66" s="83">
        <f t="shared" si="40"/>
        <v>3.6771874999999992</v>
      </c>
      <c r="H66" s="83">
        <f t="shared" si="40"/>
        <v>3.7691171874999987</v>
      </c>
      <c r="I66" s="83">
        <f t="shared" si="40"/>
        <v>3.8633451171874982</v>
      </c>
      <c r="J66" s="83">
        <f t="shared" si="40"/>
        <v>3.9599287451171854</v>
      </c>
      <c r="K66" s="83">
        <f t="shared" si="41"/>
        <v>4.0589269637451144</v>
      </c>
      <c r="L66" s="83">
        <f t="shared" si="42"/>
        <v>4.1604001378387423</v>
      </c>
      <c r="M66"/>
    </row>
    <row r="67" spans="2:13" x14ac:dyDescent="0.25">
      <c r="B67" s="13" t="str">
        <v>Demarcador (switch)</v>
      </c>
      <c r="C67" s="74">
        <f>INDEX('Costos asociados'!$G$24:$G$29,MATCH(B67,'Costos asociados'!$B$24:$B$29,0),)</f>
        <v>50</v>
      </c>
      <c r="E67" s="78">
        <f t="shared" si="43"/>
        <v>50</v>
      </c>
      <c r="F67" s="83">
        <f t="shared" si="40"/>
        <v>51.249999999999993</v>
      </c>
      <c r="G67" s="83">
        <f t="shared" si="40"/>
        <v>52.531249999999986</v>
      </c>
      <c r="H67" s="83">
        <f t="shared" si="40"/>
        <v>53.844531249999982</v>
      </c>
      <c r="I67" s="83">
        <f t="shared" si="40"/>
        <v>55.19064453124998</v>
      </c>
      <c r="J67" s="83">
        <f t="shared" si="40"/>
        <v>56.570410644531222</v>
      </c>
      <c r="K67" s="83">
        <f t="shared" si="41"/>
        <v>57.984670910644496</v>
      </c>
      <c r="L67" s="83">
        <f t="shared" si="42"/>
        <v>59.434287683410602</v>
      </c>
      <c r="M67"/>
    </row>
    <row r="68" spans="2:13" x14ac:dyDescent="0.25">
      <c r="B68" s="13" t="str">
        <v>Jumper óptico</v>
      </c>
      <c r="C68" s="74">
        <f>INDEX('Costos asociados'!$G$24:$G$29,MATCH(B68,'Costos asociados'!$B$24:$B$29,0),)</f>
        <v>0.75</v>
      </c>
      <c r="E68" s="78">
        <f t="shared" si="43"/>
        <v>0.75</v>
      </c>
      <c r="F68" s="83">
        <f t="shared" si="40"/>
        <v>0.76874999999999993</v>
      </c>
      <c r="G68" s="83">
        <f t="shared" si="40"/>
        <v>0.78796874999999988</v>
      </c>
      <c r="H68" s="83">
        <f t="shared" si="40"/>
        <v>0.8076679687499998</v>
      </c>
      <c r="I68" s="83">
        <f t="shared" si="40"/>
        <v>0.82785966796874977</v>
      </c>
      <c r="J68" s="83">
        <f t="shared" si="40"/>
        <v>0.84855615966796849</v>
      </c>
      <c r="K68" s="83">
        <f t="shared" si="41"/>
        <v>0.86977006365966758</v>
      </c>
      <c r="L68" s="83">
        <f t="shared" si="42"/>
        <v>0.89151431525115921</v>
      </c>
      <c r="M68"/>
    </row>
    <row r="69" spans="2:13" x14ac:dyDescent="0.25">
      <c r="B69" s="31" t="str">
        <v>Cable óptico</v>
      </c>
      <c r="C69" s="74">
        <f>INDEX('Costos asociados'!$G$24:$G$29,MATCH(B69,'Costos asociados'!$B$24:$B$29,0),)</f>
        <v>5.8333333333333336E-3</v>
      </c>
      <c r="D69" s="31"/>
      <c r="E69" s="78">
        <f t="shared" si="43"/>
        <v>5.8333333333333336E-3</v>
      </c>
      <c r="F69" s="83">
        <f t="shared" si="40"/>
        <v>5.9791666666666665E-3</v>
      </c>
      <c r="G69" s="83">
        <f t="shared" si="40"/>
        <v>6.1286458333333323E-3</v>
      </c>
      <c r="H69" s="83">
        <f t="shared" si="40"/>
        <v>6.281861979166665E-3</v>
      </c>
      <c r="I69" s="83">
        <f t="shared" si="40"/>
        <v>6.4389085286458312E-3</v>
      </c>
      <c r="J69" s="83">
        <f t="shared" si="40"/>
        <v>6.5998812418619768E-3</v>
      </c>
      <c r="K69" s="83">
        <f t="shared" si="41"/>
        <v>6.7648782729085258E-3</v>
      </c>
      <c r="L69" s="83">
        <f t="shared" si="42"/>
        <v>6.9340002297312384E-3</v>
      </c>
      <c r="M69"/>
    </row>
    <row r="70" spans="2:13" x14ac:dyDescent="0.25">
      <c r="B70" s="13" t="str">
        <v>Escalerilla</v>
      </c>
      <c r="C70" s="74">
        <f>INDEX('Costos asociados'!$G$24:$G$29,MATCH(B70,'Costos asociados'!$B$24:$B$29,0),)</f>
        <v>0.63835643623095528</v>
      </c>
      <c r="E70" s="78">
        <f t="shared" si="43"/>
        <v>0.63835643623095528</v>
      </c>
      <c r="F70" s="83">
        <f t="shared" si="40"/>
        <v>0.65431534713672912</v>
      </c>
      <c r="G70" s="83">
        <f t="shared" si="40"/>
        <v>0.67067323081514729</v>
      </c>
      <c r="H70" s="83">
        <f t="shared" si="40"/>
        <v>0.68744006158552595</v>
      </c>
      <c r="I70" s="83">
        <f t="shared" si="40"/>
        <v>0.70462606312516407</v>
      </c>
      <c r="J70" s="83">
        <f t="shared" si="40"/>
        <v>0.72224171470329313</v>
      </c>
      <c r="K70" s="83">
        <f t="shared" si="41"/>
        <v>0.74029775757087535</v>
      </c>
      <c r="L70" s="83">
        <f t="shared" si="42"/>
        <v>0.75880520151014719</v>
      </c>
      <c r="M70"/>
    </row>
    <row r="71" spans="2:13" x14ac:dyDescent="0.25">
      <c r="B71" s="13"/>
      <c r="E71" s="77"/>
      <c r="F71" s="13"/>
      <c r="J71" s="13"/>
      <c r="M71"/>
    </row>
    <row r="72" spans="2:13" s="13" customFormat="1" x14ac:dyDescent="0.25">
      <c r="B72" s="34" t="s">
        <v>73</v>
      </c>
      <c r="C72" s="85">
        <f>SUM(C65:C68)</f>
        <v>120.91666666666667</v>
      </c>
      <c r="D72" s="34"/>
      <c r="E72" s="85">
        <f>SUM(E65:E68)</f>
        <v>120.91666666666667</v>
      </c>
      <c r="F72" s="85">
        <f t="shared" ref="F72:I72" si="44">SUM(F65:F68)</f>
        <v>123.93958333333332</v>
      </c>
      <c r="G72" s="85">
        <f t="shared" si="44"/>
        <v>127.03807291666665</v>
      </c>
      <c r="H72" s="85">
        <f t="shared" si="44"/>
        <v>130.21402473958329</v>
      </c>
      <c r="I72" s="85">
        <f t="shared" si="44"/>
        <v>133.46937535807285</v>
      </c>
      <c r="J72" s="85">
        <f t="shared" ref="J72:L72" si="45">SUM(J65:J68)</f>
        <v>136.80610974202466</v>
      </c>
      <c r="K72" s="85">
        <f t="shared" si="45"/>
        <v>140.22626248557529</v>
      </c>
      <c r="L72" s="85">
        <f t="shared" si="45"/>
        <v>143.73191904771463</v>
      </c>
      <c r="M72"/>
    </row>
    <row r="73" spans="2:13" s="13" customFormat="1" x14ac:dyDescent="0.25">
      <c r="B73" s="34" t="s">
        <v>59</v>
      </c>
      <c r="C73" s="52">
        <f>C72/numero.de.operadores</f>
        <v>60.458333333333336</v>
      </c>
      <c r="D73" s="34"/>
      <c r="E73" s="52">
        <f t="shared" ref="E73:J73" si="46">E72/numero.de.operadores</f>
        <v>60.458333333333336</v>
      </c>
      <c r="F73" s="52">
        <f t="shared" si="46"/>
        <v>61.969791666666659</v>
      </c>
      <c r="G73" s="52">
        <f t="shared" si="46"/>
        <v>63.519036458333325</v>
      </c>
      <c r="H73" s="52">
        <f t="shared" si="46"/>
        <v>65.107012369791647</v>
      </c>
      <c r="I73" s="52">
        <f t="shared" si="46"/>
        <v>66.734687679036426</v>
      </c>
      <c r="J73" s="52">
        <f t="shared" si="46"/>
        <v>68.40305487101233</v>
      </c>
      <c r="K73" s="52">
        <f t="shared" ref="K73:L73" si="47">K72/numero.de.operadores</f>
        <v>70.113131242787645</v>
      </c>
      <c r="L73" s="52">
        <f t="shared" si="47"/>
        <v>71.865959523857313</v>
      </c>
      <c r="M73"/>
    </row>
    <row r="74" spans="2:13" s="13" customFormat="1" x14ac:dyDescent="0.25">
      <c r="B74" s="34" t="s">
        <v>81</v>
      </c>
      <c r="C74" s="84">
        <f>C69</f>
        <v>5.8333333333333336E-3</v>
      </c>
      <c r="D74" s="34"/>
      <c r="E74" s="84">
        <f>E69</f>
        <v>5.8333333333333336E-3</v>
      </c>
      <c r="F74" s="84">
        <f t="shared" ref="F74:I74" si="48">F69</f>
        <v>5.9791666666666665E-3</v>
      </c>
      <c r="G74" s="84">
        <f t="shared" si="48"/>
        <v>6.1286458333333323E-3</v>
      </c>
      <c r="H74" s="84">
        <f t="shared" si="48"/>
        <v>6.281861979166665E-3</v>
      </c>
      <c r="I74" s="84">
        <f t="shared" si="48"/>
        <v>6.4389085286458312E-3</v>
      </c>
      <c r="J74" s="84">
        <f t="shared" ref="J74:L74" si="49">J69</f>
        <v>6.5998812418619768E-3</v>
      </c>
      <c r="K74" s="84">
        <f t="shared" si="49"/>
        <v>6.7648782729085258E-3</v>
      </c>
      <c r="L74" s="84">
        <f t="shared" si="49"/>
        <v>6.9340002297312384E-3</v>
      </c>
      <c r="M74"/>
    </row>
    <row r="75" spans="2:13" s="13" customFormat="1" x14ac:dyDescent="0.25">
      <c r="B75" s="34" t="s">
        <v>82</v>
      </c>
      <c r="C75" s="84">
        <f>C70</f>
        <v>0.63835643623095528</v>
      </c>
      <c r="D75" s="34"/>
      <c r="E75" s="84">
        <f>E70</f>
        <v>0.63835643623095528</v>
      </c>
      <c r="F75" s="84">
        <f t="shared" ref="F75:I75" si="50">F70</f>
        <v>0.65431534713672912</v>
      </c>
      <c r="G75" s="84">
        <f t="shared" si="50"/>
        <v>0.67067323081514729</v>
      </c>
      <c r="H75" s="84">
        <f t="shared" si="50"/>
        <v>0.68744006158552595</v>
      </c>
      <c r="I75" s="84">
        <f t="shared" si="50"/>
        <v>0.70462606312516407</v>
      </c>
      <c r="J75" s="84">
        <f t="shared" ref="J75:L75" si="51">J70</f>
        <v>0.72224171470329313</v>
      </c>
      <c r="K75" s="84">
        <f t="shared" si="51"/>
        <v>0.74029775757087535</v>
      </c>
      <c r="L75" s="84">
        <f t="shared" si="51"/>
        <v>0.75880520151014719</v>
      </c>
      <c r="M75"/>
    </row>
    <row r="76" spans="2:13" x14ac:dyDescent="0.25">
      <c r="M76"/>
    </row>
  </sheetData>
  <phoneticPr fontId="0" type="noConversion"/>
  <dataValidations count="3">
    <dataValidation type="whole" allowBlank="1" showInputMessage="1" showErrorMessage="1" errorTitle="Número incorrecto" error="Por favor, introduzca un número de operadores entre 2 y 10" sqref="E29 P10:P11 E36:E37 E3:E4 N10:N11 E19:E20 G10:G11" xr:uid="{00000000-0002-0000-0200-000000000000}">
      <formula1>2</formula1>
      <formula2>10</formula2>
    </dataValidation>
    <dataValidation type="list" allowBlank="1" showInputMessage="1" showErrorMessage="1" sqref="E33" xr:uid="{00000000-0002-0000-0200-000001000000}">
      <formula1>$F$33:$G$33</formula1>
    </dataValidation>
    <dataValidation type="list" allowBlank="1" showInputMessage="1" showErrorMessage="1" sqref="E31" xr:uid="{00000000-0002-0000-0200-000002000000}">
      <formula1>$J$30:$K$30</formula1>
    </dataValidation>
  </dataValidations>
  <pageMargins left="0.70866141732283472" right="0.70866141732283472" top="0.51181102362204722" bottom="0.51181102362204722" header="0.51181102362204722" footer="0.35433070866141736"/>
  <pageSetup paperSize="9" orientation="landscape" horizontalDpi="4294967292" verticalDpi="4294967292" r:id="rId1"/>
  <headerFooter alignWithMargins="0">
    <oddFooter xml:space="preserve">&amp;L&amp;F : &amp;A&amp;CPrinted at &amp;T on &amp;D&amp;RCommercial in confidence © Analysys Mason 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autoPageBreaks="0"/>
  </sheetPr>
  <dimension ref="A1:Q40"/>
  <sheetViews>
    <sheetView showGridLines="0" defaultGridColor="0" colorId="22" zoomScale="90" zoomScaleNormal="90" workbookViewId="0">
      <pane ySplit="1" topLeftCell="A2" activePane="bottomLeft" state="frozen"/>
      <selection pane="bottomLeft"/>
    </sheetView>
  </sheetViews>
  <sheetFormatPr baseColWidth="10" defaultColWidth="12.69921875" defaultRowHeight="11.5" x14ac:dyDescent="0.25"/>
  <cols>
    <col min="1" max="1" width="6.69921875" style="13" customWidth="1"/>
    <col min="2" max="2" width="39.3984375" style="13" bestFit="1" customWidth="1"/>
    <col min="3" max="5" width="12.69921875" style="13"/>
    <col min="6" max="6" width="38.69921875" style="13" customWidth="1"/>
    <col min="7" max="7" width="18" style="13" bestFit="1" customWidth="1"/>
    <col min="8" max="16384" width="12.69921875" style="13"/>
  </cols>
  <sheetData>
    <row r="1" spans="1:17" s="67" customFormat="1" ht="33.75" customHeight="1" x14ac:dyDescent="0.25">
      <c r="C1" s="68" t="s">
        <v>91</v>
      </c>
    </row>
    <row r="4" spans="1:17" ht="17" thickBot="1" x14ac:dyDescent="0.3">
      <c r="A4" s="47"/>
      <c r="B4" s="47" t="s">
        <v>55</v>
      </c>
      <c r="C4" s="48"/>
      <c r="D4" s="49"/>
      <c r="E4" s="49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</row>
    <row r="5" spans="1:17" ht="12" thickTop="1" x14ac:dyDescent="0.25"/>
    <row r="6" spans="1:17" ht="14.5" thickBot="1" x14ac:dyDescent="0.3">
      <c r="A6" s="50"/>
      <c r="B6" s="50" t="s">
        <v>53</v>
      </c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0"/>
      <c r="Q6" s="50"/>
    </row>
    <row r="8" spans="1:17" x14ac:dyDescent="0.25">
      <c r="C8" s="33" t="s">
        <v>39</v>
      </c>
      <c r="D8" s="33" t="s">
        <v>63</v>
      </c>
      <c r="E8" s="33" t="s">
        <v>64</v>
      </c>
      <c r="F8" s="33" t="s">
        <v>65</v>
      </c>
      <c r="G8" s="33" t="s">
        <v>75</v>
      </c>
      <c r="H8" s="33" t="s">
        <v>67</v>
      </c>
      <c r="I8" s="33" t="s">
        <v>66</v>
      </c>
      <c r="J8" s="35" t="s">
        <v>35</v>
      </c>
    </row>
    <row r="9" spans="1:17" ht="12" x14ac:dyDescent="0.25">
      <c r="B9" s="13" t="str">
        <f t="array" ref="B9:B14">'Modelo ITX cruzada'!B49:B54</f>
        <v>Equipo de transporte (Switch)</v>
      </c>
      <c r="C9" s="87">
        <f>'Modelo ITX cruzada'!E22</f>
        <v>1</v>
      </c>
      <c r="E9" s="54">
        <f>8000*'Modelo ITX cruzada'!$F$31</f>
        <v>8000</v>
      </c>
      <c r="F9" s="29">
        <v>0.25</v>
      </c>
      <c r="G9" s="30">
        <f t="array" ref="G9:G12">C9:C12*E9:E12</f>
        <v>8000</v>
      </c>
      <c r="H9" s="55">
        <v>7</v>
      </c>
      <c r="I9" s="56">
        <f>+(G9*wacc)/(1-(1+wacc)^-(H9))</f>
        <v>1588.2175066027578</v>
      </c>
      <c r="J9" s="14" t="s">
        <v>102</v>
      </c>
      <c r="L9" s="2"/>
      <c r="M9" s="2"/>
      <c r="N9" s="58"/>
    </row>
    <row r="10" spans="1:17" ht="12" x14ac:dyDescent="0.25">
      <c r="B10" s="13" t="str">
        <v>DFO pequeño</v>
      </c>
      <c r="C10" s="87">
        <f>'Modelo ITX cruzada'!E23</f>
        <v>1</v>
      </c>
      <c r="E10" s="28">
        <f>70*6</f>
        <v>420</v>
      </c>
      <c r="F10" s="29">
        <v>0.25</v>
      </c>
      <c r="G10" s="30">
        <v>420</v>
      </c>
      <c r="H10" s="55">
        <v>7</v>
      </c>
      <c r="I10" s="56">
        <f>+(G10*wacc)/(1-(1+wacc)^-(H10))</f>
        <v>83.381419096644777</v>
      </c>
      <c r="J10" s="14" t="s">
        <v>103</v>
      </c>
      <c r="L10" s="2"/>
      <c r="N10" s="59"/>
    </row>
    <row r="11" spans="1:17" ht="12" x14ac:dyDescent="0.25">
      <c r="B11" s="13" t="str">
        <v>Demarcador (switch)</v>
      </c>
      <c r="C11" s="87">
        <f>'Modelo ITX cruzada'!E24</f>
        <v>2</v>
      </c>
      <c r="E11" s="54">
        <f>3000*'Modelo ITX cruzada'!$F$31</f>
        <v>3000</v>
      </c>
      <c r="F11" s="29">
        <v>0.25</v>
      </c>
      <c r="G11" s="30">
        <v>6000</v>
      </c>
      <c r="H11" s="55">
        <v>7</v>
      </c>
      <c r="I11" s="56">
        <f>+(G11*wacc)/(1-(1+wacc)^-(H11))</f>
        <v>1191.1631299520684</v>
      </c>
      <c r="J11" s="14" t="s">
        <v>104</v>
      </c>
      <c r="L11" s="2"/>
    </row>
    <row r="12" spans="1:17" ht="12" x14ac:dyDescent="0.25">
      <c r="B12" s="13" t="str">
        <v>Jumper óptico</v>
      </c>
      <c r="C12" s="87">
        <f>'Modelo ITX cruzada'!E25</f>
        <v>2</v>
      </c>
      <c r="E12" s="28">
        <v>45</v>
      </c>
      <c r="F12" s="29">
        <v>0</v>
      </c>
      <c r="G12" s="30">
        <v>90</v>
      </c>
      <c r="H12" s="55">
        <v>7</v>
      </c>
      <c r="I12" s="56">
        <f>+(G12*wacc)/(1-(1+wacc)^-(H12))</f>
        <v>17.867446949281025</v>
      </c>
      <c r="J12" s="14" t="s">
        <v>105</v>
      </c>
      <c r="L12" s="2"/>
    </row>
    <row r="13" spans="1:17" ht="12" x14ac:dyDescent="0.25">
      <c r="B13" s="31" t="str">
        <v>Cable óptico</v>
      </c>
      <c r="E13" s="61">
        <v>3.5</v>
      </c>
      <c r="H13" s="55">
        <v>25</v>
      </c>
      <c r="I13" s="57">
        <f>+(E13*wacc)/(1-(1+wacc)^-(H13))</f>
        <v>0.35561471356635005</v>
      </c>
      <c r="J13" s="14" t="s">
        <v>106</v>
      </c>
      <c r="L13" s="2"/>
    </row>
    <row r="14" spans="1:17" ht="12" x14ac:dyDescent="0.25">
      <c r="B14" s="13" t="str">
        <v>Escalerilla</v>
      </c>
      <c r="D14" s="32">
        <v>622.13</v>
      </c>
      <c r="E14" s="52">
        <f t="array" ref="E14">D14/tasa.cambio.mxn.usd</f>
        <v>33.289244733643265</v>
      </c>
      <c r="J14" s="14" t="s">
        <v>79</v>
      </c>
      <c r="L14" s="2"/>
    </row>
    <row r="15" spans="1:17" x14ac:dyDescent="0.25">
      <c r="J15" s="2"/>
    </row>
    <row r="16" spans="1:17" x14ac:dyDescent="0.25">
      <c r="B16" s="34" t="s">
        <v>57</v>
      </c>
      <c r="C16" s="52">
        <f>SUM(G9:G12)</f>
        <v>14510</v>
      </c>
      <c r="D16" s="13" t="s">
        <v>76</v>
      </c>
      <c r="J16" s="2"/>
    </row>
    <row r="17" spans="1:17" x14ac:dyDescent="0.25">
      <c r="B17" s="34" t="s">
        <v>59</v>
      </c>
      <c r="C17" s="52">
        <f>C16/numero.de.operadores</f>
        <v>7255</v>
      </c>
      <c r="D17" s="13" t="s">
        <v>76</v>
      </c>
      <c r="J17" s="2"/>
    </row>
    <row r="18" spans="1:17" x14ac:dyDescent="0.25">
      <c r="B18" s="34" t="s">
        <v>60</v>
      </c>
      <c r="C18" s="51">
        <f>E13</f>
        <v>3.5</v>
      </c>
      <c r="D18" s="13" t="s">
        <v>76</v>
      </c>
    </row>
    <row r="19" spans="1:17" x14ac:dyDescent="0.25">
      <c r="B19" s="34" t="s">
        <v>58</v>
      </c>
      <c r="C19" s="51">
        <f>E14</f>
        <v>33.289244733643265</v>
      </c>
      <c r="D19" s="13" t="s">
        <v>76</v>
      </c>
    </row>
    <row r="20" spans="1:17" x14ac:dyDescent="0.25">
      <c r="H20" s="2"/>
    </row>
    <row r="21" spans="1:17" ht="14.5" thickBot="1" x14ac:dyDescent="0.3">
      <c r="A21" s="50"/>
      <c r="B21" s="50" t="s">
        <v>33</v>
      </c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</row>
    <row r="23" spans="1:17" s="23" customFormat="1" ht="34.5" x14ac:dyDescent="0.25">
      <c r="C23" s="63" t="s">
        <v>39</v>
      </c>
      <c r="D23" s="64" t="s">
        <v>87</v>
      </c>
      <c r="E23" s="63" t="s">
        <v>37</v>
      </c>
      <c r="F23" s="63" t="s">
        <v>78</v>
      </c>
      <c r="G23" s="63" t="s">
        <v>80</v>
      </c>
      <c r="H23" s="65" t="s">
        <v>35</v>
      </c>
    </row>
    <row r="24" spans="1:17" ht="12" x14ac:dyDescent="0.25">
      <c r="B24" s="13" t="str">
        <f t="array" ref="B24:B29">'Modelo ITX cruzada'!B65:B70</f>
        <v>Equipo de transporte (Switch)</v>
      </c>
      <c r="C24" s="42">
        <f t="array" ref="C24:C27">C9:C12</f>
        <v>1</v>
      </c>
      <c r="D24" s="33"/>
      <c r="E24" s="29">
        <v>0.1</v>
      </c>
      <c r="F24" s="30">
        <f>(G9*E24)</f>
        <v>800</v>
      </c>
      <c r="G24" s="58">
        <f>F24/12</f>
        <v>66.666666666666671</v>
      </c>
      <c r="H24" s="14" t="s">
        <v>107</v>
      </c>
    </row>
    <row r="25" spans="1:17" ht="12" x14ac:dyDescent="0.25">
      <c r="B25" s="13" t="str">
        <v>DFO pequeño</v>
      </c>
      <c r="C25" s="42">
        <v>1</v>
      </c>
      <c r="D25" s="33"/>
      <c r="E25" s="29">
        <v>0.1</v>
      </c>
      <c r="F25" s="30">
        <f t="shared" ref="F25:F27" si="0">(G10*E25)</f>
        <v>42</v>
      </c>
      <c r="G25" s="58">
        <f t="shared" ref="G25:G27" si="1">F25/12</f>
        <v>3.5</v>
      </c>
      <c r="H25" s="14" t="s">
        <v>107</v>
      </c>
    </row>
    <row r="26" spans="1:17" ht="12" x14ac:dyDescent="0.25">
      <c r="B26" s="13" t="str">
        <v>Demarcador (switch)</v>
      </c>
      <c r="C26" s="42">
        <v>2</v>
      </c>
      <c r="D26" s="33"/>
      <c r="E26" s="29">
        <v>0.1</v>
      </c>
      <c r="F26" s="30">
        <f t="shared" si="0"/>
        <v>600</v>
      </c>
      <c r="G26" s="58">
        <f t="shared" si="1"/>
        <v>50</v>
      </c>
      <c r="H26" s="14" t="s">
        <v>107</v>
      </c>
    </row>
    <row r="27" spans="1:17" ht="12" x14ac:dyDescent="0.25">
      <c r="B27" s="13" t="str">
        <v>Jumper óptico</v>
      </c>
      <c r="C27" s="42">
        <v>2</v>
      </c>
      <c r="E27" s="29">
        <v>0.1</v>
      </c>
      <c r="F27" s="30">
        <f t="shared" si="0"/>
        <v>9</v>
      </c>
      <c r="G27" s="58">
        <f t="shared" si="1"/>
        <v>0.75</v>
      </c>
      <c r="H27" s="14" t="s">
        <v>107</v>
      </c>
    </row>
    <row r="28" spans="1:17" ht="12" x14ac:dyDescent="0.25">
      <c r="B28" s="31" t="str">
        <v>Cable óptico</v>
      </c>
      <c r="E28" s="29">
        <v>0.02</v>
      </c>
      <c r="F28" s="60">
        <f>(E13*E28)</f>
        <v>7.0000000000000007E-2</v>
      </c>
      <c r="G28" s="60">
        <f>F28/12</f>
        <v>5.8333333333333336E-3</v>
      </c>
      <c r="H28" s="14" t="s">
        <v>107</v>
      </c>
    </row>
    <row r="29" spans="1:17" ht="12" x14ac:dyDescent="0.25">
      <c r="B29" s="13" t="str">
        <v>Escalerilla</v>
      </c>
      <c r="D29" s="93">
        <v>11.93</v>
      </c>
      <c r="G29" s="94">
        <f t="array" ref="G29">D29/tasa.cambio.mxn.usd</f>
        <v>0.63835643623095528</v>
      </c>
      <c r="H29" s="14" t="s">
        <v>79</v>
      </c>
    </row>
    <row r="31" spans="1:17" x14ac:dyDescent="0.25">
      <c r="B31" s="34" t="s">
        <v>73</v>
      </c>
      <c r="C31" s="52">
        <f>SUM(G24:G27)</f>
        <v>120.91666666666667</v>
      </c>
      <c r="D31" s="13" t="s">
        <v>77</v>
      </c>
    </row>
    <row r="32" spans="1:17" x14ac:dyDescent="0.25">
      <c r="B32" s="34" t="s">
        <v>59</v>
      </c>
      <c r="C32" s="52">
        <f>C31/numero.de.operadores</f>
        <v>60.458333333333336</v>
      </c>
      <c r="D32" s="13" t="s">
        <v>77</v>
      </c>
    </row>
    <row r="33" spans="1:17" x14ac:dyDescent="0.25">
      <c r="B33" s="34" t="s">
        <v>81</v>
      </c>
      <c r="C33" s="51">
        <f>G28</f>
        <v>5.8333333333333336E-3</v>
      </c>
      <c r="D33" s="13" t="s">
        <v>77</v>
      </c>
    </row>
    <row r="34" spans="1:17" x14ac:dyDescent="0.25">
      <c r="B34" s="34" t="s">
        <v>82</v>
      </c>
      <c r="C34" s="51">
        <f>G29</f>
        <v>0.63835643623095528</v>
      </c>
      <c r="D34" s="13" t="s">
        <v>77</v>
      </c>
    </row>
    <row r="37" spans="1:17" ht="14.5" thickBot="1" x14ac:dyDescent="0.3">
      <c r="A37" s="50"/>
      <c r="B37" s="50" t="s">
        <v>94</v>
      </c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</row>
    <row r="39" spans="1:17" ht="12" x14ac:dyDescent="0.25">
      <c r="B39" s="13" t="s">
        <v>95</v>
      </c>
      <c r="D39" s="86">
        <v>-0.03</v>
      </c>
      <c r="E39" s="14" t="s">
        <v>97</v>
      </c>
    </row>
    <row r="40" spans="1:17" ht="12" x14ac:dyDescent="0.25">
      <c r="B40" s="13" t="s">
        <v>96</v>
      </c>
      <c r="D40" s="86">
        <v>2.5000000000000001E-2</v>
      </c>
      <c r="E40" s="14" t="s">
        <v>98</v>
      </c>
    </row>
  </sheetData>
  <pageMargins left="0.70866141732283472" right="0.70866141732283472" top="0.51181102362204722" bottom="0.51181102362204722" header="0.51181102362204722" footer="0.35433070866141736"/>
  <pageSetup paperSize="9" orientation="landscape" horizontalDpi="4294967292" verticalDpi="4294967292" r:id="rId1"/>
  <headerFooter alignWithMargins="0">
    <oddFooter xml:space="preserve">&amp;L&amp;F : &amp;A&amp;CPrinted at &amp;T on &amp;D&amp;RCommercial in confidence © Analysys Mason 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B15CC1F60C3A24DAE986BC91B8A767D" ma:contentTypeVersion="5" ma:contentTypeDescription="Crear nuevo documento." ma:contentTypeScope="" ma:versionID="2bc2bed90b41d6a2a068ae1da3b16a8a">
  <xsd:schema xmlns:xsd="http://www.w3.org/2001/XMLSchema" xmlns:xs="http://www.w3.org/2001/XMLSchema" xmlns:p="http://schemas.microsoft.com/office/2006/metadata/properties" xmlns:ns3="9ffed26d-ea85-43fd-9a89-6528c06da7d8" xmlns:ns4="a044356d-fbca-4304-b2ab-58472e5da1e2" targetNamespace="http://schemas.microsoft.com/office/2006/metadata/properties" ma:root="true" ma:fieldsID="ed7c908d65504a4d11dd34801c689a2b" ns3:_="" ns4:_="">
    <xsd:import namespace="9ffed26d-ea85-43fd-9a89-6528c06da7d8"/>
    <xsd:import namespace="a044356d-fbca-4304-b2ab-58472e5da1e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fed26d-ea85-43fd-9a89-6528c06da7d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44356d-fbca-4304-b2ab-58472e5da1e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1BBBEB6-5F4A-42B0-8D33-E290C21DF05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ffed26d-ea85-43fd-9a89-6528c06da7d8"/>
    <ds:schemaRef ds:uri="a044356d-fbca-4304-b2ab-58472e5da1e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0C673E5-0886-4D25-B48F-D8A4F11ED30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A9EE05D-80F0-4080-A873-7C31E5646E46}">
  <ds:schemaRefs>
    <ds:schemaRef ds:uri="http://www.w3.org/XML/1998/namespace"/>
    <ds:schemaRef ds:uri="http://schemas.microsoft.com/office/2006/metadata/properties"/>
    <ds:schemaRef ds:uri="http://purl.org/dc/dcmitype/"/>
    <ds:schemaRef ds:uri="http://purl.org/dc/elements/1.1/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a044356d-fbca-4304-b2ab-58472e5da1e2"/>
    <ds:schemaRef ds:uri="9ffed26d-ea85-43fd-9a89-6528c06da7d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7</vt:i4>
      </vt:variant>
    </vt:vector>
  </HeadingPairs>
  <TitlesOfParts>
    <vt:vector size="11" baseType="lpstr">
      <vt:lpstr>S</vt:lpstr>
      <vt:lpstr>Resultados</vt:lpstr>
      <vt:lpstr>Modelo ITX cruzada</vt:lpstr>
      <vt:lpstr>Costos asociados</vt:lpstr>
      <vt:lpstr>inflación</vt:lpstr>
      <vt:lpstr>numero.de.interconexiones</vt:lpstr>
      <vt:lpstr>numero.de.operadores</vt:lpstr>
      <vt:lpstr>tasa.cambio.mxn.usd</vt:lpstr>
      <vt:lpstr>tendencia.equipamiento</vt:lpstr>
      <vt:lpstr>tendencia.opex</vt:lpstr>
      <vt:lpstr>wacc</vt:lpstr>
    </vt:vector>
  </TitlesOfParts>
  <Manager>-</Manager>
  <Company>Analysys Mason Ltd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Analysys Mason workbook</dc:title>
  <dc:subject>-</dc:subject>
  <dc:creator>GUILLERMO FERNANDEZ CASTELLANOS</dc:creator>
  <cp:lastModifiedBy>Lizet Diaz Garcia</cp:lastModifiedBy>
  <cp:lastPrinted>2010-04-20T10:31:05Z</cp:lastPrinted>
  <dcterms:created xsi:type="dcterms:W3CDTF">1997-01-23T15:12:23Z</dcterms:created>
  <dcterms:modified xsi:type="dcterms:W3CDTF">2022-10-19T20:32:02Z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0x010100EB15CC1F60C3A24DAE986BC91B8A767D</vt:lpwstr>
  </property>
</Properties>
</file>