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veronica.gomez\Desktop\Modelos de Costos 2020\"/>
    </mc:Choice>
  </mc:AlternateContent>
  <bookViews>
    <workbookView xWindow="0" yWindow="0" windowWidth="19200" windowHeight="6960" activeTab="1"/>
  </bookViews>
  <sheets>
    <sheet name="S" sheetId="47" r:id="rId1"/>
    <sheet name="Resultados" sheetId="51" r:id="rId2"/>
    <sheet name="Modelo ICX cruzada" sheetId="49" r:id="rId3"/>
    <sheet name="Costos asociados" sheetId="52" r:id="rId4"/>
  </sheets>
  <definedNames>
    <definedName name="billion">1000000000</definedName>
    <definedName name="bit.conversion">1024</definedName>
    <definedName name="bit.per.byte">8</definedName>
    <definedName name="Caso">'Modelo ICX cruzada'!#REF!</definedName>
    <definedName name="cell.pi">2.6</definedName>
    <definedName name="days.per.month">30.42</definedName>
    <definedName name="days.per.year">365</definedName>
    <definedName name="epsilon">0.000001</definedName>
    <definedName name="hours.per.day">24</definedName>
    <definedName name="inflaccion">'Modelo ICX cruzada'!$E$40:$I$40</definedName>
    <definedName name="million">1000000</definedName>
    <definedName name="minutes.per.hour">60</definedName>
    <definedName name="months.per.year">12</definedName>
    <definedName name="numero.de.interconexiones">'Modelo ICX cruzada'!$E$30</definedName>
    <definedName name="numero.de.operadores">'Modelo ICX cruzada'!$E$29</definedName>
    <definedName name="seconds.per.hour">3600</definedName>
    <definedName name="seconds.per.minute">60</definedName>
    <definedName name="tasa.cambio.mxn.usd">'Modelo ICX cruzada'!$E$39:$I$39</definedName>
    <definedName name="tendencia.equipamiento">'Costos asociados'!$D$39</definedName>
    <definedName name="tendencia.opex">'Costos asociados'!$D$40</definedName>
    <definedName name="thousand">1000</definedName>
    <definedName name="wacc">'Modelo ICX cruzada'!$E$32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51" l="1"/>
  <c r="F16" i="51"/>
  <c r="F15" i="51"/>
  <c r="F11" i="51"/>
  <c r="F10" i="51"/>
  <c r="F9" i="51"/>
  <c r="F8" i="51"/>
  <c r="C10" i="52" l="1"/>
  <c r="C9" i="52"/>
  <c r="F28" i="52" l="1"/>
  <c r="G9" i="52" l="1" a="1"/>
  <c r="F63" i="49" l="1"/>
  <c r="G63" i="49" s="1"/>
  <c r="H63" i="49" s="1"/>
  <c r="I63" i="49" s="1"/>
  <c r="F47" i="49"/>
  <c r="G47" i="49" s="1"/>
  <c r="H47" i="49" s="1"/>
  <c r="I47" i="49" s="1"/>
  <c r="G29" i="52" a="1"/>
  <c r="G29" i="52" s="1"/>
  <c r="C34" i="52" s="1"/>
  <c r="C18" i="52"/>
  <c r="E14" i="52" a="1"/>
  <c r="E14" i="52" s="1"/>
  <c r="C19" i="52" s="1"/>
  <c r="I13" i="52"/>
  <c r="E10" i="52"/>
  <c r="C24" i="52" a="1"/>
  <c r="G28" i="52" l="1"/>
  <c r="C33" i="52" s="1"/>
  <c r="B16" i="51"/>
  <c r="B9" i="51"/>
  <c r="F12" i="49" l="1"/>
  <c r="G12" i="49" s="1"/>
  <c r="H12" i="49" s="1"/>
  <c r="I12" i="49" s="1"/>
  <c r="F5" i="49"/>
  <c r="G5" i="49" s="1"/>
  <c r="H5" i="49" s="1"/>
  <c r="I5" i="49" s="1"/>
  <c r="M12" i="49" l="1"/>
  <c r="N12" i="49" s="1"/>
  <c r="O12" i="49" s="1"/>
  <c r="P12" i="49" s="1"/>
  <c r="M5" i="49"/>
  <c r="N5" i="49" s="1"/>
  <c r="O5" i="49" s="1"/>
  <c r="P5" i="49" s="1"/>
  <c r="F38" i="49"/>
  <c r="G38" i="49" s="1"/>
  <c r="H38" i="49" s="1"/>
  <c r="I38" i="49" s="1"/>
  <c r="E25" i="49" l="1"/>
  <c r="C12" i="52" s="1"/>
  <c r="B65" i="49" l="1" a="1"/>
  <c r="B68" i="49" s="1"/>
  <c r="B49" i="49" a="1"/>
  <c r="B49" i="49" s="1"/>
  <c r="B65" i="49" l="1"/>
  <c r="B67" i="49"/>
  <c r="B70" i="49"/>
  <c r="B66" i="49"/>
  <c r="B69" i="49"/>
  <c r="B51" i="49"/>
  <c r="B54" i="49"/>
  <c r="B50" i="49"/>
  <c r="B52" i="49"/>
  <c r="B53" i="49"/>
  <c r="E24" i="49"/>
  <c r="C11" i="52" s="1"/>
  <c r="B24" i="52" l="1" a="1"/>
  <c r="B9" i="52" a="1"/>
  <c r="F31" i="49"/>
  <c r="B24" i="52" l="1"/>
  <c r="B27" i="52"/>
  <c r="B29" i="52"/>
  <c r="B25" i="52"/>
  <c r="C70" i="49" s="1"/>
  <c r="B28" i="52"/>
  <c r="B26" i="52"/>
  <c r="B9" i="52"/>
  <c r="B14" i="52"/>
  <c r="B12" i="52"/>
  <c r="B13" i="52"/>
  <c r="B11" i="52"/>
  <c r="B10" i="52"/>
  <c r="E11" i="52"/>
  <c r="E9" i="52"/>
  <c r="B14" i="49"/>
  <c r="B7" i="49"/>
  <c r="C54" i="49" l="1"/>
  <c r="C52" i="49"/>
  <c r="E52" i="49" s="1"/>
  <c r="F52" i="49" s="1"/>
  <c r="G52" i="49" s="1"/>
  <c r="H52" i="49" s="1"/>
  <c r="I52" i="49" s="1"/>
  <c r="C50" i="49"/>
  <c r="E50" i="49" s="1"/>
  <c r="F50" i="49" s="1"/>
  <c r="G50" i="49" s="1"/>
  <c r="H50" i="49" s="1"/>
  <c r="I50" i="49" s="1"/>
  <c r="C53" i="49"/>
  <c r="E70" i="49"/>
  <c r="C75" i="49"/>
  <c r="C69" i="49"/>
  <c r="G12" i="52"/>
  <c r="C27" i="52"/>
  <c r="G9" i="52"/>
  <c r="F24" i="52" s="1"/>
  <c r="C24" i="52"/>
  <c r="G11" i="52"/>
  <c r="F26" i="52" s="1"/>
  <c r="C26" i="52"/>
  <c r="G10" i="52"/>
  <c r="C25" i="52"/>
  <c r="C49" i="49"/>
  <c r="I11" i="52"/>
  <c r="G26" i="52" s="1"/>
  <c r="C67" i="49" s="1"/>
  <c r="E67" i="49" s="1"/>
  <c r="F67" i="49" s="1"/>
  <c r="G67" i="49" s="1"/>
  <c r="H67" i="49" s="1"/>
  <c r="I67" i="49" s="1"/>
  <c r="C51" i="49"/>
  <c r="E51" i="49" s="1"/>
  <c r="F51" i="49" s="1"/>
  <c r="G51" i="49" s="1"/>
  <c r="H51" i="49" s="1"/>
  <c r="I51" i="49" s="1"/>
  <c r="E30" i="49"/>
  <c r="C74" i="49" l="1"/>
  <c r="E69" i="49"/>
  <c r="E53" i="49"/>
  <c r="C58" i="49"/>
  <c r="C56" i="49" a="1"/>
  <c r="C56" i="49" s="1"/>
  <c r="F70" i="49"/>
  <c r="E75" i="49"/>
  <c r="C59" i="49"/>
  <c r="E54" i="49"/>
  <c r="I9" i="52"/>
  <c r="G24" i="52" s="1"/>
  <c r="C65" i="49" s="1"/>
  <c r="E65" i="49" s="1"/>
  <c r="F65" i="49" s="1"/>
  <c r="G65" i="49" s="1"/>
  <c r="H65" i="49" s="1"/>
  <c r="I65" i="49" s="1"/>
  <c r="F25" i="52"/>
  <c r="I10" i="52"/>
  <c r="G25" i="52" s="1"/>
  <c r="C66" i="49" s="1"/>
  <c r="E66" i="49" s="1"/>
  <c r="F66" i="49" s="1"/>
  <c r="G66" i="49" s="1"/>
  <c r="H66" i="49" s="1"/>
  <c r="I66" i="49" s="1"/>
  <c r="F27" i="52"/>
  <c r="I12" i="52"/>
  <c r="G27" i="52" s="1"/>
  <c r="C68" i="49" s="1"/>
  <c r="E68" i="49" s="1"/>
  <c r="F68" i="49" s="1"/>
  <c r="G68" i="49" s="1"/>
  <c r="H68" i="49" s="1"/>
  <c r="I68" i="49" s="1"/>
  <c r="C16" i="52"/>
  <c r="C17" i="52" s="1"/>
  <c r="E49" i="49"/>
  <c r="E58" i="49" l="1"/>
  <c r="F53" i="49"/>
  <c r="E56" i="49" a="1"/>
  <c r="E56" i="49" s="1"/>
  <c r="F49" i="49"/>
  <c r="G70" i="49"/>
  <c r="F75" i="49"/>
  <c r="F69" i="49"/>
  <c r="E74" i="49"/>
  <c r="E59" i="49"/>
  <c r="F54" i="49"/>
  <c r="C31" i="52"/>
  <c r="C32" i="52" s="1"/>
  <c r="C72" i="49"/>
  <c r="C73" i="49" s="1"/>
  <c r="E72" i="49"/>
  <c r="C57" i="49"/>
  <c r="E57" i="49" l="1"/>
  <c r="F59" i="49"/>
  <c r="G54" i="49"/>
  <c r="F58" i="49"/>
  <c r="G53" i="49"/>
  <c r="G69" i="49"/>
  <c r="F74" i="49"/>
  <c r="H70" i="49"/>
  <c r="G75" i="49"/>
  <c r="F56" i="49" a="1"/>
  <c r="F56" i="49" s="1"/>
  <c r="F57" i="49" s="1"/>
  <c r="G49" i="49"/>
  <c r="E73" i="49"/>
  <c r="F72" i="49"/>
  <c r="H54" i="49" l="1"/>
  <c r="G59" i="49"/>
  <c r="H49" i="49"/>
  <c r="G56" i="49" a="1"/>
  <c r="G56" i="49" s="1"/>
  <c r="G57" i="49" s="1"/>
  <c r="I70" i="49"/>
  <c r="I75" i="49" s="1"/>
  <c r="H75" i="49"/>
  <c r="H53" i="49"/>
  <c r="G58" i="49"/>
  <c r="H69" i="49"/>
  <c r="G74" i="49"/>
  <c r="F73" i="49"/>
  <c r="G72" i="49"/>
  <c r="I53" i="49" l="1"/>
  <c r="I58" i="49" s="1"/>
  <c r="H58" i="49"/>
  <c r="I49" i="49"/>
  <c r="I56" i="49" s="1" a="1"/>
  <c r="I56" i="49" s="1"/>
  <c r="I57" i="49" s="1"/>
  <c r="H56" i="49" a="1"/>
  <c r="H56" i="49" s="1"/>
  <c r="H57" i="49" s="1"/>
  <c r="I54" i="49"/>
  <c r="I59" i="49" s="1"/>
  <c r="H59" i="49"/>
  <c r="I69" i="49"/>
  <c r="I74" i="49" s="1"/>
  <c r="H74" i="49"/>
  <c r="H72" i="49"/>
  <c r="I72" i="49"/>
  <c r="G73" i="49"/>
  <c r="L6" i="49" l="1" a="1"/>
  <c r="O7" i="49" s="1"/>
  <c r="I73" i="49"/>
  <c r="H73" i="49"/>
  <c r="L13" i="49" s="1" a="1"/>
  <c r="L16" i="49" l="1"/>
  <c r="M16" i="49"/>
  <c r="L15" i="49"/>
  <c r="L13" i="49"/>
  <c r="E13" i="49" s="1" a="1"/>
  <c r="M13" i="49"/>
  <c r="M15" i="49"/>
  <c r="L14" i="49"/>
  <c r="N16" i="49"/>
  <c r="P16" i="49"/>
  <c r="O16" i="49"/>
  <c r="N13" i="49"/>
  <c r="N15" i="49"/>
  <c r="M14" i="49"/>
  <c r="P13" i="49"/>
  <c r="P15" i="49"/>
  <c r="O13" i="49"/>
  <c r="O15" i="49"/>
  <c r="N14" i="49"/>
  <c r="P14" i="49"/>
  <c r="O14" i="49"/>
  <c r="L9" i="49"/>
  <c r="N8" i="49"/>
  <c r="O9" i="49"/>
  <c r="P8" i="49"/>
  <c r="N9" i="49"/>
  <c r="L8" i="49"/>
  <c r="M8" i="49"/>
  <c r="O8" i="49"/>
  <c r="M9" i="49"/>
  <c r="P9" i="49"/>
  <c r="N6" i="49"/>
  <c r="P6" i="49"/>
  <c r="O6" i="49"/>
  <c r="L6" i="49"/>
  <c r="M6" i="49"/>
  <c r="M7" i="49"/>
  <c r="L7" i="49"/>
  <c r="N7" i="49"/>
  <c r="P7" i="49"/>
  <c r="E13" i="49" l="1"/>
  <c r="H15" i="49"/>
  <c r="E15" i="49"/>
  <c r="F14" i="49"/>
  <c r="F16" i="49"/>
  <c r="G16" i="49"/>
  <c r="I15" i="49"/>
  <c r="I13" i="49"/>
  <c r="F13" i="49"/>
  <c r="G14" i="49"/>
  <c r="I16" i="49"/>
  <c r="E16" i="49"/>
  <c r="F15" i="49"/>
  <c r="G15" i="49"/>
  <c r="H16" i="49"/>
  <c r="E14" i="49"/>
  <c r="G13" i="49"/>
  <c r="H14" i="49"/>
  <c r="H13" i="49"/>
  <c r="I14" i="49"/>
  <c r="E6" i="49" a="1"/>
  <c r="H6" i="49" l="1"/>
  <c r="H7" i="49"/>
  <c r="F6" i="49"/>
  <c r="H8" i="49"/>
  <c r="F7" i="49"/>
  <c r="E7" i="49"/>
  <c r="G9" i="49"/>
  <c r="E8" i="49"/>
  <c r="G7" i="49"/>
  <c r="I9" i="49"/>
  <c r="H9" i="49"/>
  <c r="E9" i="49"/>
  <c r="I6" i="49"/>
  <c r="F9" i="49"/>
  <c r="I7" i="49"/>
  <c r="G6" i="49"/>
  <c r="I8" i="49"/>
  <c r="F8" i="49"/>
  <c r="E6" i="49"/>
  <c r="G8" i="49"/>
</calcChain>
</file>

<file path=xl/sharedStrings.xml><?xml version="1.0" encoding="utf-8"?>
<sst xmlns="http://schemas.openxmlformats.org/spreadsheetml/2006/main" count="169" uniqueCount="111">
  <si>
    <t>unlocked</t>
  </si>
  <si>
    <t>locked</t>
  </si>
  <si>
    <t>Calculation</t>
  </si>
  <si>
    <t>Output</t>
  </si>
  <si>
    <t>A key result from this part of the model (in particular one that will be used elsewhere in the model)</t>
  </si>
  <si>
    <t>Input Parameter</t>
  </si>
  <si>
    <t>Input Data</t>
  </si>
  <si>
    <t>Input Calculation</t>
  </si>
  <si>
    <t>Input Link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</si>
  <si>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</si>
  <si>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</si>
  <si>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</si>
  <si>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</si>
  <si>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 side calculation intended solely to cross check a result (and which therefore should not be referenced anywhere else in the model)</t>
  </si>
  <si>
    <t>A total (use if not part of a "Sub-total row" or a "Total row" in a table - see below)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</si>
  <si>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</si>
  <si>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</si>
  <si>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</si>
  <si>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</si>
  <si>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</si>
  <si>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</si>
  <si>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</si>
  <si>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</si>
  <si>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</si>
  <si>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Input Link (different Worksheet)</t>
  </si>
  <si>
    <t>An input to this part of the model, which is linked to a source on this worksheet within this workbook</t>
  </si>
  <si>
    <t>An input to this part of the model, which is linked to a source on another worksheet within this workbook</t>
  </si>
  <si>
    <t>Style guidelines</t>
  </si>
  <si>
    <r>
      <t xml:space="preserve">An Excel Name applying to one or more adjacent cells – use Create from Selection (on Formulas tab) </t>
    </r>
    <r>
      <rPr>
        <sz val="9"/>
        <rFont val="Arial"/>
        <family val="2"/>
      </rPr>
      <t>to actually create the Excel Names</t>
    </r>
  </si>
  <si>
    <t>An input to the model that has been calculated from other inputs (e.g. interpolated input values)</t>
  </si>
  <si>
    <t>Cable óptico</t>
  </si>
  <si>
    <t>Jumper óptico</t>
  </si>
  <si>
    <t>MXN</t>
  </si>
  <si>
    <t>Opex</t>
  </si>
  <si>
    <t>Escalerilla</t>
  </si>
  <si>
    <t>Fuente</t>
  </si>
  <si>
    <t>MXN:USD</t>
  </si>
  <si>
    <t>Opex (% capex)</t>
  </si>
  <si>
    <t>Número de operadores</t>
  </si>
  <si>
    <t>Unidades</t>
  </si>
  <si>
    <t>Costos instalación</t>
  </si>
  <si>
    <t>Totales</t>
  </si>
  <si>
    <t>Costos mantenimiento mensuales</t>
  </si>
  <si>
    <t>Número de interconexiones posibles</t>
  </si>
  <si>
    <t>numero.de.operadores</t>
  </si>
  <si>
    <t>numero.de.interconexiones</t>
  </si>
  <si>
    <t>Demarcador (switch)</t>
  </si>
  <si>
    <t>1Gbps</t>
  </si>
  <si>
    <t>10Gbps</t>
  </si>
  <si>
    <t>Multiplicador de precio</t>
  </si>
  <si>
    <t xml:space="preserve">Velocidad switch </t>
  </si>
  <si>
    <t>Equipo de transporte (Switch)</t>
  </si>
  <si>
    <t>DFO pequeño</t>
  </si>
  <si>
    <t>Capex</t>
  </si>
  <si>
    <t>Resultados del modelo</t>
  </si>
  <si>
    <t>Modelo de interconexión cruzada</t>
  </si>
  <si>
    <t>tasa.cambio.mxn.usd</t>
  </si>
  <si>
    <t>Costos comunes</t>
  </si>
  <si>
    <t>Costos construcción de escalerilla por ML</t>
  </si>
  <si>
    <t>Costos comunes por operador</t>
  </si>
  <si>
    <t>Costos despliegue fibra por ML</t>
  </si>
  <si>
    <t>Despliegue fibra por ML</t>
  </si>
  <si>
    <t>Construcción de escalerilla por ML</t>
  </si>
  <si>
    <t>Capex (MXN)</t>
  </si>
  <si>
    <t>Capex (USD)</t>
  </si>
  <si>
    <t>Installation</t>
  </si>
  <si>
    <t>Anualización</t>
  </si>
  <si>
    <t>Vida útil</t>
  </si>
  <si>
    <t>Incluir anualización</t>
  </si>
  <si>
    <t>Sí</t>
  </si>
  <si>
    <t>No</t>
  </si>
  <si>
    <t>CCPP nominal antes de impuestos</t>
  </si>
  <si>
    <t>wacc</t>
  </si>
  <si>
    <t>Costos comunes mensuales</t>
  </si>
  <si>
    <t>Parámetros del modelo</t>
  </si>
  <si>
    <t>inflaccion</t>
  </si>
  <si>
    <t>Capex total (USD)</t>
  </si>
  <si>
    <t>USD</t>
  </si>
  <si>
    <t>USD/mes</t>
  </si>
  <si>
    <t>Opex total (USD)</t>
  </si>
  <si>
    <t>Oferta de Referencia, por metro lineal</t>
  </si>
  <si>
    <t>Opex mensual (USD)</t>
  </si>
  <si>
    <t>Costos mensual fibra por ML</t>
  </si>
  <si>
    <t>Costos mensual escalerilla por ML</t>
  </si>
  <si>
    <t>Escalerilla por ML</t>
  </si>
  <si>
    <t>Fibra por ML</t>
  </si>
  <si>
    <r>
      <rPr>
        <b/>
        <i/>
        <sz val="9"/>
        <color rgb="FFC41230"/>
        <rFont val="Arial"/>
        <family val="2"/>
      </rPr>
      <t xml:space="preserve">Nota: </t>
    </r>
    <r>
      <rPr>
        <i/>
        <sz val="9"/>
        <color rgb="FFC41230"/>
        <rFont val="Arial"/>
        <family val="2"/>
      </rPr>
      <t>Precio de construcción de escalerilla por ML ya definido en la Oferta de Referencia de Desagregación</t>
    </r>
  </si>
  <si>
    <r>
      <rPr>
        <b/>
        <i/>
        <sz val="9"/>
        <color rgb="FFC41230"/>
        <rFont val="Arial"/>
        <family val="2"/>
      </rPr>
      <t xml:space="preserve">Nota: </t>
    </r>
    <r>
      <rPr>
        <i/>
        <sz val="9"/>
        <color rgb="FFC41230"/>
        <rFont val="Arial"/>
        <family val="2"/>
      </rPr>
      <t>Precio mensual de mantenimiento de escalerilla por ML ya definido en la Oferta de Referencia de Desagregación</t>
    </r>
  </si>
  <si>
    <t>Opex mensual (MXN)</t>
  </si>
  <si>
    <t>Inflación</t>
  </si>
  <si>
    <t>Fibra y escalerilla por ML</t>
  </si>
  <si>
    <t>Resultados</t>
  </si>
  <si>
    <t>Precios de los enlaces de transmisión de interconexión gestionados entre coubicaciones</t>
  </si>
  <si>
    <t>Costos</t>
  </si>
  <si>
    <t>Capex unitario (2016)</t>
  </si>
  <si>
    <t>Opex mensual (2016)</t>
  </si>
  <si>
    <t>Tendencia de costes</t>
  </si>
  <si>
    <t>Tendencia de costo de equipamiento</t>
  </si>
  <si>
    <t>Tendencia de costo de opex</t>
  </si>
  <si>
    <t>tendencia.equipamiento</t>
  </si>
  <si>
    <t>tendencia.opex</t>
  </si>
  <si>
    <t>Escenario</t>
  </si>
  <si>
    <t>Interconexión cruzada</t>
  </si>
  <si>
    <t>5.59% real antes de impuestos</t>
  </si>
  <si>
    <r>
      <rPr>
        <b/>
        <i/>
        <sz val="9"/>
        <color rgb="FFC41230"/>
        <rFont val="Arial"/>
        <family val="2"/>
      </rPr>
      <t xml:space="preserve">Fuente: </t>
    </r>
    <r>
      <rPr>
        <i/>
        <sz val="9"/>
        <color rgb="FFC41230"/>
        <rFont val="Arial"/>
        <family val="2"/>
      </rPr>
      <t>Encuesta sobre las expectativas de los especialistas en economía del sector privado, septiembre 2019, Banco de México</t>
    </r>
  </si>
  <si>
    <t>Estimación con información del IFT, Fibre NG SDH switch de 16 puertos</t>
  </si>
  <si>
    <t>Estimación con información del IFT, distribuidor óptico de 6 pares de fibra o 12 conectores simplex, estimado a USD70 por par de fibra</t>
  </si>
  <si>
    <t>Estimación con información del IFT, Fibre NG SDH switch de 6 puertos</t>
  </si>
  <si>
    <t>Estimación con información del IFT, jumper óptico multimodo duplex 2mm con conectores, de 10m de longitud</t>
  </si>
  <si>
    <t>Estimación con información del IFT, cable de 12 fibras</t>
  </si>
  <si>
    <t>Estimación con información del 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</si>
</sst>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#,##0_);[Red]\-#,##0_);0_);@_)"/>
    <numFmt numFmtId="165" formatCode="#,##0.00_);[Red]\-#,##0.00_);0.00_);@_)"/>
    <numFmt numFmtId="166" formatCode="dd\ mmm\ yy_)"/>
    <numFmt numFmtId="167" formatCode="* _(#,##0_);[Red]* \(#,##0\);* _(&quot;-&quot;?_);@_)"/>
    <numFmt numFmtId="168" formatCode="* _(#,##0.00_);[Red]* \(#,##0.00\);* _(&quot;-&quot;?_);@_)"/>
    <numFmt numFmtId="169" formatCode="\€\ * _(#,##0_);[Red]\€\ * \(#,##0\);\€\ * _(&quot;-&quot;?_);@_)"/>
    <numFmt numFmtId="170" formatCode="\€\ * _(#,##0.00_);[Red]\€\ * \(#,##0.00\);\€\ * _(&quot;-&quot;?_);@_)"/>
    <numFmt numFmtId="171" formatCode="[$EUR]\ * _(#,##0_);[Red][$EUR]\ * \(#,##0\);[$EUR]\ * _(&quot;-&quot;?_);@_)"/>
    <numFmt numFmtId="172" formatCode="[$EUR]\ * _(#,##0.00_);[Red][$EUR]\ * \(#,##0.00\);[$EUR]\ * _(&quot;-&quot;?_);@_)"/>
    <numFmt numFmtId="173" formatCode="\$\ * _(#,##0_);[Red]\$\ * \(#,##0\);\$\ * _(&quot;-&quot;?_);@_)"/>
    <numFmt numFmtId="174" formatCode="\$\ * _(#,##0.00_);[Red]\$\ * \(#,##0.00\);\$\ * _(&quot;-&quot;?_);@_)"/>
    <numFmt numFmtId="175" formatCode="[$USD]\ * _(#,##0_);[Red][$USD]\ * \(#,##0\);[$USD]\ * _(&quot;-&quot;?_);@_)"/>
    <numFmt numFmtId="176" formatCode="[$USD]\ * _(#,##0.00_);[Red][$USD]\ * \(#,##0.00\);[$USD]\ * _(&quot;-&quot;?_);@_)"/>
    <numFmt numFmtId="177" formatCode="\£\ * _(#,##0_);[Red]\£\ * \(#,##0\);\£\ * _(&quot;-&quot;?_);@_)"/>
    <numFmt numFmtId="178" formatCode="\£\ * _(#,##0.00_);[Red]\£\ * \(#,##0.00\);\£\ * _(&quot;-&quot;?_);@_)"/>
    <numFmt numFmtId="179" formatCode="[$GBP]\ * _(#,##0_);[Red][$GBP]\ * \(#,##0\);[$GBP]\ * _(&quot;-&quot;?_);@_)"/>
    <numFmt numFmtId="180" formatCode="[$GBP]\ * _(#,##0.00_);[Red][$GBP]\ * \(#,##0.00\);[$GBP]\ * _(&quot;-&quot;?_);@_)"/>
    <numFmt numFmtId="181" formatCode="mmm\ yy_)"/>
    <numFmt numFmtId="182" formatCode="yyyy_)"/>
    <numFmt numFmtId="183" formatCode="#,##0_);[Red]\-#,##0_);&quot;-&quot;?_);@_)"/>
    <numFmt numFmtId="184" formatCode="#,##0.00_);[Red]\-#,##0.00_);&quot;-&quot;?_);@_)"/>
    <numFmt numFmtId="185" formatCode="#,##0%;[Red]\-#,##0%;&quot;-&quot;\%;@_)"/>
    <numFmt numFmtId="186" formatCode="#,##0.00%;[Red]\-#,##0.00%;&quot;-&quot;\%;@_)"/>
    <numFmt numFmtId="187" formatCode="#,##0.0_);[Red]\-#,##0.0_);&quot;-&quot;?_);@_)"/>
    <numFmt numFmtId="188" formatCode="#,##0.0%;[Red]\-#,##0.0%;&quot;-&quot;\%;@_)"/>
  </numFmts>
  <fonts count="18" x14ac:knownFonts="1">
    <font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name val="Arial"/>
      <family val="2"/>
    </font>
    <font>
      <i/>
      <sz val="9"/>
      <color rgb="FFC4123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C41230"/>
      <name val="Arial"/>
      <family val="2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i/>
      <sz val="9"/>
      <color rgb="FFC41230"/>
      <name val="Arial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D0FFD0"/>
        <bgColor indexed="64"/>
      </patternFill>
    </fill>
    <fill>
      <patternFill patternType="solid">
        <fgColor rgb="FFB4FF3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0A0"/>
        <bgColor indexed="64"/>
      </patternFill>
    </fill>
    <fill>
      <patternFill patternType="solid">
        <fgColor rgb="FF221F72"/>
        <bgColor indexed="64"/>
      </patternFill>
    </fill>
    <fill>
      <patternFill patternType="solid">
        <fgColor rgb="FFC4D0E9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AB3"/>
        <bgColor indexed="64"/>
      </patternFill>
    </fill>
  </fills>
  <borders count="11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/>
      <right/>
      <top style="medium">
        <color rgb="FFC4D0E9"/>
      </top>
      <bottom style="medium">
        <color rgb="FFC4D0E9"/>
      </bottom>
      <diagonal/>
    </border>
    <border>
      <left/>
      <right/>
      <top style="medium">
        <color rgb="FFC4D0E9"/>
      </top>
      <bottom/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61">
    <xf numFmtId="0" fontId="0" fillId="0" borderId="0">
      <alignment vertical="center"/>
    </xf>
    <xf numFmtId="0" fontId="2" fillId="0" borderId="0" applyNumberFormat="0" applyAlignment="0">
      <alignment vertical="center"/>
    </xf>
    <xf numFmtId="165" fontId="8" fillId="0" borderId="0" applyNumberFormat="0" applyAlignment="0">
      <alignment vertical="center"/>
    </xf>
    <xf numFmtId="0" fontId="11" fillId="10" borderId="0" applyNumberFormat="0">
      <alignment horizontal="center" vertical="top" wrapText="1"/>
    </xf>
    <xf numFmtId="0" fontId="11" fillId="8" borderId="0" applyNumberFormat="0">
      <alignment horizontal="left" vertical="top" wrapText="1"/>
    </xf>
    <xf numFmtId="0" fontId="11" fillId="8" borderId="0" applyNumberFormat="0">
      <alignment horizontal="centerContinuous" vertical="top"/>
    </xf>
    <xf numFmtId="0" fontId="12" fillId="8" borderId="0" applyNumberFormat="0">
      <alignment horizontal="center" vertical="top" wrapText="1"/>
    </xf>
    <xf numFmtId="167" fontId="2" fillId="0" borderId="0" applyFont="0" applyFill="0" applyBorder="0" applyAlignment="0" applyProtection="0">
      <alignment vertical="center"/>
    </xf>
    <xf numFmtId="168" fontId="2" fillId="0" borderId="0" applyFont="0" applyFill="0" applyBorder="0" applyAlignment="0" applyProtection="0">
      <alignment vertical="center"/>
    </xf>
    <xf numFmtId="173" fontId="2" fillId="0" borderId="0" applyFont="0" applyFill="0" applyBorder="0" applyAlignment="0" applyProtection="0">
      <alignment vertical="center"/>
    </xf>
    <xf numFmtId="174" fontId="2" fillId="0" borderId="0" applyFont="0" applyFill="0" applyBorder="0" applyAlignment="0" applyProtection="0">
      <alignment vertical="center"/>
    </xf>
    <xf numFmtId="171" fontId="2" fillId="0" borderId="0" applyFont="0" applyFill="0" applyBorder="0" applyAlignment="0" applyProtection="0">
      <alignment vertical="center"/>
    </xf>
    <xf numFmtId="172" fontId="2" fillId="0" borderId="0" applyFont="0" applyFill="0" applyBorder="0" applyAlignment="0" applyProtection="0">
      <alignment vertical="center"/>
    </xf>
    <xf numFmtId="169" fontId="2" fillId="0" borderId="0" applyFont="0" applyFill="0" applyBorder="0" applyAlignment="0" applyProtection="0">
      <alignment vertical="center"/>
    </xf>
    <xf numFmtId="170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5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horizontal="left" vertical="center"/>
    </xf>
    <xf numFmtId="0" fontId="5" fillId="0" borderId="0" applyNumberFormat="0" applyFill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0" borderId="5" applyNumberFormat="0" applyAlignment="0">
      <alignment vertical="center"/>
    </xf>
    <xf numFmtId="0" fontId="2" fillId="0" borderId="2" applyNumberFormat="0" applyAlignment="0">
      <alignment vertical="center"/>
      <protection locked="0"/>
    </xf>
    <xf numFmtId="164" fontId="2" fillId="3" borderId="2" applyNumberFormat="0" applyAlignment="0">
      <alignment vertical="center"/>
      <protection locked="0"/>
    </xf>
    <xf numFmtId="0" fontId="2" fillId="4" borderId="0" applyNumberFormat="0" applyAlignment="0">
      <alignment vertical="center"/>
    </xf>
    <xf numFmtId="0" fontId="2" fillId="6" borderId="0" applyNumberFormat="0" applyAlignment="0">
      <alignment vertical="center"/>
    </xf>
    <xf numFmtId="0" fontId="2" fillId="5" borderId="0" applyNumberFormat="0" applyAlignment="0">
      <alignment vertical="center"/>
    </xf>
    <xf numFmtId="0" fontId="2" fillId="0" borderId="1" applyNumberFormat="0" applyAlignment="0">
      <alignment vertical="center"/>
      <protection locked="0"/>
    </xf>
    <xf numFmtId="0" fontId="10" fillId="0" borderId="0" applyNumberFormat="0" applyAlignment="0">
      <alignment vertical="center"/>
    </xf>
    <xf numFmtId="0" fontId="7" fillId="0" borderId="0" applyNumberForma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185" fontId="2" fillId="0" borderId="0" applyFont="0" applyFill="0" applyBorder="0" applyAlignment="0" applyProtection="0">
      <alignment horizontal="right" vertical="center"/>
    </xf>
    <xf numFmtId="186" fontId="2" fillId="0" borderId="0" applyFont="0" applyFill="0" applyBorder="0" applyAlignment="0" applyProtection="0">
      <alignment vertical="center"/>
    </xf>
    <xf numFmtId="0" fontId="5" fillId="0" borderId="0" applyNumberFormat="0" applyFill="0" applyBorder="0">
      <alignment horizontal="left" vertical="center" wrapText="1"/>
    </xf>
    <xf numFmtId="0" fontId="2" fillId="0" borderId="0" applyNumberFormat="0" applyFill="0" applyBorder="0">
      <alignment horizontal="left" vertical="center" wrapText="1" indent="1"/>
    </xf>
    <xf numFmtId="164" fontId="5" fillId="0" borderId="3" applyNumberFormat="0" applyFill="0" applyAlignment="0" applyProtection="0">
      <alignment vertical="center"/>
    </xf>
    <xf numFmtId="164" fontId="2" fillId="0" borderId="4" applyNumberFormat="0" applyFont="0" applyFill="0" applyAlignment="0" applyProtection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0" borderId="0" applyNumberFormat="0" applyFont="0" applyFill="0" applyAlignment="0" applyProtection="0">
      <alignment vertical="center"/>
    </xf>
    <xf numFmtId="164" fontId="2" fillId="0" borderId="0" applyNumberFormat="0" applyFont="0" applyBorder="0" applyAlignment="0" applyProtection="0">
      <alignment vertical="center"/>
    </xf>
    <xf numFmtId="49" fontId="2" fillId="0" borderId="0" applyFont="0" applyFill="0" applyBorder="0" applyAlignment="0" applyProtection="0">
      <alignment horizontal="center" vertical="center"/>
    </xf>
    <xf numFmtId="164" fontId="5" fillId="0" borderId="0" applyNumberFormat="0" applyFill="0" applyBorder="0" applyAlignment="0" applyProtection="0">
      <alignment vertical="center"/>
    </xf>
    <xf numFmtId="164" fontId="5" fillId="9" borderId="0" applyNumberFormat="0" applyAlignment="0" applyProtection="0">
      <alignment vertical="center"/>
    </xf>
    <xf numFmtId="0" fontId="2" fillId="0" borderId="0" applyNumberFormat="0" applyFont="0" applyBorder="0" applyAlignment="0" applyProtection="0">
      <alignment vertical="center"/>
    </xf>
    <xf numFmtId="0" fontId="2" fillId="0" borderId="0" applyNumberFormat="0" applyFont="0" applyAlignment="0" applyProtection="0">
      <alignment vertical="center"/>
    </xf>
    <xf numFmtId="0" fontId="2" fillId="0" borderId="0">
      <alignment vertical="center"/>
    </xf>
    <xf numFmtId="0" fontId="6" fillId="0" borderId="0" applyFill="0" applyBorder="0" applyAlignment="0" applyProtection="0">
      <alignment vertical="center"/>
    </xf>
    <xf numFmtId="0" fontId="3" fillId="0" borderId="0" applyFill="0" applyBorder="0" applyAlignment="0" applyProtection="0">
      <alignment vertical="center"/>
    </xf>
    <xf numFmtId="0" fontId="6" fillId="12" borderId="0" applyNumberFormat="0">
      <alignment vertical="center"/>
    </xf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2" fillId="0" borderId="10" applyNumberFormat="0" applyAlignment="0">
      <alignment vertical="center"/>
      <protection locked="0"/>
    </xf>
  </cellStyleXfs>
  <cellXfs count="93">
    <xf numFmtId="0" fontId="0" fillId="0" borderId="0" xfId="0">
      <alignment vertical="center"/>
    </xf>
    <xf numFmtId="0" fontId="11" fillId="10" borderId="0" xfId="3">
      <alignment horizontal="center" vertical="top" wrapText="1"/>
    </xf>
    <xf numFmtId="183" fontId="0" fillId="0" borderId="0" xfId="37" applyFont="1">
      <alignment vertical="center"/>
    </xf>
    <xf numFmtId="0" fontId="5" fillId="0" borderId="0" xfId="42">
      <alignment horizontal="left" vertical="center" wrapText="1"/>
    </xf>
    <xf numFmtId="0" fontId="4" fillId="0" borderId="0" xfId="24">
      <alignment vertical="center"/>
    </xf>
    <xf numFmtId="164" fontId="2" fillId="0" borderId="1" xfId="34" applyNumberFormat="1">
      <alignment vertical="center"/>
      <protection locked="0"/>
    </xf>
    <xf numFmtId="164" fontId="2" fillId="0" borderId="5" xfId="28" applyNumberFormat="1">
      <alignment vertical="center"/>
    </xf>
    <xf numFmtId="164" fontId="2" fillId="0" borderId="2" xfId="29" applyNumberFormat="1">
      <alignment vertical="center"/>
      <protection locked="0"/>
    </xf>
    <xf numFmtId="164" fontId="2" fillId="4" borderId="0" xfId="31" applyNumberFormat="1">
      <alignment vertical="center"/>
    </xf>
    <xf numFmtId="164" fontId="2" fillId="0" borderId="0" xfId="1" applyNumberFormat="1">
      <alignment vertical="center"/>
    </xf>
    <xf numFmtId="164" fontId="2" fillId="7" borderId="0" xfId="39" applyNumberFormat="1">
      <alignment vertical="center"/>
    </xf>
    <xf numFmtId="0" fontId="7" fillId="0" borderId="0" xfId="36">
      <alignment vertical="center"/>
    </xf>
    <xf numFmtId="164" fontId="10" fillId="0" borderId="0" xfId="35" applyNumberFormat="1">
      <alignment vertical="center"/>
    </xf>
    <xf numFmtId="0" fontId="0" fillId="0" borderId="0" xfId="0">
      <alignment vertical="center"/>
    </xf>
    <xf numFmtId="0" fontId="10" fillId="0" borderId="0" xfId="35">
      <alignment vertical="center"/>
    </xf>
    <xf numFmtId="0" fontId="0" fillId="0" borderId="0" xfId="52" applyFont="1">
      <alignment vertical="center"/>
    </xf>
    <xf numFmtId="164" fontId="2" fillId="3" borderId="2" xfId="30">
      <alignment vertical="center"/>
      <protection locked="0"/>
    </xf>
    <xf numFmtId="0" fontId="5" fillId="0" borderId="0" xfId="42" applyAlignment="1">
      <alignment horizontal="left" vertical="center" wrapText="1"/>
    </xf>
    <xf numFmtId="0" fontId="0" fillId="0" borderId="0" xfId="0" applyBorder="1">
      <alignment vertical="center"/>
    </xf>
    <xf numFmtId="165" fontId="8" fillId="0" borderId="0" xfId="2">
      <alignment vertical="center"/>
    </xf>
    <xf numFmtId="0" fontId="11" fillId="8" borderId="0" xfId="4">
      <alignment horizontal="left" vertical="top" wrapText="1"/>
    </xf>
    <xf numFmtId="164" fontId="2" fillId="6" borderId="0" xfId="32" applyNumberFormat="1">
      <alignment vertical="center"/>
    </xf>
    <xf numFmtId="164" fontId="5" fillId="0" borderId="0" xfId="5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5" borderId="0" xfId="33">
      <alignment vertical="center"/>
    </xf>
    <xf numFmtId="0" fontId="6" fillId="0" borderId="0" xfId="55" applyFill="1" applyBorder="1">
      <alignment vertical="center"/>
    </xf>
    <xf numFmtId="0" fontId="6" fillId="0" borderId="0" xfId="55" applyFill="1">
      <alignment vertical="center"/>
    </xf>
    <xf numFmtId="183" fontId="2" fillId="0" borderId="2" xfId="29" applyNumberFormat="1">
      <alignment vertical="center"/>
      <protection locked="0"/>
    </xf>
    <xf numFmtId="185" fontId="2" fillId="3" borderId="2" xfId="40" applyFill="1" applyBorder="1" applyAlignment="1" applyProtection="1">
      <alignment vertical="center"/>
      <protection locked="0"/>
    </xf>
    <xf numFmtId="183" fontId="2" fillId="0" borderId="5" xfId="28" applyNumberFormat="1">
      <alignment vertical="center"/>
    </xf>
    <xf numFmtId="0" fontId="0" fillId="0" borderId="0" xfId="0" applyFill="1" applyBorder="1">
      <alignment vertical="center"/>
    </xf>
    <xf numFmtId="184" fontId="2" fillId="0" borderId="2" xfId="38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13" fillId="0" borderId="0" xfId="35" applyFont="1">
      <alignment vertical="center"/>
    </xf>
    <xf numFmtId="0" fontId="5" fillId="0" borderId="0" xfId="42" applyFill="1" applyBorder="1">
      <alignment horizontal="left" vertical="center" wrapText="1"/>
    </xf>
    <xf numFmtId="0" fontId="0" fillId="0" borderId="6" xfId="0" applyBorder="1">
      <alignment vertical="center"/>
    </xf>
    <xf numFmtId="0" fontId="8" fillId="0" borderId="0" xfId="2" applyNumberFormat="1">
      <alignment vertical="center"/>
    </xf>
    <xf numFmtId="183" fontId="2" fillId="0" borderId="1" xfId="34" applyNumberFormat="1">
      <alignment vertical="center"/>
      <protection locked="0"/>
    </xf>
    <xf numFmtId="0" fontId="2" fillId="0" borderId="1" xfId="34">
      <alignment vertical="center"/>
      <protection locked="0"/>
    </xf>
    <xf numFmtId="183" fontId="2" fillId="0" borderId="1" xfId="37" applyBorder="1" applyProtection="1">
      <alignment vertical="center"/>
      <protection locked="0"/>
    </xf>
    <xf numFmtId="183" fontId="2" fillId="4" borderId="0" xfId="31" applyNumberFormat="1">
      <alignment vertical="center"/>
    </xf>
    <xf numFmtId="0" fontId="9" fillId="0" borderId="0" xfId="0" applyFont="1">
      <alignment vertical="center"/>
    </xf>
    <xf numFmtId="183" fontId="2" fillId="0" borderId="5" xfId="37" applyBorder="1">
      <alignment vertical="center"/>
    </xf>
    <xf numFmtId="187" fontId="2" fillId="0" borderId="1" xfId="38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14" fillId="0" borderId="7" xfId="58" applyAlignment="1">
      <alignment vertical="center"/>
    </xf>
    <xf numFmtId="183" fontId="14" fillId="0" borderId="7" xfId="58" applyNumberFormat="1" applyAlignment="1" applyProtection="1">
      <alignment vertical="center"/>
      <protection locked="0"/>
    </xf>
    <xf numFmtId="0" fontId="14" fillId="0" borderId="7" xfId="58" applyNumberFormat="1" applyAlignment="1">
      <alignment vertical="center"/>
    </xf>
    <xf numFmtId="0" fontId="15" fillId="0" borderId="8" xfId="59" applyAlignment="1">
      <alignment vertical="center"/>
    </xf>
    <xf numFmtId="184" fontId="2" fillId="4" borderId="0" xfId="31" applyNumberFormat="1">
      <alignment vertical="center"/>
    </xf>
    <xf numFmtId="184" fontId="2" fillId="0" borderId="5" xfId="38" applyBorder="1">
      <alignment vertical="center"/>
    </xf>
    <xf numFmtId="184" fontId="2" fillId="7" borderId="0" xfId="38" applyFill="1">
      <alignment vertical="center"/>
    </xf>
    <xf numFmtId="184" fontId="2" fillId="13" borderId="5" xfId="38" applyFill="1" applyBorder="1">
      <alignment vertical="center"/>
    </xf>
    <xf numFmtId="183" fontId="2" fillId="3" borderId="2" xfId="37" applyFill="1" applyBorder="1" applyProtection="1">
      <alignment vertical="center"/>
      <protection locked="0"/>
    </xf>
    <xf numFmtId="184" fontId="0" fillId="0" borderId="0" xfId="38" applyFont="1" applyAlignment="1"/>
    <xf numFmtId="184" fontId="0" fillId="13" borderId="0" xfId="38" applyFont="1" applyFill="1" applyAlignment="1"/>
    <xf numFmtId="184" fontId="0" fillId="0" borderId="0" xfId="38" applyFont="1">
      <alignment vertical="center"/>
    </xf>
    <xf numFmtId="9" fontId="0" fillId="0" borderId="0" xfId="0" applyNumberFormat="1">
      <alignment vertical="center"/>
    </xf>
    <xf numFmtId="184" fontId="0" fillId="13" borderId="0" xfId="38" applyFont="1" applyFill="1">
      <alignment vertical="center"/>
    </xf>
    <xf numFmtId="187" fontId="2" fillId="0" borderId="2" xfId="38" applyNumberFormat="1" applyBorder="1" applyProtection="1">
      <alignment vertical="center"/>
      <protection locked="0"/>
    </xf>
    <xf numFmtId="0" fontId="16" fillId="0" borderId="0" xfId="35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0" xfId="35" applyFont="1" applyAlignment="1">
      <alignment horizontal="center" vertical="center"/>
    </xf>
    <xf numFmtId="165" fontId="2" fillId="0" borderId="9" xfId="38" applyNumberFormat="1" applyBorder="1" applyProtection="1">
      <alignment vertical="center"/>
      <protection locked="0"/>
    </xf>
    <xf numFmtId="10" fontId="2" fillId="0" borderId="2" xfId="29" applyNumberFormat="1">
      <alignment vertical="center"/>
      <protection locked="0"/>
    </xf>
    <xf numFmtId="0" fontId="6" fillId="0" borderId="0" xfId="57" applyFill="1" applyBorder="1">
      <alignment vertical="center"/>
    </xf>
    <xf numFmtId="0" fontId="6" fillId="0" borderId="0" xfId="57" applyFont="1" applyFill="1">
      <alignment vertical="center"/>
    </xf>
    <xf numFmtId="0" fontId="11" fillId="8" borderId="0" xfId="4" applyAlignment="1">
      <alignment horizontal="center" vertical="top" wrapText="1"/>
    </xf>
    <xf numFmtId="184" fontId="2" fillId="5" borderId="0" xfId="38" applyFill="1">
      <alignment vertical="center"/>
    </xf>
    <xf numFmtId="0" fontId="5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/>
    </xf>
    <xf numFmtId="187" fontId="2" fillId="5" borderId="0" xfId="33" applyNumberFormat="1">
      <alignment vertical="center"/>
    </xf>
    <xf numFmtId="187" fontId="2" fillId="4" borderId="0" xfId="31" applyNumberFormat="1">
      <alignment vertical="center"/>
    </xf>
    <xf numFmtId="187" fontId="2" fillId="5" borderId="0" xfId="37" applyNumberFormat="1" applyFill="1">
      <alignment vertical="center"/>
    </xf>
    <xf numFmtId="187" fontId="0" fillId="0" borderId="0" xfId="0" applyNumberFormat="1">
      <alignment vertical="center"/>
    </xf>
    <xf numFmtId="187" fontId="2" fillId="4" borderId="0" xfId="37" applyNumberFormat="1" applyFill="1">
      <alignment vertical="center"/>
    </xf>
    <xf numFmtId="187" fontId="0" fillId="0" borderId="0" xfId="0" applyNumberFormat="1" applyFill="1" applyBorder="1">
      <alignment vertical="center"/>
    </xf>
    <xf numFmtId="187" fontId="5" fillId="0" borderId="0" xfId="0" applyNumberFormat="1" applyFont="1" applyFill="1" applyBorder="1">
      <alignment vertical="center"/>
    </xf>
    <xf numFmtId="187" fontId="2" fillId="0" borderId="5" xfId="38" applyNumberFormat="1" applyBorder="1">
      <alignment vertical="center"/>
    </xf>
    <xf numFmtId="187" fontId="2" fillId="0" borderId="5" xfId="28" applyNumberFormat="1">
      <alignment vertical="center"/>
    </xf>
    <xf numFmtId="187" fontId="0" fillId="0" borderId="0" xfId="37" applyNumberFormat="1" applyFont="1">
      <alignment vertical="center"/>
    </xf>
    <xf numFmtId="187" fontId="2" fillId="4" borderId="0" xfId="31" applyNumberFormat="1" applyFont="1">
      <alignment vertical="center"/>
    </xf>
    <xf numFmtId="187" fontId="0" fillId="0" borderId="0" xfId="0" applyNumberFormat="1" applyFont="1" applyFill="1" applyBorder="1">
      <alignment vertical="center"/>
    </xf>
    <xf numFmtId="188" fontId="2" fillId="0" borderId="1" xfId="34" applyNumberFormat="1" applyAlignment="1">
      <alignment vertical="center"/>
      <protection locked="0"/>
    </xf>
    <xf numFmtId="183" fontId="2" fillId="5" borderId="0" xfId="33" applyNumberFormat="1">
      <alignment vertical="center"/>
    </xf>
    <xf numFmtId="186" fontId="2" fillId="0" borderId="2" xfId="41" applyFill="1" applyBorder="1" applyProtection="1">
      <alignment vertical="center"/>
      <protection locked="0"/>
    </xf>
    <xf numFmtId="0" fontId="10" fillId="0" borderId="0" xfId="35" applyFill="1">
      <alignment vertical="center"/>
    </xf>
    <xf numFmtId="165" fontId="2" fillId="0" borderId="10" xfId="60" applyNumberFormat="1" applyFill="1">
      <alignment vertical="center"/>
      <protection locked="0"/>
    </xf>
    <xf numFmtId="10" fontId="2" fillId="0" borderId="10" xfId="60" applyNumberFormat="1" applyFill="1">
      <alignment vertical="center"/>
      <protection locked="0"/>
    </xf>
  </cellXfs>
  <cellStyles count="61">
    <cellStyle name="Cálculo" xfId="1" builtinId="22" customBuiltin="1"/>
    <cellStyle name="Checksum" xfId="2"/>
    <cellStyle name="Column label" xfId="3"/>
    <cellStyle name="Column label (left aligned)" xfId="4"/>
    <cellStyle name="Column label (no wrap)" xfId="5"/>
    <cellStyle name="Column label (not bold)" xfId="6"/>
    <cellStyle name="Currency (0dp)" xfId="7"/>
    <cellStyle name="Currency (2dp)" xfId="8"/>
    <cellStyle name="Currency Dollar" xfId="9"/>
    <cellStyle name="Currency Dollar (2dp)" xfId="10"/>
    <cellStyle name="Currency EUR" xfId="11"/>
    <cellStyle name="Currency EUR (2dp)" xfId="12"/>
    <cellStyle name="Currency Euro" xfId="13"/>
    <cellStyle name="Currency Euro (2dp)" xfId="14"/>
    <cellStyle name="Currency GBP" xfId="15"/>
    <cellStyle name="Currency GBP (2dp)" xfId="16"/>
    <cellStyle name="Currency Pound" xfId="17"/>
    <cellStyle name="Currency Pound (2dp)" xfId="18"/>
    <cellStyle name="Currency USD" xfId="19"/>
    <cellStyle name="Currency USD (2dp)" xfId="20"/>
    <cellStyle name="Date" xfId="21"/>
    <cellStyle name="Date (Month)" xfId="22"/>
    <cellStyle name="Date (Year)" xfId="23"/>
    <cellStyle name="H0" xfId="55"/>
    <cellStyle name="H0 2" xfId="57"/>
    <cellStyle name="H1" xfId="56"/>
    <cellStyle name="H2" xfId="24"/>
    <cellStyle name="H3" xfId="25"/>
    <cellStyle name="H4" xfId="26"/>
    <cellStyle name="Highlight" xfId="27"/>
    <cellStyle name="Input calculation" xfId="28"/>
    <cellStyle name="Input data" xfId="29"/>
    <cellStyle name="Input estimate" xfId="30"/>
    <cellStyle name="Input link" xfId="31"/>
    <cellStyle name="Input link (different workbook)" xfId="32"/>
    <cellStyle name="Input Link (different Worksheet)" xfId="33"/>
    <cellStyle name="Input parameter" xfId="34"/>
    <cellStyle name="Input parameter 2" xfId="60"/>
    <cellStyle name="Name" xfId="35"/>
    <cellStyle name="Normal" xfId="0" builtinId="0"/>
    <cellStyle name="Normal 2" xfId="54"/>
    <cellStyle name="Notas" xfId="36" builtinId="10" customBuiltin="1"/>
    <cellStyle name="Number" xfId="37"/>
    <cellStyle name="Number (2dp)" xfId="38"/>
    <cellStyle name="Percentage" xfId="40"/>
    <cellStyle name="Percentage (2dp)" xfId="41"/>
    <cellStyle name="Row label" xfId="42"/>
    <cellStyle name="Row label (indent)" xfId="43"/>
    <cellStyle name="Salida" xfId="39" builtinId="21" customBuiltin="1"/>
    <cellStyle name="Sub-total row" xfId="44"/>
    <cellStyle name="Table finish row" xfId="45"/>
    <cellStyle name="Table shading" xfId="46"/>
    <cellStyle name="Table unfinish row" xfId="47"/>
    <cellStyle name="Table unshading" xfId="48"/>
    <cellStyle name="Text" xfId="49"/>
    <cellStyle name="Título 2" xfId="58" builtinId="17"/>
    <cellStyle name="Título 3" xfId="59" builtinId="18"/>
    <cellStyle name="Total" xfId="50" builtinId="25" customBuiltin="1"/>
    <cellStyle name="Total row" xfId="51"/>
    <cellStyle name="Unhighlight" xfId="52"/>
    <cellStyle name="Untotal row" xfId="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FAB3"/>
      <color rgb="FFC41230"/>
      <color rgb="FF000000"/>
      <color rgb="FF221F72"/>
      <color rgb="FFC4D0E9"/>
      <color rgb="FFFFFFFF"/>
      <color rgb="FFFFE0A0"/>
      <color rgb="FFFFFF00"/>
      <color rgb="FF00FF00"/>
      <color rgb="FFB4FF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AnalysysMasonXL">
  <a:themeElements>
    <a:clrScheme name="AnalysysMasonXL">
      <a:dk1>
        <a:srgbClr val="003352"/>
      </a:dk1>
      <a:lt1>
        <a:srgbClr val="FFFFFF"/>
      </a:lt1>
      <a:dk2>
        <a:srgbClr val="003352"/>
      </a:dk2>
      <a:lt2>
        <a:srgbClr val="61586C"/>
      </a:lt2>
      <a:accent1>
        <a:srgbClr val="221F72"/>
      </a:accent1>
      <a:accent2>
        <a:srgbClr val="6762D4"/>
      </a:accent2>
      <a:accent3>
        <a:srgbClr val="A5A2E6"/>
      </a:accent3>
      <a:accent4>
        <a:srgbClr val="5A2149"/>
      </a:accent4>
      <a:accent5>
        <a:srgbClr val="9F3B80"/>
      </a:accent5>
      <a:accent6>
        <a:srgbClr val="D284BA"/>
      </a:accent6>
      <a:hlink>
        <a:srgbClr val="013352"/>
      </a:hlink>
      <a:folHlink>
        <a:srgbClr val="00335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>
    <outlinePr summaryBelow="0"/>
    <pageSetUpPr autoPageBreaks="0" fitToPage="1"/>
  </sheetPr>
  <dimension ref="A1:K29"/>
  <sheetViews>
    <sheetView showGridLines="0" defaultGridColor="0" colorId="22" zoomScale="110" zoomScaleNormal="110" workbookViewId="0">
      <pane ySplit="1" topLeftCell="A2" activePane="bottomLeft" state="frozen"/>
      <selection pane="bottomLeft"/>
    </sheetView>
  </sheetViews>
  <sheetFormatPr baseColWidth="10" defaultColWidth="12.7109375" defaultRowHeight="12" x14ac:dyDescent="0.2"/>
  <cols>
    <col min="1" max="1" width="2.7109375" customWidth="1"/>
    <col min="2" max="2" width="26.5703125" customWidth="1"/>
  </cols>
  <sheetData>
    <row r="1" spans="1:5" s="23" customFormat="1" ht="33.75" customHeight="1" x14ac:dyDescent="0.2">
      <c r="C1" s="26" t="s">
        <v>27</v>
      </c>
    </row>
    <row r="2" spans="1:5" s="18" customFormat="1" ht="12" customHeight="1" x14ac:dyDescent="0.2"/>
    <row r="3" spans="1:5" ht="18" x14ac:dyDescent="0.2">
      <c r="A3" s="4" t="s">
        <v>17</v>
      </c>
    </row>
    <row r="5" spans="1:5" x14ac:dyDescent="0.2">
      <c r="B5" s="17" t="s">
        <v>5</v>
      </c>
      <c r="C5" s="5">
        <v>100</v>
      </c>
      <c r="D5" s="11" t="s">
        <v>0</v>
      </c>
      <c r="E5" t="s">
        <v>12</v>
      </c>
    </row>
    <row r="7" spans="1:5" x14ac:dyDescent="0.2">
      <c r="B7" s="3" t="s">
        <v>6</v>
      </c>
      <c r="C7" s="7">
        <v>100</v>
      </c>
      <c r="D7" s="11" t="s">
        <v>0</v>
      </c>
      <c r="E7" t="s">
        <v>11</v>
      </c>
    </row>
    <row r="9" spans="1:5" x14ac:dyDescent="0.2">
      <c r="B9" s="3" t="s">
        <v>15</v>
      </c>
      <c r="C9" s="16">
        <v>100</v>
      </c>
      <c r="D9" s="11" t="s">
        <v>0</v>
      </c>
      <c r="E9" t="s">
        <v>16</v>
      </c>
    </row>
    <row r="11" spans="1:5" x14ac:dyDescent="0.2">
      <c r="B11" s="3" t="s">
        <v>7</v>
      </c>
      <c r="C11" s="6">
        <v>100</v>
      </c>
      <c r="D11" s="11" t="s">
        <v>1</v>
      </c>
      <c r="E11" t="s">
        <v>29</v>
      </c>
    </row>
    <row r="13" spans="1:5" x14ac:dyDescent="0.2">
      <c r="B13" s="3" t="s">
        <v>8</v>
      </c>
      <c r="C13" s="8">
        <v>100</v>
      </c>
      <c r="D13" s="11" t="s">
        <v>1</v>
      </c>
      <c r="E13" t="s">
        <v>25</v>
      </c>
    </row>
    <row r="15" spans="1:5" ht="12" customHeight="1" x14ac:dyDescent="0.2">
      <c r="B15" s="3" t="s">
        <v>24</v>
      </c>
      <c r="C15" s="25">
        <v>100</v>
      </c>
      <c r="D15" s="11" t="s">
        <v>1</v>
      </c>
      <c r="E15" t="s">
        <v>26</v>
      </c>
    </row>
    <row r="17" spans="1:11" ht="12" customHeight="1" x14ac:dyDescent="0.2">
      <c r="B17" s="3" t="s">
        <v>21</v>
      </c>
      <c r="C17" s="21">
        <v>100</v>
      </c>
      <c r="D17" s="11" t="s">
        <v>1</v>
      </c>
      <c r="E17" t="s">
        <v>22</v>
      </c>
    </row>
    <row r="19" spans="1:11" ht="18" x14ac:dyDescent="0.2">
      <c r="A19" s="4" t="s">
        <v>18</v>
      </c>
    </row>
    <row r="21" spans="1:11" x14ac:dyDescent="0.2">
      <c r="B21" s="3" t="s">
        <v>2</v>
      </c>
      <c r="C21" s="9">
        <v>100</v>
      </c>
      <c r="D21" s="11" t="s">
        <v>1</v>
      </c>
      <c r="E21" t="s">
        <v>10</v>
      </c>
    </row>
    <row r="22" spans="1:11" x14ac:dyDescent="0.2">
      <c r="C22" s="9"/>
    </row>
    <row r="23" spans="1:11" x14ac:dyDescent="0.2">
      <c r="B23" s="3" t="s">
        <v>19</v>
      </c>
      <c r="C23" s="22">
        <v>123.45</v>
      </c>
      <c r="E23" t="s">
        <v>14</v>
      </c>
    </row>
    <row r="25" spans="1:11" x14ac:dyDescent="0.2">
      <c r="B25" s="3" t="s">
        <v>23</v>
      </c>
      <c r="C25" s="19">
        <v>0</v>
      </c>
      <c r="D25" s="11" t="s">
        <v>1</v>
      </c>
      <c r="E25" t="s">
        <v>13</v>
      </c>
      <c r="F25" s="15"/>
      <c r="G25" s="15"/>
      <c r="H25" s="15"/>
      <c r="I25" s="15"/>
      <c r="J25" s="15"/>
      <c r="K25" s="15"/>
    </row>
    <row r="27" spans="1:11" x14ac:dyDescent="0.2">
      <c r="B27" s="3" t="s">
        <v>3</v>
      </c>
      <c r="C27" s="10">
        <v>100</v>
      </c>
      <c r="E27" t="s">
        <v>4</v>
      </c>
    </row>
    <row r="29" spans="1:11" x14ac:dyDescent="0.2">
      <c r="B29" s="3" t="s">
        <v>9</v>
      </c>
      <c r="C29" s="12" t="s">
        <v>9</v>
      </c>
      <c r="D29" s="11" t="s">
        <v>1</v>
      </c>
      <c r="E29" t="s">
        <v>28</v>
      </c>
    </row>
  </sheetData>
  <phoneticPr fontId="0" type="noConversion"/>
  <pageMargins left="0.74803149606299213" right="0.74803149606299213" top="0.51181102362204722" bottom="0.51181102362204722" header="0.51181102362204722" footer="0.35433070866141736"/>
  <pageSetup paperSize="9" fitToHeight="0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autoPageBreaks="0"/>
  </sheetPr>
  <dimension ref="B1:I17"/>
  <sheetViews>
    <sheetView showGridLines="0" tabSelected="1" defaultGridColor="0" colorId="22" zoomScaleNormal="100" workbookViewId="0">
      <pane ySplit="1" topLeftCell="A2" activePane="bottomLeft" state="frozen"/>
      <selection pane="bottomLeft"/>
    </sheetView>
  </sheetViews>
  <sheetFormatPr baseColWidth="10" defaultColWidth="12.7109375" defaultRowHeight="12" x14ac:dyDescent="0.2"/>
  <cols>
    <col min="1" max="1" width="6.7109375" style="13" customWidth="1"/>
    <col min="2" max="6" width="12.7109375" style="13"/>
    <col min="7" max="7" width="2" style="13" customWidth="1"/>
    <col min="8" max="8" width="12.7109375" style="13"/>
    <col min="9" max="9" width="53.140625" style="13" bestFit="1" customWidth="1"/>
    <col min="10" max="10" width="2.7109375" style="13" customWidth="1"/>
    <col min="11" max="16384" width="12.7109375" style="13"/>
  </cols>
  <sheetData>
    <row r="1" spans="2:9" s="68" customFormat="1" ht="33.75" customHeight="1" x14ac:dyDescent="0.2">
      <c r="D1" s="69" t="s">
        <v>91</v>
      </c>
    </row>
    <row r="4" spans="2:9" ht="12.75" x14ac:dyDescent="0.2">
      <c r="B4" s="74" t="s">
        <v>92</v>
      </c>
    </row>
    <row r="6" spans="2:9" x14ac:dyDescent="0.2">
      <c r="F6" s="70">
        <v>2020</v>
      </c>
    </row>
    <row r="7" spans="2:9" x14ac:dyDescent="0.2">
      <c r="B7" s="72" t="s">
        <v>40</v>
      </c>
    </row>
    <row r="8" spans="2:9" x14ac:dyDescent="0.2">
      <c r="B8" s="73" t="s">
        <v>41</v>
      </c>
      <c r="F8" s="71">
        <f>'Modelo ICX cruzada'!I6</f>
        <v>326514.933594134</v>
      </c>
    </row>
    <row r="9" spans="2:9" x14ac:dyDescent="0.2">
      <c r="B9" s="73" t="str">
        <f>"Por operador ("&amp;numero.de.operadores&amp;" operadores)"</f>
        <v>Por operador (2 operadores)</v>
      </c>
      <c r="F9" s="71">
        <f>'Modelo ICX cruzada'!I7</f>
        <v>163257.466797067</v>
      </c>
      <c r="I9" s="14"/>
    </row>
    <row r="10" spans="2:9" x14ac:dyDescent="0.2">
      <c r="B10" s="73" t="s">
        <v>61</v>
      </c>
      <c r="F10" s="71">
        <f>'Modelo ICX cruzada'!I8</f>
        <v>63.085965640599994</v>
      </c>
    </row>
    <row r="11" spans="2:9" x14ac:dyDescent="0.2">
      <c r="B11" s="73" t="s">
        <v>62</v>
      </c>
      <c r="F11" s="71">
        <f>'Modelo ICX cruzada'!I9</f>
        <v>601.05055334216991</v>
      </c>
    </row>
    <row r="12" spans="2:9" x14ac:dyDescent="0.2">
      <c r="B12" s="73"/>
      <c r="F12" s="58"/>
    </row>
    <row r="13" spans="2:9" x14ac:dyDescent="0.2">
      <c r="B13" s="73"/>
      <c r="F13" s="58"/>
    </row>
    <row r="14" spans="2:9" x14ac:dyDescent="0.2">
      <c r="B14" s="72" t="s">
        <v>42</v>
      </c>
      <c r="F14" s="58"/>
    </row>
    <row r="15" spans="2:9" x14ac:dyDescent="0.2">
      <c r="B15" s="73" t="s">
        <v>41</v>
      </c>
      <c r="F15" s="71">
        <f>'Modelo ICX cruzada'!I13</f>
        <v>2717.4364822903631</v>
      </c>
    </row>
    <row r="16" spans="2:9" x14ac:dyDescent="0.2">
      <c r="B16" s="73" t="str">
        <f>"Por operador ("&amp;numero.de.operadores&amp;" operadores)"</f>
        <v>Por operador (2 operadores)</v>
      </c>
      <c r="F16" s="71">
        <f>'Modelo ICX cruzada'!I14</f>
        <v>1358.7182411451815</v>
      </c>
      <c r="I16" s="14"/>
    </row>
    <row r="17" spans="2:6" x14ac:dyDescent="0.2">
      <c r="B17" s="73" t="s">
        <v>90</v>
      </c>
      <c r="F17" s="71">
        <f>'Modelo ICX cruzada'!I15+'Modelo ICX cruzada'!I16</f>
        <v>14.501826028049015</v>
      </c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W75"/>
  <sheetViews>
    <sheetView showGridLines="0" defaultGridColor="0" colorId="22" zoomScaleNormal="100" workbookViewId="0"/>
  </sheetViews>
  <sheetFormatPr baseColWidth="10" defaultColWidth="12.7109375" defaultRowHeight="12" x14ac:dyDescent="0.2"/>
  <cols>
    <col min="1" max="1" width="6.7109375" customWidth="1"/>
    <col min="2" max="2" width="42.140625" customWidth="1"/>
    <col min="3" max="3" width="16.140625" style="13" customWidth="1"/>
    <col min="4" max="4" width="4.140625" style="13" customWidth="1"/>
    <col min="5" max="5" width="16.140625" style="13" customWidth="1"/>
    <col min="6" max="6" width="16.140625" customWidth="1"/>
    <col min="7" max="7" width="16.140625" style="13" customWidth="1"/>
    <col min="8" max="9" width="16.140625" customWidth="1"/>
    <col min="11" max="11" width="12.7109375" style="13" customWidth="1"/>
    <col min="12" max="13" width="12.85546875" style="13" customWidth="1"/>
    <col min="14" max="15" width="12.85546875" customWidth="1"/>
    <col min="16" max="16" width="12.85546875" style="13" customWidth="1"/>
  </cols>
  <sheetData>
    <row r="1" spans="1:19" s="24" customFormat="1" ht="33.75" customHeight="1" x14ac:dyDescent="0.2">
      <c r="A1" s="24" t="s">
        <v>20</v>
      </c>
      <c r="C1" s="27" t="s">
        <v>102</v>
      </c>
    </row>
    <row r="2" spans="1:19" s="13" customFormat="1" x14ac:dyDescent="0.2"/>
    <row r="3" spans="1:19" s="13" customFormat="1" ht="17.25" thickBot="1" x14ac:dyDescent="0.25">
      <c r="A3" s="47"/>
      <c r="B3" s="47" t="s">
        <v>54</v>
      </c>
      <c r="C3" s="47"/>
      <c r="D3" s="47"/>
      <c r="E3" s="48"/>
      <c r="F3" s="49"/>
      <c r="G3" s="49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s="13" customFormat="1" ht="12.75" thickTop="1" x14ac:dyDescent="0.2">
      <c r="R4" s="62"/>
    </row>
    <row r="5" spans="1:19" s="13" customFormat="1" x14ac:dyDescent="0.2">
      <c r="B5" s="33" t="s">
        <v>40</v>
      </c>
      <c r="C5" s="33"/>
      <c r="D5" s="33"/>
      <c r="E5" s="1">
        <v>2016</v>
      </c>
      <c r="F5" s="1">
        <f>E5+1</f>
        <v>2017</v>
      </c>
      <c r="G5" s="1">
        <f t="shared" ref="G5" si="0">F5+1</f>
        <v>2018</v>
      </c>
      <c r="H5" s="1">
        <f t="shared" ref="H5" si="1">G5+1</f>
        <v>2019</v>
      </c>
      <c r="I5" s="1">
        <f t="shared" ref="I5" si="2">H5+1</f>
        <v>2020</v>
      </c>
      <c r="L5" s="1">
        <v>2016</v>
      </c>
      <c r="M5" s="1">
        <f>L5+1</f>
        <v>2017</v>
      </c>
      <c r="N5" s="1">
        <f t="shared" ref="N5:P5" si="3">M5+1</f>
        <v>2018</v>
      </c>
      <c r="O5" s="1">
        <f t="shared" si="3"/>
        <v>2019</v>
      </c>
      <c r="P5" s="1">
        <f t="shared" si="3"/>
        <v>2020</v>
      </c>
    </row>
    <row r="6" spans="1:19" s="13" customFormat="1" x14ac:dyDescent="0.2">
      <c r="B6" s="43" t="s">
        <v>41</v>
      </c>
      <c r="C6" s="43"/>
      <c r="D6" s="43"/>
      <c r="E6" s="53">
        <f t="array" ref="E6:I9">L6:P9*tasa.cambio.mxn.usd</f>
        <v>337966.14029781398</v>
      </c>
      <c r="F6" s="53">
        <v>332613.82448405464</v>
      </c>
      <c r="G6" s="53">
        <v>327900.73419085582</v>
      </c>
      <c r="H6" s="53">
        <v>328677.45933259994</v>
      </c>
      <c r="I6" s="53">
        <v>326514.933594134</v>
      </c>
      <c r="J6" s="18" t="s">
        <v>32</v>
      </c>
      <c r="L6" s="51">
        <f t="array" ref="L6:P9">E56:I59</f>
        <v>18115</v>
      </c>
      <c r="M6" s="51">
        <v>17571.55</v>
      </c>
      <c r="N6" s="51">
        <v>17044.4035</v>
      </c>
      <c r="O6" s="51">
        <v>16533.071394999999</v>
      </c>
      <c r="P6" s="51">
        <v>16037.079253150001</v>
      </c>
      <c r="Q6" s="18" t="s">
        <v>77</v>
      </c>
    </row>
    <row r="7" spans="1:19" s="13" customFormat="1" x14ac:dyDescent="0.2">
      <c r="B7" s="43" t="str">
        <f>"Por operador ("&amp;numero.de.operadores&amp;" operadores)"</f>
        <v>Por operador (2 operadores)</v>
      </c>
      <c r="C7" s="43"/>
      <c r="D7" s="43"/>
      <c r="E7" s="53">
        <v>168983.07014890699</v>
      </c>
      <c r="F7" s="53">
        <v>166306.91224202732</v>
      </c>
      <c r="G7" s="53">
        <v>163950.36709542791</v>
      </c>
      <c r="H7" s="53">
        <v>164338.72966629997</v>
      </c>
      <c r="I7" s="53">
        <v>163257.466797067</v>
      </c>
      <c r="J7" s="18" t="s">
        <v>32</v>
      </c>
      <c r="L7" s="51">
        <v>9057.5</v>
      </c>
      <c r="M7" s="51">
        <v>8785.7749999999996</v>
      </c>
      <c r="N7" s="51">
        <v>8522.2017500000002</v>
      </c>
      <c r="O7" s="51">
        <v>8266.5356974999995</v>
      </c>
      <c r="P7" s="51">
        <v>8018.5396265750005</v>
      </c>
      <c r="Q7" s="18" t="s">
        <v>77</v>
      </c>
    </row>
    <row r="8" spans="1:19" s="13" customFormat="1" x14ac:dyDescent="0.2">
      <c r="B8" s="43" t="s">
        <v>61</v>
      </c>
      <c r="C8" s="43"/>
      <c r="D8" s="43"/>
      <c r="E8" s="53">
        <v>65.298453825136576</v>
      </c>
      <c r="F8" s="53">
        <v>64.264332635616412</v>
      </c>
      <c r="G8" s="53">
        <v>63.353716238917762</v>
      </c>
      <c r="H8" s="53">
        <v>63.503787339999995</v>
      </c>
      <c r="I8" s="53">
        <v>63.085965640599994</v>
      </c>
      <c r="J8" s="18" t="s">
        <v>32</v>
      </c>
      <c r="L8" s="51">
        <v>3.5</v>
      </c>
      <c r="M8" s="51">
        <v>3.395</v>
      </c>
      <c r="N8" s="51">
        <v>3.2931499999999998</v>
      </c>
      <c r="O8" s="51">
        <v>3.1943554999999999</v>
      </c>
      <c r="P8" s="51">
        <v>3.0985248349999996</v>
      </c>
      <c r="Q8" s="18" t="s">
        <v>77</v>
      </c>
    </row>
    <row r="9" spans="1:19" s="13" customFormat="1" x14ac:dyDescent="0.2">
      <c r="B9" s="43" t="s">
        <v>62</v>
      </c>
      <c r="C9" s="43"/>
      <c r="D9" s="43"/>
      <c r="E9" s="53">
        <v>622.13</v>
      </c>
      <c r="F9" s="53">
        <v>612.27742650172024</v>
      </c>
      <c r="G9" s="53">
        <v>603.60154299006433</v>
      </c>
      <c r="H9" s="53">
        <v>605.03134306414131</v>
      </c>
      <c r="I9" s="53">
        <v>601.05055334216991</v>
      </c>
      <c r="J9" s="18" t="s">
        <v>32</v>
      </c>
      <c r="L9" s="51">
        <v>33.346195391257346</v>
      </c>
      <c r="M9" s="51">
        <v>32.345809529519627</v>
      </c>
      <c r="N9" s="51">
        <v>31.375435243634037</v>
      </c>
      <c r="O9" s="51">
        <v>30.434172186325014</v>
      </c>
      <c r="P9" s="51">
        <v>29.521147020735263</v>
      </c>
      <c r="Q9" s="18" t="s">
        <v>77</v>
      </c>
    </row>
    <row r="10" spans="1:19" s="13" customFormat="1" x14ac:dyDescent="0.2">
      <c r="B10" s="43"/>
      <c r="C10" s="43"/>
      <c r="D10" s="43"/>
      <c r="E10" s="14" t="s">
        <v>86</v>
      </c>
      <c r="F10" s="38"/>
      <c r="G10" s="43"/>
      <c r="H10" s="38"/>
      <c r="L10" s="43"/>
      <c r="M10" s="38"/>
      <c r="N10" s="43"/>
      <c r="O10" s="38"/>
    </row>
    <row r="11" spans="1:19" s="13" customFormat="1" x14ac:dyDescent="0.2">
      <c r="B11" s="43"/>
      <c r="C11" s="43"/>
      <c r="D11" s="43"/>
      <c r="E11" s="14"/>
      <c r="F11" s="38"/>
      <c r="G11" s="43"/>
      <c r="H11" s="38"/>
      <c r="L11" s="43"/>
      <c r="M11" s="38"/>
      <c r="N11" s="43"/>
      <c r="O11" s="38"/>
    </row>
    <row r="12" spans="1:19" s="13" customFormat="1" x14ac:dyDescent="0.2">
      <c r="B12" s="33" t="s">
        <v>42</v>
      </c>
      <c r="C12" s="33"/>
      <c r="D12" s="33"/>
      <c r="E12" s="1">
        <v>2016</v>
      </c>
      <c r="F12" s="1">
        <f>E12+1</f>
        <v>2017</v>
      </c>
      <c r="G12" s="1">
        <f t="shared" ref="G12" si="4">F12+1</f>
        <v>2018</v>
      </c>
      <c r="H12" s="1">
        <f t="shared" ref="H12" si="5">G12+1</f>
        <v>2019</v>
      </c>
      <c r="I12" s="1">
        <f t="shared" ref="I12" si="6">H12+1</f>
        <v>2020</v>
      </c>
      <c r="L12" s="1">
        <v>2016</v>
      </c>
      <c r="M12" s="1">
        <f>L12+1</f>
        <v>2017</v>
      </c>
      <c r="N12" s="1">
        <f t="shared" ref="N12:P12" si="7">M12+1</f>
        <v>2018</v>
      </c>
      <c r="O12" s="1">
        <f t="shared" si="7"/>
        <v>2019</v>
      </c>
      <c r="P12" s="1">
        <f t="shared" si="7"/>
        <v>2020</v>
      </c>
    </row>
    <row r="13" spans="1:19" s="13" customFormat="1" x14ac:dyDescent="0.2">
      <c r="B13" s="43" t="s">
        <v>41</v>
      </c>
      <c r="C13" s="43"/>
      <c r="D13" s="43"/>
      <c r="E13" s="53">
        <f t="array" ref="E13:I16">L13:P16*tasa.cambio.mxn.usd</f>
        <v>2255.9061071493611</v>
      </c>
      <c r="F13" s="53">
        <v>2346.0661590730579</v>
      </c>
      <c r="G13" s="53">
        <v>2443.9621709006401</v>
      </c>
      <c r="H13" s="53">
        <v>2588.6548118229157</v>
      </c>
      <c r="I13" s="53">
        <v>2717.4364822903631</v>
      </c>
      <c r="J13" s="18" t="s">
        <v>32</v>
      </c>
      <c r="L13" s="51">
        <f t="array" ref="L13:P16">E72:I75</f>
        <v>120.91666666666667</v>
      </c>
      <c r="M13" s="51">
        <v>123.93958333333332</v>
      </c>
      <c r="N13" s="51">
        <v>127.03807291666665</v>
      </c>
      <c r="O13" s="51">
        <v>130.21402473958329</v>
      </c>
      <c r="P13" s="51">
        <v>133.46937535807285</v>
      </c>
      <c r="Q13" s="18" t="s">
        <v>77</v>
      </c>
    </row>
    <row r="14" spans="1:19" s="13" customFormat="1" x14ac:dyDescent="0.2">
      <c r="B14" s="43" t="str">
        <f>"Por operador ("&amp;numero.de.operadores&amp;" operadores)"</f>
        <v>Por operador (2 operadores)</v>
      </c>
      <c r="C14" s="43"/>
      <c r="D14" s="43"/>
      <c r="E14" s="53">
        <v>1127.9530535746806</v>
      </c>
      <c r="F14" s="53">
        <v>1173.0330795365289</v>
      </c>
      <c r="G14" s="53">
        <v>1221.9810854503201</v>
      </c>
      <c r="H14" s="53">
        <v>1294.3274059114578</v>
      </c>
      <c r="I14" s="53">
        <v>1358.7182411451815</v>
      </c>
      <c r="J14" s="18" t="s">
        <v>32</v>
      </c>
      <c r="L14" s="51">
        <v>60.458333333333336</v>
      </c>
      <c r="M14" s="51">
        <v>61.969791666666659</v>
      </c>
      <c r="N14" s="51">
        <v>63.519036458333325</v>
      </c>
      <c r="O14" s="51">
        <v>65.107012369791647</v>
      </c>
      <c r="P14" s="51">
        <v>66.734687679036426</v>
      </c>
      <c r="Q14" s="18" t="s">
        <v>77</v>
      </c>
    </row>
    <row r="15" spans="1:19" s="13" customFormat="1" x14ac:dyDescent="0.2">
      <c r="B15" s="43" t="s">
        <v>85</v>
      </c>
      <c r="C15" s="43"/>
      <c r="D15" s="43"/>
      <c r="E15" s="53">
        <v>0.10883075637522763</v>
      </c>
      <c r="F15" s="53">
        <v>0.11318031091324195</v>
      </c>
      <c r="G15" s="53">
        <v>0.11790306820333894</v>
      </c>
      <c r="H15" s="53">
        <v>0.12488341614583329</v>
      </c>
      <c r="I15" s="53">
        <v>0.13109617764322912</v>
      </c>
      <c r="J15" s="18" t="s">
        <v>32</v>
      </c>
      <c r="L15" s="51">
        <v>5.8333333333333336E-3</v>
      </c>
      <c r="M15" s="51">
        <v>5.9791666666666665E-3</v>
      </c>
      <c r="N15" s="51">
        <v>6.1286458333333323E-3</v>
      </c>
      <c r="O15" s="51">
        <v>6.281861979166665E-3</v>
      </c>
      <c r="P15" s="51">
        <v>6.4389085286458312E-3</v>
      </c>
      <c r="Q15" s="18" t="s">
        <v>77</v>
      </c>
    </row>
    <row r="16" spans="1:19" s="13" customFormat="1" x14ac:dyDescent="0.2">
      <c r="B16" s="43" t="s">
        <v>84</v>
      </c>
      <c r="C16" s="43"/>
      <c r="D16" s="43"/>
      <c r="E16" s="53">
        <v>11.93</v>
      </c>
      <c r="F16" s="53">
        <v>12.406797068832301</v>
      </c>
      <c r="G16" s="53">
        <v>12.924504528997321</v>
      </c>
      <c r="H16" s="53">
        <v>13.689688505729407</v>
      </c>
      <c r="I16" s="53">
        <v>14.370729850405786</v>
      </c>
      <c r="J16" s="18" t="s">
        <v>32</v>
      </c>
      <c r="L16" s="51">
        <v>0.63944852525629714</v>
      </c>
      <c r="M16" s="51">
        <v>0.6554347383877045</v>
      </c>
      <c r="N16" s="51">
        <v>0.67182060684739708</v>
      </c>
      <c r="O16" s="51">
        <v>0.68861612201858191</v>
      </c>
      <c r="P16" s="51">
        <v>0.70583152506904645</v>
      </c>
      <c r="Q16" s="18" t="s">
        <v>77</v>
      </c>
    </row>
    <row r="17" spans="1:19" s="13" customFormat="1" x14ac:dyDescent="0.2">
      <c r="E17" s="14" t="s">
        <v>87</v>
      </c>
    </row>
    <row r="18" spans="1:19" s="13" customFormat="1" x14ac:dyDescent="0.2"/>
    <row r="19" spans="1:19" s="13" customFormat="1" ht="17.25" thickBot="1" x14ac:dyDescent="0.25">
      <c r="A19" s="47"/>
      <c r="B19" s="47" t="s">
        <v>101</v>
      </c>
      <c r="C19" s="47"/>
      <c r="D19" s="47"/>
      <c r="E19" s="48"/>
      <c r="F19" s="49"/>
      <c r="G19" s="49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s="13" customFormat="1" ht="12.75" thickTop="1" x14ac:dyDescent="0.2"/>
    <row r="21" spans="1:19" s="13" customFormat="1" x14ac:dyDescent="0.2">
      <c r="B21" s="20"/>
      <c r="C21" s="20"/>
      <c r="D21" s="20"/>
      <c r="E21" s="1"/>
    </row>
    <row r="22" spans="1:19" s="13" customFormat="1" x14ac:dyDescent="0.2">
      <c r="B22" s="3" t="s">
        <v>51</v>
      </c>
      <c r="C22" s="3"/>
      <c r="D22" s="3"/>
      <c r="E22" s="39">
        <v>1</v>
      </c>
    </row>
    <row r="23" spans="1:19" s="13" customFormat="1" x14ac:dyDescent="0.2">
      <c r="B23" s="3" t="s">
        <v>52</v>
      </c>
      <c r="C23" s="3"/>
      <c r="D23" s="3"/>
      <c r="E23" s="39">
        <v>1</v>
      </c>
    </row>
    <row r="24" spans="1:19" s="13" customFormat="1" x14ac:dyDescent="0.2">
      <c r="B24" s="3" t="s">
        <v>46</v>
      </c>
      <c r="C24" s="3"/>
      <c r="D24" s="3"/>
      <c r="E24" s="42">
        <f>numero.de.operadores</f>
        <v>2</v>
      </c>
    </row>
    <row r="25" spans="1:19" s="13" customFormat="1" x14ac:dyDescent="0.2">
      <c r="B25" s="3" t="s">
        <v>31</v>
      </c>
      <c r="C25" s="3"/>
      <c r="D25" s="3"/>
      <c r="E25" s="42">
        <f>numero.de.operadores</f>
        <v>2</v>
      </c>
    </row>
    <row r="26" spans="1:19" s="13" customFormat="1" x14ac:dyDescent="0.2">
      <c r="B26" s="3" t="s">
        <v>30</v>
      </c>
      <c r="C26" s="3"/>
      <c r="D26" s="3"/>
    </row>
    <row r="27" spans="1:19" s="13" customFormat="1" ht="12.75" thickBot="1" x14ac:dyDescent="0.25">
      <c r="B27" s="36" t="s">
        <v>34</v>
      </c>
      <c r="C27" s="36"/>
      <c r="D27" s="36"/>
    </row>
    <row r="28" spans="1:19" s="13" customFormat="1" x14ac:dyDescent="0.2">
      <c r="B28" s="37"/>
      <c r="C28" s="37"/>
      <c r="D28" s="37"/>
      <c r="E28" s="37"/>
      <c r="F28" s="37"/>
      <c r="G28" s="37"/>
    </row>
    <row r="29" spans="1:19" s="13" customFormat="1" x14ac:dyDescent="0.2">
      <c r="B29" s="33" t="s">
        <v>38</v>
      </c>
      <c r="C29" s="33"/>
      <c r="D29" s="33"/>
      <c r="E29" s="41">
        <v>2</v>
      </c>
      <c r="F29" s="14" t="s">
        <v>44</v>
      </c>
      <c r="G29" s="38"/>
    </row>
    <row r="30" spans="1:19" s="13" customFormat="1" x14ac:dyDescent="0.2">
      <c r="B30" s="33" t="s">
        <v>43</v>
      </c>
      <c r="C30" s="33"/>
      <c r="D30" s="33"/>
      <c r="E30" s="44">
        <f>$E$29*($E$29-1)/2</f>
        <v>1</v>
      </c>
      <c r="F30" s="14" t="s">
        <v>45</v>
      </c>
      <c r="G30" s="38"/>
      <c r="I30" s="20"/>
      <c r="J30" s="20" t="s">
        <v>47</v>
      </c>
      <c r="K30" s="20" t="s">
        <v>48</v>
      </c>
    </row>
    <row r="31" spans="1:19" s="13" customFormat="1" ht="24" x14ac:dyDescent="0.2">
      <c r="B31" s="33" t="s">
        <v>50</v>
      </c>
      <c r="C31" s="33"/>
      <c r="D31" s="33"/>
      <c r="E31" s="40" t="s">
        <v>47</v>
      </c>
      <c r="F31" s="38">
        <f>INDEX(J31:K31,MATCH(E31,J30:K30,0))</f>
        <v>1</v>
      </c>
      <c r="G31" s="38"/>
      <c r="I31" s="46" t="s">
        <v>49</v>
      </c>
      <c r="J31" s="45">
        <v>1</v>
      </c>
      <c r="K31" s="45">
        <v>2.5</v>
      </c>
    </row>
    <row r="32" spans="1:19" s="13" customFormat="1" x14ac:dyDescent="0.2">
      <c r="A32" s="62"/>
      <c r="B32" s="33" t="s">
        <v>71</v>
      </c>
      <c r="C32" s="33"/>
      <c r="D32" s="33"/>
      <c r="E32" s="89">
        <v>8.7543651213491558E-2</v>
      </c>
      <c r="F32" s="14" t="s">
        <v>72</v>
      </c>
      <c r="G32" s="90" t="s">
        <v>103</v>
      </c>
    </row>
    <row r="33" spans="1:23" s="13" customFormat="1" x14ac:dyDescent="0.2">
      <c r="B33" s="33" t="s">
        <v>68</v>
      </c>
      <c r="C33" s="33"/>
      <c r="D33" s="33"/>
      <c r="E33" s="40" t="s">
        <v>69</v>
      </c>
      <c r="F33" s="38" t="s">
        <v>69</v>
      </c>
      <c r="G33" s="38" t="s">
        <v>70</v>
      </c>
    </row>
    <row r="34" spans="1:23" s="13" customFormat="1" x14ac:dyDescent="0.2"/>
    <row r="35" spans="1:23" s="13" customFormat="1" x14ac:dyDescent="0.2"/>
    <row r="36" spans="1:23" s="13" customFormat="1" ht="17.25" thickBot="1" x14ac:dyDescent="0.25">
      <c r="A36" s="47"/>
      <c r="B36" s="47" t="s">
        <v>74</v>
      </c>
      <c r="C36" s="47"/>
      <c r="D36" s="47"/>
      <c r="E36" s="48"/>
      <c r="F36" s="49"/>
      <c r="G36" s="49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  <row r="37" spans="1:23" s="13" customFormat="1" ht="12.75" thickTop="1" x14ac:dyDescent="0.2"/>
    <row r="38" spans="1:23" s="13" customFormat="1" x14ac:dyDescent="0.2">
      <c r="E38" s="1">
        <v>2016</v>
      </c>
      <c r="F38" s="1">
        <f>E38+1</f>
        <v>2017</v>
      </c>
      <c r="G38" s="1">
        <f t="shared" ref="G38:I38" si="8">F38+1</f>
        <v>2018</v>
      </c>
      <c r="H38" s="1">
        <f t="shared" si="8"/>
        <v>2019</v>
      </c>
      <c r="I38" s="1">
        <f t="shared" si="8"/>
        <v>2020</v>
      </c>
      <c r="J38" s="90" t="s">
        <v>104</v>
      </c>
    </row>
    <row r="39" spans="1:23" s="13" customFormat="1" x14ac:dyDescent="0.2">
      <c r="A39" s="62"/>
      <c r="B39" s="33" t="s">
        <v>36</v>
      </c>
      <c r="C39" s="33"/>
      <c r="D39" s="33"/>
      <c r="E39" s="66">
        <v>18.656701092896164</v>
      </c>
      <c r="F39" s="66">
        <v>18.929111232876703</v>
      </c>
      <c r="G39" s="66">
        <v>19.238029315068481</v>
      </c>
      <c r="H39" s="91">
        <v>19.88</v>
      </c>
      <c r="I39" s="91">
        <v>20.36</v>
      </c>
      <c r="J39" s="14" t="s">
        <v>56</v>
      </c>
    </row>
    <row r="40" spans="1:23" s="13" customFormat="1" x14ac:dyDescent="0.2">
      <c r="A40" s="62"/>
      <c r="B40" s="33" t="s">
        <v>89</v>
      </c>
      <c r="C40" s="33"/>
      <c r="D40" s="33"/>
      <c r="E40" s="67">
        <v>3.3599999999999998E-2</v>
      </c>
      <c r="F40" s="67">
        <v>6.7699999999999996E-2</v>
      </c>
      <c r="G40" s="67">
        <v>4.8300000000000003E-2</v>
      </c>
      <c r="H40" s="92">
        <v>3.0800000000000001E-2</v>
      </c>
      <c r="I40" s="92">
        <v>3.49E-2</v>
      </c>
      <c r="J40" s="14" t="s">
        <v>75</v>
      </c>
    </row>
    <row r="41" spans="1:23" s="13" customFormat="1" x14ac:dyDescent="0.2"/>
    <row r="42" spans="1:23" s="13" customFormat="1" x14ac:dyDescent="0.2"/>
    <row r="43" spans="1:23" s="13" customFormat="1" ht="17.25" thickBot="1" x14ac:dyDescent="0.25">
      <c r="A43" s="47"/>
      <c r="B43" s="47" t="s">
        <v>55</v>
      </c>
      <c r="C43" s="47"/>
      <c r="D43" s="47"/>
      <c r="E43" s="48"/>
      <c r="F43" s="49"/>
      <c r="G43" s="49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</row>
    <row r="44" spans="1:23" s="13" customFormat="1" ht="12.75" thickTop="1" x14ac:dyDescent="0.2"/>
    <row r="45" spans="1:23" s="13" customFormat="1" ht="15.75" thickBot="1" x14ac:dyDescent="0.25">
      <c r="A45" s="50"/>
      <c r="B45" s="50" t="s">
        <v>53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1:23" s="13" customFormat="1" x14ac:dyDescent="0.2"/>
    <row r="47" spans="1:23" s="13" customFormat="1" ht="24" x14ac:dyDescent="0.2">
      <c r="C47" s="1" t="s">
        <v>94</v>
      </c>
      <c r="E47" s="1">
        <v>2016</v>
      </c>
      <c r="F47" s="1">
        <f>E47+1</f>
        <v>2017</v>
      </c>
      <c r="G47" s="1">
        <f t="shared" ref="G47" si="9">F47+1</f>
        <v>2018</v>
      </c>
      <c r="H47" s="1">
        <f t="shared" ref="H47" si="10">G47+1</f>
        <v>2019</v>
      </c>
      <c r="I47" s="1">
        <f t="shared" ref="I47" si="11">H47+1</f>
        <v>2020</v>
      </c>
    </row>
    <row r="48" spans="1:23" x14ac:dyDescent="0.2">
      <c r="F48" s="13"/>
      <c r="H48" s="13"/>
      <c r="I48" s="13"/>
      <c r="J48" s="13"/>
      <c r="R48" s="13"/>
      <c r="S48" s="13"/>
      <c r="T48" s="13"/>
      <c r="U48" s="13"/>
      <c r="V48" s="13"/>
      <c r="W48" s="13"/>
    </row>
    <row r="49" spans="1:23" s="13" customFormat="1" x14ac:dyDescent="0.2">
      <c r="B49" s="13" t="str">
        <f t="array" ref="B49:B54">B22:B27</f>
        <v>Equipo de transporte (Switch)</v>
      </c>
      <c r="C49" s="77">
        <f>INDEX('Costos asociados'!$E$9:$E$14,MATCH(B49,'Costos asociados'!$B$9:$B$14,0),)</f>
        <v>8000</v>
      </c>
      <c r="D49" s="78"/>
      <c r="E49" s="79">
        <f>C49</f>
        <v>8000</v>
      </c>
      <c r="F49" s="84">
        <f t="shared" ref="F49:I54" si="12">E49*(1+tendencia.equipamiento)</f>
        <v>7760</v>
      </c>
      <c r="G49" s="84">
        <f t="shared" si="12"/>
        <v>7527.2</v>
      </c>
      <c r="H49" s="84">
        <f t="shared" si="12"/>
        <v>7301.384</v>
      </c>
      <c r="I49" s="84">
        <f t="shared" si="12"/>
        <v>7082.3424800000003</v>
      </c>
      <c r="N49" s="2"/>
      <c r="O49" s="2"/>
      <c r="P49" s="58"/>
    </row>
    <row r="50" spans="1:23" s="13" customFormat="1" x14ac:dyDescent="0.2">
      <c r="B50" s="13" t="str">
        <v>DFO pequeño</v>
      </c>
      <c r="C50" s="77">
        <f>INDEX('Costos asociados'!$E$9:$E$14,MATCH(B50,'Costos asociados'!$B$9:$B$14,0),)</f>
        <v>420</v>
      </c>
      <c r="D50" s="78"/>
      <c r="E50" s="79">
        <f t="shared" ref="E50:E54" si="13">C50</f>
        <v>420</v>
      </c>
      <c r="F50" s="84">
        <f t="shared" si="12"/>
        <v>407.4</v>
      </c>
      <c r="G50" s="84">
        <f t="shared" si="12"/>
        <v>395.17799999999994</v>
      </c>
      <c r="H50" s="84">
        <f t="shared" si="12"/>
        <v>383.32265999999993</v>
      </c>
      <c r="I50" s="84">
        <f t="shared" si="12"/>
        <v>371.8229801999999</v>
      </c>
      <c r="N50" s="2"/>
      <c r="P50" s="59"/>
    </row>
    <row r="51" spans="1:23" s="13" customFormat="1" x14ac:dyDescent="0.2">
      <c r="B51" s="13" t="str">
        <v>Demarcador (switch)</v>
      </c>
      <c r="C51" s="77">
        <f>INDEX('Costos asociados'!$E$9:$E$14,MATCH(B51,'Costos asociados'!$B$9:$B$14,0),)</f>
        <v>3000</v>
      </c>
      <c r="D51" s="78"/>
      <c r="E51" s="79">
        <f t="shared" si="13"/>
        <v>3000</v>
      </c>
      <c r="F51" s="84">
        <f t="shared" si="12"/>
        <v>2910</v>
      </c>
      <c r="G51" s="84">
        <f t="shared" si="12"/>
        <v>2822.7</v>
      </c>
      <c r="H51" s="84">
        <f t="shared" si="12"/>
        <v>2738.0189999999998</v>
      </c>
      <c r="I51" s="84">
        <f t="shared" si="12"/>
        <v>2655.8784299999998</v>
      </c>
      <c r="N51" s="2"/>
    </row>
    <row r="52" spans="1:23" x14ac:dyDescent="0.2">
      <c r="B52" s="13" t="str">
        <v>Jumper óptico</v>
      </c>
      <c r="C52" s="77">
        <f>INDEX('Costos asociados'!$E$9:$E$14,MATCH(B52,'Costos asociados'!$B$9:$B$14,0),)</f>
        <v>45</v>
      </c>
      <c r="D52" s="78"/>
      <c r="E52" s="79">
        <f t="shared" si="13"/>
        <v>45</v>
      </c>
      <c r="F52" s="84">
        <f t="shared" si="12"/>
        <v>43.65</v>
      </c>
      <c r="G52" s="84">
        <f t="shared" si="12"/>
        <v>42.340499999999999</v>
      </c>
      <c r="H52" s="84">
        <f t="shared" si="12"/>
        <v>41.070284999999998</v>
      </c>
      <c r="I52" s="84">
        <f t="shared" si="12"/>
        <v>39.838176449999999</v>
      </c>
      <c r="J52" s="13"/>
      <c r="N52" s="2"/>
      <c r="Q52" s="13"/>
      <c r="R52" s="13"/>
      <c r="S52" s="13"/>
      <c r="T52" s="13"/>
      <c r="U52" s="13"/>
      <c r="V52" s="13"/>
      <c r="W52" s="13"/>
    </row>
    <row r="53" spans="1:23" s="13" customFormat="1" x14ac:dyDescent="0.2">
      <c r="B53" s="31" t="str">
        <v>Cable óptico</v>
      </c>
      <c r="C53" s="77">
        <f>INDEX('Costos asociados'!$E$9:$E$14,MATCH(B53,'Costos asociados'!$B$9:$B$14,0),)</f>
        <v>3.5</v>
      </c>
      <c r="D53" s="80"/>
      <c r="E53" s="79">
        <f t="shared" si="13"/>
        <v>3.5</v>
      </c>
      <c r="F53" s="84">
        <f t="shared" si="12"/>
        <v>3.395</v>
      </c>
      <c r="G53" s="84">
        <f t="shared" si="12"/>
        <v>3.2931499999999998</v>
      </c>
      <c r="H53" s="84">
        <f t="shared" si="12"/>
        <v>3.1943554999999999</v>
      </c>
      <c r="I53" s="84">
        <f t="shared" si="12"/>
        <v>3.0985248349999996</v>
      </c>
      <c r="N53" s="2"/>
    </row>
    <row r="54" spans="1:23" x14ac:dyDescent="0.2">
      <c r="B54" s="13" t="str">
        <v>Escalerilla</v>
      </c>
      <c r="C54" s="77">
        <f>INDEX('Costos asociados'!$E$9:$E$14,MATCH(B54,'Costos asociados'!$B$9:$B$14,0),)</f>
        <v>33.346195391257346</v>
      </c>
      <c r="D54" s="78"/>
      <c r="E54" s="79">
        <f t="shared" si="13"/>
        <v>33.346195391257346</v>
      </c>
      <c r="F54" s="84">
        <f t="shared" si="12"/>
        <v>32.345809529519627</v>
      </c>
      <c r="G54" s="84">
        <f t="shared" si="12"/>
        <v>31.375435243634037</v>
      </c>
      <c r="H54" s="84">
        <f t="shared" si="12"/>
        <v>30.434172186325014</v>
      </c>
      <c r="I54" s="84">
        <f t="shared" si="12"/>
        <v>29.521147020735263</v>
      </c>
      <c r="J54" s="13"/>
      <c r="N54" s="2"/>
      <c r="Q54" s="13"/>
      <c r="R54" s="13"/>
      <c r="S54" s="13"/>
      <c r="T54" s="13"/>
      <c r="U54" s="13"/>
      <c r="V54" s="13"/>
      <c r="W54" s="13"/>
    </row>
    <row r="55" spans="1:23" s="13" customFormat="1" x14ac:dyDescent="0.2">
      <c r="C55" s="78"/>
      <c r="D55" s="78"/>
      <c r="E55" s="78"/>
      <c r="L55" s="2"/>
    </row>
    <row r="56" spans="1:23" s="13" customFormat="1" x14ac:dyDescent="0.2">
      <c r="B56" s="34" t="s">
        <v>57</v>
      </c>
      <c r="C56" s="83">
        <f t="array" ref="C56">SUM(C49:C52*'Costos asociados'!$C$9:$C$12*(1+'Costos asociados'!$F$9:$F$12))</f>
        <v>18115</v>
      </c>
      <c r="D56" s="81"/>
      <c r="E56" s="83">
        <f t="array" ref="E56">SUM(E49:E52*'Costos asociados'!$C$9:$C$12*(1+'Costos asociados'!$F$9:$F$12))</f>
        <v>18115</v>
      </c>
      <c r="F56" s="83">
        <f t="array" ref="F56">SUM(F49:F52*'Costos asociados'!$C$9:$C$12*(1+'Costos asociados'!$F$9:$F$12))</f>
        <v>17571.55</v>
      </c>
      <c r="G56" s="83">
        <f t="array" ref="G56">SUM(G49:G52*'Costos asociados'!$C$9:$C$12*(1+'Costos asociados'!$F$9:$F$12))</f>
        <v>17044.4035</v>
      </c>
      <c r="H56" s="83">
        <f t="array" ref="H56">SUM(H49:H52*'Costos asociados'!$C$9:$C$12*(1+'Costos asociados'!$F$9:$F$12))</f>
        <v>16533.071394999999</v>
      </c>
      <c r="I56" s="83">
        <f t="array" ref="I56">SUM(I49:I52*'Costos asociados'!$C$9:$C$12*(1+'Costos asociados'!$F$9:$F$12))</f>
        <v>16037.079253150001</v>
      </c>
      <c r="L56" s="2"/>
    </row>
    <row r="57" spans="1:23" s="13" customFormat="1" x14ac:dyDescent="0.2">
      <c r="B57" s="34" t="s">
        <v>59</v>
      </c>
      <c r="C57" s="82">
        <f>C56/numero.de.operadores</f>
        <v>9057.5</v>
      </c>
      <c r="D57" s="81"/>
      <c r="E57" s="82">
        <f>E56/numero.de.operadores</f>
        <v>9057.5</v>
      </c>
      <c r="F57" s="82">
        <f>F56/numero.de.operadores</f>
        <v>8785.7749999999996</v>
      </c>
      <c r="G57" s="82">
        <f>G56/numero.de.operadores</f>
        <v>8522.2017500000002</v>
      </c>
      <c r="H57" s="82">
        <f>H56/numero.de.operadores</f>
        <v>8266.5356974999995</v>
      </c>
      <c r="I57" s="82">
        <f>I56/numero.de.operadores</f>
        <v>8018.5396265750005</v>
      </c>
      <c r="L57" s="2"/>
    </row>
    <row r="58" spans="1:23" s="13" customFormat="1" x14ac:dyDescent="0.2">
      <c r="B58" s="34" t="s">
        <v>60</v>
      </c>
      <c r="C58" s="76">
        <f>C53</f>
        <v>3.5</v>
      </c>
      <c r="D58" s="81"/>
      <c r="E58" s="76">
        <f>E53</f>
        <v>3.5</v>
      </c>
      <c r="F58" s="76">
        <f t="shared" ref="F58:I59" si="14">F53</f>
        <v>3.395</v>
      </c>
      <c r="G58" s="76">
        <f t="shared" si="14"/>
        <v>3.2931499999999998</v>
      </c>
      <c r="H58" s="76">
        <f t="shared" si="14"/>
        <v>3.1943554999999999</v>
      </c>
      <c r="I58" s="76">
        <f t="shared" si="14"/>
        <v>3.0985248349999996</v>
      </c>
    </row>
    <row r="59" spans="1:23" s="13" customFormat="1" x14ac:dyDescent="0.2">
      <c r="B59" s="34" t="s">
        <v>58</v>
      </c>
      <c r="C59" s="76">
        <f>C54</f>
        <v>33.346195391257346</v>
      </c>
      <c r="D59" s="81"/>
      <c r="E59" s="76">
        <f>E54</f>
        <v>33.346195391257346</v>
      </c>
      <c r="F59" s="76">
        <f t="shared" si="14"/>
        <v>32.345809529519627</v>
      </c>
      <c r="G59" s="76">
        <f t="shared" si="14"/>
        <v>31.375435243634037</v>
      </c>
      <c r="H59" s="76">
        <f t="shared" si="14"/>
        <v>30.434172186325014</v>
      </c>
      <c r="I59" s="76">
        <f t="shared" si="14"/>
        <v>29.521147020735263</v>
      </c>
    </row>
    <row r="60" spans="1:23" s="13" customFormat="1" x14ac:dyDescent="0.2">
      <c r="J60" s="2"/>
    </row>
    <row r="61" spans="1:23" ht="15.75" thickBot="1" x14ac:dyDescent="0.25">
      <c r="A61" s="50"/>
      <c r="B61" s="50" t="s">
        <v>33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1:23" s="13" customFormat="1" x14ac:dyDescent="0.2"/>
    <row r="63" spans="1:23" s="13" customFormat="1" ht="24" x14ac:dyDescent="0.2">
      <c r="C63" s="1" t="s">
        <v>95</v>
      </c>
      <c r="E63" s="1">
        <v>2016</v>
      </c>
      <c r="F63" s="1">
        <f>E63+1</f>
        <v>2017</v>
      </c>
      <c r="G63" s="1">
        <f t="shared" ref="G63" si="15">F63+1</f>
        <v>2018</v>
      </c>
      <c r="H63" s="1">
        <f t="shared" ref="H63" si="16">G63+1</f>
        <v>2019</v>
      </c>
      <c r="I63" s="1">
        <f t="shared" ref="I63" si="17">H63+1</f>
        <v>2020</v>
      </c>
    </row>
    <row r="64" spans="1:23" s="23" customFormat="1" x14ac:dyDescent="0.2">
      <c r="E64" s="13"/>
      <c r="F64" s="13"/>
      <c r="G64" s="13"/>
      <c r="H64" s="13"/>
      <c r="I64" s="13"/>
      <c r="J64" s="13"/>
    </row>
    <row r="65" spans="2:14" x14ac:dyDescent="0.2">
      <c r="B65" s="13" t="str">
        <f t="array" ref="B65:B70">B22:B27</f>
        <v>Equipo de transporte (Switch)</v>
      </c>
      <c r="C65" s="75">
        <f>INDEX('Costos asociados'!$G$24:$G$29,MATCH(B65,'Costos asociados'!$B$24:$B$29,0),)</f>
        <v>66.666666666666671</v>
      </c>
      <c r="E65" s="79">
        <f>C65</f>
        <v>66.666666666666671</v>
      </c>
      <c r="F65" s="84">
        <f t="shared" ref="F65:I70" si="18">E65*(1+tendencia.opex)</f>
        <v>68.333333333333329</v>
      </c>
      <c r="G65" s="84">
        <f t="shared" si="18"/>
        <v>70.041666666666657</v>
      </c>
      <c r="H65" s="84">
        <f t="shared" si="18"/>
        <v>71.792708333333323</v>
      </c>
      <c r="I65" s="84">
        <f t="shared" si="18"/>
        <v>73.587526041666649</v>
      </c>
      <c r="J65" s="13"/>
      <c r="N65" s="13"/>
    </row>
    <row r="66" spans="2:14" x14ac:dyDescent="0.2">
      <c r="B66" s="13" t="str">
        <v>DFO pequeño</v>
      </c>
      <c r="C66" s="75">
        <f>INDEX('Costos asociados'!$G$24:$G$29,MATCH(B66,'Costos asociados'!$B$24:$B$29,0),)</f>
        <v>3.5</v>
      </c>
      <c r="E66" s="79">
        <f t="shared" ref="E66:E70" si="19">C66</f>
        <v>3.5</v>
      </c>
      <c r="F66" s="84">
        <f t="shared" si="18"/>
        <v>3.5874999999999995</v>
      </c>
      <c r="G66" s="84">
        <f t="shared" si="18"/>
        <v>3.6771874999999992</v>
      </c>
      <c r="H66" s="84">
        <f t="shared" si="18"/>
        <v>3.7691171874999987</v>
      </c>
      <c r="I66" s="84">
        <f t="shared" si="18"/>
        <v>3.8633451171874982</v>
      </c>
      <c r="J66" s="13"/>
      <c r="N66" s="13"/>
    </row>
    <row r="67" spans="2:14" x14ac:dyDescent="0.2">
      <c r="B67" s="13" t="str">
        <v>Demarcador (switch)</v>
      </c>
      <c r="C67" s="75">
        <f>INDEX('Costos asociados'!$G$24:$G$29,MATCH(B67,'Costos asociados'!$B$24:$B$29,0),)</f>
        <v>50</v>
      </c>
      <c r="E67" s="79">
        <f t="shared" si="19"/>
        <v>50</v>
      </c>
      <c r="F67" s="84">
        <f t="shared" si="18"/>
        <v>51.249999999999993</v>
      </c>
      <c r="G67" s="84">
        <f t="shared" si="18"/>
        <v>52.531249999999986</v>
      </c>
      <c r="H67" s="84">
        <f t="shared" si="18"/>
        <v>53.844531249999982</v>
      </c>
      <c r="I67" s="84">
        <f t="shared" si="18"/>
        <v>55.19064453124998</v>
      </c>
      <c r="J67" s="13"/>
      <c r="N67" s="13"/>
    </row>
    <row r="68" spans="2:14" x14ac:dyDescent="0.2">
      <c r="B68" s="13" t="str">
        <v>Jumper óptico</v>
      </c>
      <c r="C68" s="75">
        <f>INDEX('Costos asociados'!$G$24:$G$29,MATCH(B68,'Costos asociados'!$B$24:$B$29,0),)</f>
        <v>0.75</v>
      </c>
      <c r="E68" s="79">
        <f t="shared" si="19"/>
        <v>0.75</v>
      </c>
      <c r="F68" s="84">
        <f t="shared" si="18"/>
        <v>0.76874999999999993</v>
      </c>
      <c r="G68" s="84">
        <f t="shared" si="18"/>
        <v>0.78796874999999988</v>
      </c>
      <c r="H68" s="84">
        <f t="shared" si="18"/>
        <v>0.8076679687499998</v>
      </c>
      <c r="I68" s="84">
        <f t="shared" si="18"/>
        <v>0.82785966796874977</v>
      </c>
      <c r="J68" s="13"/>
      <c r="N68" s="13"/>
    </row>
    <row r="69" spans="2:14" x14ac:dyDescent="0.2">
      <c r="B69" s="31" t="str">
        <v>Cable óptico</v>
      </c>
      <c r="C69" s="75">
        <f>INDEX('Costos asociados'!$G$24:$G$29,MATCH(B69,'Costos asociados'!$B$24:$B$29,0),)</f>
        <v>5.8333333333333336E-3</v>
      </c>
      <c r="D69" s="31"/>
      <c r="E69" s="79">
        <f t="shared" si="19"/>
        <v>5.8333333333333336E-3</v>
      </c>
      <c r="F69" s="84">
        <f t="shared" si="18"/>
        <v>5.9791666666666665E-3</v>
      </c>
      <c r="G69" s="84">
        <f t="shared" si="18"/>
        <v>6.1286458333333323E-3</v>
      </c>
      <c r="H69" s="84">
        <f t="shared" si="18"/>
        <v>6.281861979166665E-3</v>
      </c>
      <c r="I69" s="84">
        <f t="shared" si="18"/>
        <v>6.4389085286458312E-3</v>
      </c>
      <c r="J69" s="13"/>
      <c r="N69" s="13"/>
    </row>
    <row r="70" spans="2:14" x14ac:dyDescent="0.2">
      <c r="B70" s="13" t="str">
        <v>Escalerilla</v>
      </c>
      <c r="C70" s="75">
        <f>INDEX('Costos asociados'!$G$24:$G$29,MATCH(B70,'Costos asociados'!$B$24:$B$29,0),)</f>
        <v>0.63944852525629714</v>
      </c>
      <c r="E70" s="79">
        <f t="shared" si="19"/>
        <v>0.63944852525629714</v>
      </c>
      <c r="F70" s="84">
        <f t="shared" si="18"/>
        <v>0.6554347383877045</v>
      </c>
      <c r="G70" s="84">
        <f t="shared" si="18"/>
        <v>0.67182060684739708</v>
      </c>
      <c r="H70" s="84">
        <f t="shared" si="18"/>
        <v>0.68861612201858191</v>
      </c>
      <c r="I70" s="84">
        <f t="shared" si="18"/>
        <v>0.70583152506904645</v>
      </c>
      <c r="J70" s="13"/>
      <c r="N70" s="13"/>
    </row>
    <row r="71" spans="2:14" x14ac:dyDescent="0.2">
      <c r="B71" s="13"/>
      <c r="E71" s="78"/>
      <c r="F71" s="13"/>
      <c r="J71" s="13"/>
      <c r="N71" s="13"/>
    </row>
    <row r="72" spans="2:14" s="13" customFormat="1" x14ac:dyDescent="0.2">
      <c r="B72" s="34" t="s">
        <v>73</v>
      </c>
      <c r="C72" s="86">
        <f>SUM(C65:C68)</f>
        <v>120.91666666666667</v>
      </c>
      <c r="D72" s="34"/>
      <c r="E72" s="86">
        <f>SUM(E65:E68)</f>
        <v>120.91666666666667</v>
      </c>
      <c r="F72" s="86">
        <f t="shared" ref="F72:I72" si="20">SUM(F65:F68)</f>
        <v>123.93958333333332</v>
      </c>
      <c r="G72" s="86">
        <f t="shared" si="20"/>
        <v>127.03807291666665</v>
      </c>
      <c r="H72" s="86">
        <f t="shared" si="20"/>
        <v>130.21402473958329</v>
      </c>
      <c r="I72" s="86">
        <f t="shared" si="20"/>
        <v>133.46937535807285</v>
      </c>
    </row>
    <row r="73" spans="2:14" s="13" customFormat="1" x14ac:dyDescent="0.2">
      <c r="B73" s="34" t="s">
        <v>59</v>
      </c>
      <c r="C73" s="52">
        <f>C72/numero.de.operadores</f>
        <v>60.458333333333336</v>
      </c>
      <c r="D73" s="34"/>
      <c r="E73" s="52">
        <f>E72/numero.de.operadores</f>
        <v>60.458333333333336</v>
      </c>
      <c r="F73" s="52">
        <f>F72/numero.de.operadores</f>
        <v>61.969791666666659</v>
      </c>
      <c r="G73" s="52">
        <f>G72/numero.de.operadores</f>
        <v>63.519036458333325</v>
      </c>
      <c r="H73" s="52">
        <f>H72/numero.de.operadores</f>
        <v>65.107012369791647</v>
      </c>
      <c r="I73" s="52">
        <f>I72/numero.de.operadores</f>
        <v>66.734687679036426</v>
      </c>
    </row>
    <row r="74" spans="2:14" s="13" customFormat="1" x14ac:dyDescent="0.2">
      <c r="B74" s="34" t="s">
        <v>82</v>
      </c>
      <c r="C74" s="85">
        <f>C69</f>
        <v>5.8333333333333336E-3</v>
      </c>
      <c r="D74" s="34"/>
      <c r="E74" s="85">
        <f>E69</f>
        <v>5.8333333333333336E-3</v>
      </c>
      <c r="F74" s="85">
        <f t="shared" ref="F74:I74" si="21">F69</f>
        <v>5.9791666666666665E-3</v>
      </c>
      <c r="G74" s="85">
        <f t="shared" si="21"/>
        <v>6.1286458333333323E-3</v>
      </c>
      <c r="H74" s="85">
        <f t="shared" si="21"/>
        <v>6.281861979166665E-3</v>
      </c>
      <c r="I74" s="85">
        <f t="shared" si="21"/>
        <v>6.4389085286458312E-3</v>
      </c>
    </row>
    <row r="75" spans="2:14" s="13" customFormat="1" x14ac:dyDescent="0.2">
      <c r="B75" s="34" t="s">
        <v>83</v>
      </c>
      <c r="C75" s="85">
        <f>C70</f>
        <v>0.63944852525629714</v>
      </c>
      <c r="D75" s="34"/>
      <c r="E75" s="85">
        <f>E70</f>
        <v>0.63944852525629714</v>
      </c>
      <c r="F75" s="85">
        <f t="shared" ref="F75:I75" si="22">F70</f>
        <v>0.6554347383877045</v>
      </c>
      <c r="G75" s="85">
        <f t="shared" si="22"/>
        <v>0.67182060684739708</v>
      </c>
      <c r="H75" s="85">
        <f t="shared" si="22"/>
        <v>0.68861612201858191</v>
      </c>
      <c r="I75" s="85">
        <f t="shared" si="22"/>
        <v>0.70583152506904645</v>
      </c>
    </row>
  </sheetData>
  <phoneticPr fontId="0" type="noConversion"/>
  <dataValidations count="3">
    <dataValidation type="whole" allowBlank="1" showInputMessage="1" showErrorMessage="1" errorTitle="Número incorrecto" error="Por favor, introduzca un número de operadores entre 2 y 10" sqref="E29 N10:N11 E36:E37 E3:E4 L10:L11 E19:E20 G10:G11">
      <formula1>2</formula1>
      <formula2>10</formula2>
    </dataValidation>
    <dataValidation type="list" allowBlank="1" showInputMessage="1" showErrorMessage="1" sqref="E33">
      <formula1>$F$33:$G$33</formula1>
    </dataValidation>
    <dataValidation type="list" allowBlank="1" showInputMessage="1" showErrorMessage="1" sqref="E31">
      <formula1>$J$30:$K$30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0"/>
  <sheetViews>
    <sheetView showGridLines="0" defaultGridColor="0" colorId="22" zoomScale="84" zoomScaleNormal="84" workbookViewId="0">
      <pane ySplit="1" topLeftCell="A2" activePane="bottomLeft" state="frozen"/>
      <selection pane="bottomLeft"/>
    </sheetView>
  </sheetViews>
  <sheetFormatPr baseColWidth="10" defaultColWidth="12.7109375" defaultRowHeight="12" x14ac:dyDescent="0.2"/>
  <cols>
    <col min="1" max="1" width="6.7109375" style="13" customWidth="1"/>
    <col min="2" max="2" width="39.42578125" style="13" bestFit="1" customWidth="1"/>
    <col min="3" max="5" width="12.7109375" style="13"/>
    <col min="6" max="6" width="38.7109375" style="13" customWidth="1"/>
    <col min="7" max="7" width="18" style="13" bestFit="1" customWidth="1"/>
    <col min="8" max="16384" width="12.7109375" style="13"/>
  </cols>
  <sheetData>
    <row r="1" spans="1:17" s="68" customFormat="1" ht="33.75" customHeight="1" x14ac:dyDescent="0.2">
      <c r="C1" s="69" t="s">
        <v>93</v>
      </c>
    </row>
    <row r="4" spans="1:17" ht="17.25" thickBot="1" x14ac:dyDescent="0.25">
      <c r="A4" s="47"/>
      <c r="B4" s="47" t="s">
        <v>55</v>
      </c>
      <c r="C4" s="48"/>
      <c r="D4" s="49"/>
      <c r="E4" s="49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ht="12.75" thickTop="1" x14ac:dyDescent="0.2"/>
    <row r="6" spans="1:17" ht="15.75" thickBot="1" x14ac:dyDescent="0.25">
      <c r="A6" s="50"/>
      <c r="B6" s="50" t="s">
        <v>53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8" spans="1:17" x14ac:dyDescent="0.2">
      <c r="C8" s="33" t="s">
        <v>39</v>
      </c>
      <c r="D8" s="33" t="s">
        <v>63</v>
      </c>
      <c r="E8" s="33" t="s">
        <v>64</v>
      </c>
      <c r="F8" s="33" t="s">
        <v>65</v>
      </c>
      <c r="G8" s="33" t="s">
        <v>76</v>
      </c>
      <c r="H8" s="33" t="s">
        <v>67</v>
      </c>
      <c r="I8" s="33" t="s">
        <v>66</v>
      </c>
      <c r="J8" s="35" t="s">
        <v>35</v>
      </c>
    </row>
    <row r="9" spans="1:17" x14ac:dyDescent="0.2">
      <c r="B9" s="13" t="str">
        <f t="array" ref="B9:B14">'Modelo ICX cruzada'!B49:B54</f>
        <v>Equipo de transporte (Switch)</v>
      </c>
      <c r="C9" s="88">
        <f>'Modelo ICX cruzada'!E22</f>
        <v>1</v>
      </c>
      <c r="E9" s="54">
        <f>8000*'Modelo ICX cruzada'!$F$31</f>
        <v>8000</v>
      </c>
      <c r="F9" s="29">
        <v>0.25</v>
      </c>
      <c r="G9" s="30">
        <f t="array" ref="G9:G12">C9:C12*E9:E12</f>
        <v>8000</v>
      </c>
      <c r="H9" s="55">
        <v>7</v>
      </c>
      <c r="I9" s="56">
        <f>+(G9*wacc)/(1-(1+wacc)^-(H9))</f>
        <v>1576.4465792254516</v>
      </c>
      <c r="J9" s="14" t="s">
        <v>105</v>
      </c>
      <c r="L9" s="2"/>
      <c r="M9" s="2"/>
      <c r="N9" s="58"/>
    </row>
    <row r="10" spans="1:17" x14ac:dyDescent="0.2">
      <c r="B10" s="13" t="str">
        <v>DFO pequeño</v>
      </c>
      <c r="C10" s="88">
        <f>'Modelo ICX cruzada'!E23</f>
        <v>1</v>
      </c>
      <c r="E10" s="28">
        <f>70*6</f>
        <v>420</v>
      </c>
      <c r="F10" s="29">
        <v>0.25</v>
      </c>
      <c r="G10" s="30">
        <v>420</v>
      </c>
      <c r="H10" s="55">
        <v>7</v>
      </c>
      <c r="I10" s="56">
        <f>+(G10*wacc)/(1-(1+wacc)^-(H10))</f>
        <v>82.763445409336214</v>
      </c>
      <c r="J10" s="14" t="s">
        <v>106</v>
      </c>
      <c r="L10" s="2"/>
      <c r="N10" s="59"/>
    </row>
    <row r="11" spans="1:17" x14ac:dyDescent="0.2">
      <c r="B11" s="13" t="str">
        <v>Demarcador (switch)</v>
      </c>
      <c r="C11" s="88">
        <f>'Modelo ICX cruzada'!E24</f>
        <v>2</v>
      </c>
      <c r="E11" s="54">
        <f>3000*'Modelo ICX cruzada'!$F$31</f>
        <v>3000</v>
      </c>
      <c r="F11" s="29">
        <v>0.25</v>
      </c>
      <c r="G11" s="30">
        <v>6000</v>
      </c>
      <c r="H11" s="55">
        <v>7</v>
      </c>
      <c r="I11" s="56">
        <f>+(G11*wacc)/(1-(1+wacc)^-(H11))</f>
        <v>1182.3349344190888</v>
      </c>
      <c r="J11" s="14" t="s">
        <v>107</v>
      </c>
      <c r="L11" s="2"/>
    </row>
    <row r="12" spans="1:17" x14ac:dyDescent="0.2">
      <c r="B12" s="13" t="str">
        <v>Jumper óptico</v>
      </c>
      <c r="C12" s="88">
        <f>'Modelo ICX cruzada'!E25</f>
        <v>2</v>
      </c>
      <c r="E12" s="28">
        <v>45</v>
      </c>
      <c r="F12" s="29">
        <v>0</v>
      </c>
      <c r="G12" s="30">
        <v>90</v>
      </c>
      <c r="H12" s="55">
        <v>7</v>
      </c>
      <c r="I12" s="56">
        <f>+(G12*wacc)/(1-(1+wacc)^-(H12))</f>
        <v>17.735024016286332</v>
      </c>
      <c r="J12" s="14" t="s">
        <v>108</v>
      </c>
      <c r="L12" s="2"/>
    </row>
    <row r="13" spans="1:17" x14ac:dyDescent="0.2">
      <c r="B13" s="31" t="str">
        <v>Cable óptico</v>
      </c>
      <c r="E13" s="61">
        <v>3.5</v>
      </c>
      <c r="H13" s="55">
        <v>25</v>
      </c>
      <c r="I13" s="57">
        <f>+(E13*wacc)/(1-(1+wacc)^-(H13))</f>
        <v>0.34925520949695332</v>
      </c>
      <c r="J13" s="14" t="s">
        <v>109</v>
      </c>
      <c r="L13" s="2"/>
    </row>
    <row r="14" spans="1:17" x14ac:dyDescent="0.2">
      <c r="B14" s="13" t="str">
        <v>Escalerilla</v>
      </c>
      <c r="D14" s="32">
        <v>622.13</v>
      </c>
      <c r="E14" s="52">
        <f t="array" ref="E14">D14/tasa.cambio.mxn.usd</f>
        <v>33.346195391257346</v>
      </c>
      <c r="J14" s="14" t="s">
        <v>80</v>
      </c>
      <c r="L14" s="2"/>
    </row>
    <row r="15" spans="1:17" x14ac:dyDescent="0.2">
      <c r="J15" s="2"/>
    </row>
    <row r="16" spans="1:17" x14ac:dyDescent="0.2">
      <c r="B16" s="34" t="s">
        <v>57</v>
      </c>
      <c r="C16" s="52">
        <f>SUM(G9:G12)</f>
        <v>14510</v>
      </c>
      <c r="D16" s="13" t="s">
        <v>77</v>
      </c>
      <c r="J16" s="2"/>
    </row>
    <row r="17" spans="1:17" x14ac:dyDescent="0.2">
      <c r="B17" s="34" t="s">
        <v>59</v>
      </c>
      <c r="C17" s="52">
        <f>C16/numero.de.operadores</f>
        <v>7255</v>
      </c>
      <c r="D17" s="13" t="s">
        <v>77</v>
      </c>
      <c r="J17" s="2"/>
    </row>
    <row r="18" spans="1:17" x14ac:dyDescent="0.2">
      <c r="B18" s="34" t="s">
        <v>60</v>
      </c>
      <c r="C18" s="51">
        <f>E13</f>
        <v>3.5</v>
      </c>
      <c r="D18" s="13" t="s">
        <v>77</v>
      </c>
    </row>
    <row r="19" spans="1:17" x14ac:dyDescent="0.2">
      <c r="B19" s="34" t="s">
        <v>58</v>
      </c>
      <c r="C19" s="51">
        <f>E14</f>
        <v>33.346195391257346</v>
      </c>
      <c r="D19" s="13" t="s">
        <v>77</v>
      </c>
    </row>
    <row r="20" spans="1:17" x14ac:dyDescent="0.2">
      <c r="H20" s="2"/>
    </row>
    <row r="21" spans="1:17" ht="15.75" thickBot="1" x14ac:dyDescent="0.25">
      <c r="A21" s="50"/>
      <c r="B21" s="50" t="s">
        <v>33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3" spans="1:17" s="23" customFormat="1" ht="24" x14ac:dyDescent="0.2">
      <c r="C23" s="63" t="s">
        <v>39</v>
      </c>
      <c r="D23" s="64" t="s">
        <v>88</v>
      </c>
      <c r="E23" s="63" t="s">
        <v>37</v>
      </c>
      <c r="F23" s="63" t="s">
        <v>79</v>
      </c>
      <c r="G23" s="63" t="s">
        <v>81</v>
      </c>
      <c r="H23" s="65" t="s">
        <v>35</v>
      </c>
    </row>
    <row r="24" spans="1:17" x14ac:dyDescent="0.2">
      <c r="B24" s="13" t="str">
        <f t="array" ref="B24:B29">'Modelo ICX cruzada'!B65:B70</f>
        <v>Equipo de transporte (Switch)</v>
      </c>
      <c r="C24" s="42">
        <f t="array" ref="C24:C27">C9:C12</f>
        <v>1</v>
      </c>
      <c r="D24" s="33"/>
      <c r="E24" s="29">
        <v>0.1</v>
      </c>
      <c r="F24" s="30">
        <f>(G9*E24)</f>
        <v>800</v>
      </c>
      <c r="G24" s="58">
        <f>F24/12</f>
        <v>66.666666666666671</v>
      </c>
      <c r="H24" s="14" t="s">
        <v>110</v>
      </c>
    </row>
    <row r="25" spans="1:17" x14ac:dyDescent="0.2">
      <c r="B25" s="13" t="str">
        <v>DFO pequeño</v>
      </c>
      <c r="C25" s="42">
        <v>1</v>
      </c>
      <c r="D25" s="33"/>
      <c r="E25" s="29">
        <v>0.1</v>
      </c>
      <c r="F25" s="30">
        <f t="shared" ref="F25:F27" si="0">(G10*E25)</f>
        <v>42</v>
      </c>
      <c r="G25" s="58">
        <f t="shared" ref="G25:G27" si="1">F25/12</f>
        <v>3.5</v>
      </c>
      <c r="H25" s="14" t="s">
        <v>110</v>
      </c>
    </row>
    <row r="26" spans="1:17" x14ac:dyDescent="0.2">
      <c r="B26" s="13" t="str">
        <v>Demarcador (switch)</v>
      </c>
      <c r="C26" s="42">
        <v>2</v>
      </c>
      <c r="D26" s="33"/>
      <c r="E26" s="29">
        <v>0.1</v>
      </c>
      <c r="F26" s="30">
        <f t="shared" si="0"/>
        <v>600</v>
      </c>
      <c r="G26" s="58">
        <f t="shared" si="1"/>
        <v>50</v>
      </c>
      <c r="H26" s="14" t="s">
        <v>110</v>
      </c>
    </row>
    <row r="27" spans="1:17" x14ac:dyDescent="0.2">
      <c r="B27" s="13" t="str">
        <v>Jumper óptico</v>
      </c>
      <c r="C27" s="42">
        <v>2</v>
      </c>
      <c r="E27" s="29">
        <v>0.1</v>
      </c>
      <c r="F27" s="30">
        <f t="shared" si="0"/>
        <v>9</v>
      </c>
      <c r="G27" s="58">
        <f t="shared" si="1"/>
        <v>0.75</v>
      </c>
      <c r="H27" s="14" t="s">
        <v>110</v>
      </c>
    </row>
    <row r="28" spans="1:17" x14ac:dyDescent="0.2">
      <c r="B28" s="31" t="str">
        <v>Cable óptico</v>
      </c>
      <c r="E28" s="29">
        <v>0.02</v>
      </c>
      <c r="F28" s="60">
        <f>(E13*E28)</f>
        <v>7.0000000000000007E-2</v>
      </c>
      <c r="G28" s="60">
        <f>F28/12</f>
        <v>5.8333333333333336E-3</v>
      </c>
      <c r="H28" s="14" t="s">
        <v>110</v>
      </c>
    </row>
    <row r="29" spans="1:17" x14ac:dyDescent="0.2">
      <c r="B29" s="13" t="str">
        <v>Escalerilla</v>
      </c>
      <c r="D29" s="32">
        <v>11.93</v>
      </c>
      <c r="G29" s="52">
        <f t="array" ref="G29">D29/tasa.cambio.mxn.usd</f>
        <v>0.63944852525629714</v>
      </c>
      <c r="H29" s="14" t="s">
        <v>80</v>
      </c>
    </row>
    <row r="31" spans="1:17" x14ac:dyDescent="0.2">
      <c r="B31" s="34" t="s">
        <v>73</v>
      </c>
      <c r="C31" s="52">
        <f>SUM(G24:G27)</f>
        <v>120.91666666666667</v>
      </c>
      <c r="D31" s="13" t="s">
        <v>78</v>
      </c>
    </row>
    <row r="32" spans="1:17" x14ac:dyDescent="0.2">
      <c r="B32" s="34" t="s">
        <v>59</v>
      </c>
      <c r="C32" s="52">
        <f>C31/numero.de.operadores</f>
        <v>60.458333333333336</v>
      </c>
      <c r="D32" s="13" t="s">
        <v>78</v>
      </c>
    </row>
    <row r="33" spans="1:17" x14ac:dyDescent="0.2">
      <c r="B33" s="34" t="s">
        <v>82</v>
      </c>
      <c r="C33" s="51">
        <f>G28</f>
        <v>5.8333333333333336E-3</v>
      </c>
      <c r="D33" s="13" t="s">
        <v>78</v>
      </c>
    </row>
    <row r="34" spans="1:17" x14ac:dyDescent="0.2">
      <c r="B34" s="34" t="s">
        <v>83</v>
      </c>
      <c r="C34" s="51">
        <f>G29</f>
        <v>0.63944852525629714</v>
      </c>
      <c r="D34" s="13" t="s">
        <v>78</v>
      </c>
    </row>
    <row r="37" spans="1:17" ht="15.75" thickBot="1" x14ac:dyDescent="0.25">
      <c r="A37" s="50"/>
      <c r="B37" s="50" t="s">
        <v>96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9" spans="1:17" x14ac:dyDescent="0.2">
      <c r="B39" s="13" t="s">
        <v>97</v>
      </c>
      <c r="D39" s="87">
        <v>-0.03</v>
      </c>
      <c r="E39" s="14" t="s">
        <v>99</v>
      </c>
    </row>
    <row r="40" spans="1:17" x14ac:dyDescent="0.2">
      <c r="B40" s="13" t="s">
        <v>98</v>
      </c>
      <c r="D40" s="87">
        <v>2.5000000000000001E-2</v>
      </c>
      <c r="E40" s="14" t="s">
        <v>100</v>
      </c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S</vt:lpstr>
      <vt:lpstr>Resultados</vt:lpstr>
      <vt:lpstr>Modelo ICX cruzada</vt:lpstr>
      <vt:lpstr>Costos asociados</vt:lpstr>
      <vt:lpstr>inflaccion</vt:lpstr>
      <vt:lpstr>numero.de.interconexiones</vt:lpstr>
      <vt:lpstr>numero.de.operadores</vt:lpstr>
      <vt:lpstr>tasa.cambio.mxn.usd</vt:lpstr>
      <vt:lpstr>tendencia.equipamiento</vt:lpstr>
      <vt:lpstr>tendencia.opex</vt:lpstr>
      <vt:lpstr>wacc</vt:lpstr>
    </vt:vector>
  </TitlesOfParts>
  <Manager>-</Manager>
  <Company>Analysys Mason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GUILLERMO FERNANDEZ CASTELLANOS</dc:creator>
  <cp:lastModifiedBy>Usuario de Windows</cp:lastModifiedBy>
  <cp:lastPrinted>2010-04-20T10:31:05Z</cp:lastPrinted>
  <dcterms:created xsi:type="dcterms:W3CDTF">1997-01-23T15:12:23Z</dcterms:created>
  <dcterms:modified xsi:type="dcterms:W3CDTF">2019-10-24T17:41:13Z</dcterms:modified>
</cp:coreProperties>
</file>