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Users\veronica.gomez\Desktop\Modelos de Costos 2020\"/>
    </mc:Choice>
  </mc:AlternateContent>
  <bookViews>
    <workbookView xWindow="12180" yWindow="105" windowWidth="4590" windowHeight="5970" activeTab="1"/>
  </bookViews>
  <sheets>
    <sheet name="S" sheetId="47" r:id="rId1"/>
    <sheet name="Resultados" sheetId="53" r:id="rId2"/>
    <sheet name="Cálculos --&gt;" sheetId="57" r:id="rId3"/>
    <sheet name="Datos de entrada" sheetId="49" r:id="rId4"/>
    <sheet name="Actividades" sheetId="51" r:id="rId5"/>
    <sheet name="Costos anualizados" sheetId="52" r:id="rId6"/>
  </sheets>
  <externalReferences>
    <externalReference r:id="rId7"/>
  </externalReferences>
  <definedNames>
    <definedName name="_AMO_UniqueIdentifier" hidden="1">"'0c55d040-07ac-4550-be75-6bb1aa348f13'"</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p51" localSheetId="2" hidden="1">{"MG-2002-F1",#N/A,FALSE,"PPU-Telemig";"MG-2002-F2",#N/A,FALSE,"PPU-Telemig";"MG-2002-F3",#N/A,FALSE,"PPU-Telemig";"MG-2002-F4",#N/A,FALSE,"PPU-Telemig";"MG-2003-F1",#N/A,FALSE,"PPU-Telemig";"MG-2004-F1",#N/A,FALSE,"PPU-Telemig"}</definedName>
    <definedName name="_p51" hidden="1">{"MG-2002-F1",#N/A,FALSE,"PPU-Telemig";"MG-2002-F2",#N/A,FALSE,"PPU-Telemig";"MG-2002-F3",#N/A,FALSE,"PPU-Telemig";"MG-2002-F4",#N/A,FALSE,"PPU-Telemig";"MG-2003-F1",#N/A,FALSE,"PPU-Telemig";"MG-2004-F1",#N/A,FALSE,"PPU-Telemig"}</definedName>
    <definedName name="_Regression_Int" hidden="1">1</definedName>
    <definedName name="_Sort" localSheetId="2" hidden="1">'[1]SOPOCTprod-pagos99'!#REF!</definedName>
    <definedName name="_Sort" hidden="1">'[1]SOPOCTprod-pagos99'!#REF!</definedName>
    <definedName name="a" hidden="1">#REF!</definedName>
    <definedName name="AccessDatabase" hidden="1">"C:\Mis documentos\Plan99_Ad\CALCULOB2.mdb"</definedName>
    <definedName name="anscount" hidden="1">1</definedName>
    <definedName name="ARE" localSheetId="2" hidden="1">{"MG-2002-F1",#N/A,FALSE,"PPU-Telemig";"MG-2002-F2",#N/A,FALSE,"PPU-Telemig";"MG-2002-F3",#N/A,FALSE,"PPU-Telemig";"MG-2002-F4",#N/A,FALSE,"PPU-Telemig";"MG-2003-F1",#N/A,FALSE,"PPU-Telemig";"MG-2004-F1",#N/A,FALSE,"PPU-Telemig"}</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ReportLS" hidden="1">1</definedName>
    <definedName name="AS2SyncStepLS" hidden="1">0</definedName>
    <definedName name="AS2TickmarkLS" localSheetId="2" hidden="1">#REF!</definedName>
    <definedName name="AS2TickmarkLS" hidden="1">#REF!</definedName>
    <definedName name="AS2VersionLS" hidden="1">300</definedName>
    <definedName name="ASFDA" localSheetId="2" hidden="1">{"MG-2002-F1",#N/A,FALSE,"PPU-Telemig";"MG-2002-F2",#N/A,FALSE,"PPU-Telemig";"MG-2002-F3",#N/A,FALSE,"PPU-Telemig";"MG-2002-F4",#N/A,FALSE,"PPU-Telemig";"MG-2003-F1",#N/A,FALSE,"PPU-Telemig";"MG-2004-F1",#N/A,FALSE,"PPU-Telemig"}</definedName>
    <definedName name="ASFDA" hidden="1">{"MG-2002-F1",#N/A,FALSE,"PPU-Telemig";"MG-2002-F2",#N/A,FALSE,"PPU-Telemig";"MG-2002-F3",#N/A,FALSE,"PPU-Telemig";"MG-2002-F4",#N/A,FALSE,"PPU-Telemig";"MG-2003-F1",#N/A,FALSE,"PPU-Telemig";"MG-2004-F1",#N/A,FALSE,"PPU-Telemig"}</definedName>
    <definedName name="BG_Del" hidden="1">15</definedName>
    <definedName name="BG_Ins" hidden="1">4</definedName>
    <definedName name="BG_Mod" hidden="1">6</definedName>
    <definedName name="billion">1000000000</definedName>
    <definedName name="bit.conversion">1024</definedName>
    <definedName name="bit.per.byte">8</definedName>
    <definedName name="capacidad_billing">Actividades!$J$8</definedName>
    <definedName name="capacidad_CRM">Actividades!$J$14</definedName>
    <definedName name="capacidad_equipo_impresion">Actividades!$J$53</definedName>
    <definedName name="capacidad_equipo_sobreteo">Actividades!$J$65</definedName>
    <definedName name="cell.pi">2.6</definedName>
    <definedName name="comision_media">Actividades!$H$133</definedName>
    <definedName name="comision_media_2020">Actividades!$H$152</definedName>
    <definedName name="costo_anual_equipo_impresion">Actividades!$H$75</definedName>
    <definedName name="costo_anual_equipo_sobreteo">Actividades!$H$76</definedName>
    <definedName name="costo_billing">Actividades!$H$8</definedName>
    <definedName name="costo_CRM">Actividades!$H$14</definedName>
    <definedName name="costo_por_copia_color">Actividades!$H$57</definedName>
    <definedName name="costo_por_FTE">Actividades!$H$82</definedName>
    <definedName name="costo_renting_equipo_impresion">Actividades!$H$54</definedName>
    <definedName name="costo_renting_equipo_sobreteo">Actividades!$H$66</definedName>
    <definedName name="costo_tienda_telmex">Actividades!$H$109</definedName>
    <definedName name="days.per.month">30.42</definedName>
    <definedName name="days.per.year">365</definedName>
    <definedName name="discount_rate_divider">'Datos de entrada'!$J$30:$BG$30</definedName>
    <definedName name="DME_Dirty" hidden="1">"False"</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psilon">0.000001</definedName>
    <definedName name="factor_utilizacion_billing">Actividades!$H$10</definedName>
    <definedName name="factor_utilizacion_CRM">Actividades!$H$16</definedName>
    <definedName name="factor_utilizacion_equipo_impresion">Actividades!$H$61</definedName>
    <definedName name="factor_utilizacion_equipo_sobreteo">Actividades!$H$69</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olios_por_recibo">Actividades!$H$84</definedName>
    <definedName name="franqueo">Actividades!$H$21</definedName>
    <definedName name="FSA" localSheetId="2" hidden="1">{"MG-2002-F1",#N/A,FALSE,"PPU-Telemig";"MG-2002-F2",#N/A,FALSE,"PPU-Telemig";"MG-2002-F3",#N/A,FALSE,"PPU-Telemig";"MG-2002-F4",#N/A,FALSE,"PPU-Telemig";"MG-2003-F1",#N/A,FALSE,"PPU-Telemig";"MG-2004-F1",#N/A,FALSE,"PPU-Telemig"}</definedName>
    <definedName name="FSA" hidden="1">{"MG-2002-F1",#N/A,FALSE,"PPU-Telemig";"MG-2002-F2",#N/A,FALSE,"PPU-Telemig";"MG-2002-F3",#N/A,FALSE,"PPU-Telemig";"MG-2002-F4",#N/A,FALSE,"PPU-Telemig";"MG-2003-F1",#N/A,FALSE,"PPU-Telemig";"MG-2004-F1",#N/A,FALSE,"PPU-Telemig"}</definedName>
    <definedName name="FTE_por_equipo">Actividades!$H$81</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hours.per.day">24</definedName>
    <definedName name="Líder">"a_3"</definedName>
    <definedName name="million">1000000</definedName>
    <definedName name="minutes.per.hour">60</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nlogo">"Image 69"</definedName>
    <definedName name="months.per.year">12</definedName>
    <definedName name="ÑJÑL" localSheetId="2" hidden="1">Main.SAPF4Help()</definedName>
    <definedName name="ÑJÑL" hidden="1">Main.SAPF4Help()</definedName>
    <definedName name="opex_billing">Actividades!$H$11</definedName>
    <definedName name="opex_CRM">Actividades!$H$17</definedName>
    <definedName name="precio.folio">Actividades!$H$36</definedName>
    <definedName name="precio.sobre">Actividades!$H$48</definedName>
    <definedName name="promedio_usuarios_fijos">'Datos de entrada'!$J$8:$BG$8</definedName>
    <definedName name="recibo_promedio">'Datos de entrada'!$J$12:$BG$12</definedName>
    <definedName name="recibos_ano">Actividades!$F$3</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en" localSheetId="2" hidden="1">Main.SAPF4Help()</definedName>
    <definedName name="resumen" hidden="1">Main.SAPF4Help()</definedName>
    <definedName name="RR" localSheetId="2"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SAP" localSheetId="2" hidden="1">Main.SAPF4Help()</definedName>
    <definedName name="SAP" hidden="1">Main.SAPF4Help()</definedName>
    <definedName name="SAPBEXdnldView" hidden="1">"3UCLXGX5U860E2OHQHIF1OFNZ"</definedName>
    <definedName name="SAPBEXrevision" hidden="1">1</definedName>
    <definedName name="SAPBEXsysID" hidden="1">"BIP"</definedName>
    <definedName name="SAPBEXwbID" hidden="1">"44TPQ9003VV6KHYAEWIYD8BPR"</definedName>
    <definedName name="SAPFuncF4Help" localSheetId="2" hidden="1">Main.SAPF4Help()</definedName>
    <definedName name="SAPFuncF4Help" hidden="1">Main.SAPF4Help()</definedName>
    <definedName name="SAPFuncF5Help" localSheetId="2" hidden="1">Main.SAPF4Help()</definedName>
    <definedName name="SAPFuncF5Help" hidden="1">Main.SAPF4Help()</definedName>
    <definedName name="seconds.per.hour">3600</definedName>
    <definedName name="seconds.per.minute">60</definedName>
    <definedName name="thousand">1000</definedName>
    <definedName name="tiempo_cobranza">Actividades!$H$111</definedName>
    <definedName name="tiendas_telmex">Actividades!$H$110</definedName>
    <definedName name="total_tiendas_Telmex">Actividades!$H$121</definedName>
    <definedName name="vida_billing">Actividades!$H$9</definedName>
    <definedName name="vida_CRM">Actividades!$H$15</definedName>
    <definedName name="vida_equipo_impresion">Actividades!$H$60</definedName>
    <definedName name="vida_equipo_sobreteo">Actividades!$H$68</definedName>
    <definedName name="vtas" localSheetId="2" hidden="1">Main.SAPF4Help()</definedName>
    <definedName name="vtas" hidden="1">Main.SAPF4Help()</definedName>
    <definedName name="we" localSheetId="2" hidden="1">{"MG-2002-F1",#N/A,FALSE,"PPU-Telemig";"MG-2002-F2",#N/A,FALSE,"PPU-Telemig";"MG-2002-F3",#N/A,FALSE,"PPU-Telemig";"MG-2002-F4",#N/A,FALSE,"PPU-Telemig";"MG-2003-F1",#N/A,FALSE,"PPU-Telemig";"MG-2004-F1",#N/A,FALSE,"PPU-Telemig"}</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Y" localSheetId="2" hidden="1">Main.SAPF4Help()</definedName>
    <definedName name="Y" hidden="1">Main.SAPF4Help()</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50" i="51" l="1"/>
  <c r="E131" i="51"/>
  <c r="G150" i="51"/>
  <c r="G149" i="51"/>
  <c r="G148" i="51"/>
  <c r="F148" i="51"/>
  <c r="F147" i="51"/>
  <c r="E147" i="51"/>
  <c r="E142" i="51"/>
  <c r="G141" i="51"/>
  <c r="H140" i="51"/>
  <c r="H139" i="51"/>
  <c r="F139" i="51"/>
  <c r="H138" i="51"/>
  <c r="F120" i="51"/>
  <c r="H152" i="51" l="1"/>
  <c r="E141" i="51"/>
  <c r="H141" i="51" s="1"/>
  <c r="H142" i="51" s="1"/>
  <c r="X123" i="52" l="1"/>
  <c r="AR123" i="52"/>
  <c r="U123" i="52"/>
  <c r="Y123" i="52"/>
  <c r="AC123" i="52"/>
  <c r="AG123" i="52"/>
  <c r="AK123" i="52"/>
  <c r="AO123" i="52"/>
  <c r="AS123" i="52"/>
  <c r="AW123" i="52"/>
  <c r="BA123" i="52"/>
  <c r="W123" i="52"/>
  <c r="AE123" i="52"/>
  <c r="AM123" i="52"/>
  <c r="AU123" i="52"/>
  <c r="AF123" i="52"/>
  <c r="AJ123" i="52"/>
  <c r="AV123" i="52"/>
  <c r="V123" i="52"/>
  <c r="Z123" i="52"/>
  <c r="AD123" i="52"/>
  <c r="AH123" i="52"/>
  <c r="AL123" i="52"/>
  <c r="AP123" i="52"/>
  <c r="AT123" i="52"/>
  <c r="AX123" i="52"/>
  <c r="T123" i="52"/>
  <c r="AA123" i="52"/>
  <c r="AI123" i="52"/>
  <c r="AQ123" i="52"/>
  <c r="AY123" i="52"/>
  <c r="AB123" i="52"/>
  <c r="AN123" i="52"/>
  <c r="AZ123" i="52"/>
  <c r="K16" i="49" l="1"/>
  <c r="J16" i="49"/>
  <c r="L16" i="49"/>
  <c r="M16" i="49"/>
  <c r="N16" i="49"/>
  <c r="O16" i="49"/>
  <c r="V24" i="49"/>
  <c r="P18" i="49" l="1"/>
  <c r="P16" i="49" l="1"/>
  <c r="P23" i="49" s="1"/>
  <c r="O28" i="49" l="1"/>
  <c r="O30" i="49"/>
  <c r="O115" i="52" l="1"/>
  <c r="F64" i="52"/>
  <c r="F63" i="52"/>
  <c r="F28" i="52"/>
  <c r="F27" i="52"/>
  <c r="F26" i="52"/>
  <c r="F25" i="52"/>
  <c r="O10" i="52"/>
  <c r="O9" i="52"/>
  <c r="O116" i="52"/>
  <c r="H82" i="51"/>
  <c r="O69" i="52" s="1"/>
  <c r="H121" i="51"/>
  <c r="H119" i="51"/>
  <c r="O81" i="52"/>
  <c r="J78" i="52"/>
  <c r="K78" i="52"/>
  <c r="L78" i="52"/>
  <c r="M78" i="52"/>
  <c r="N78" i="52"/>
  <c r="O78" i="52"/>
  <c r="P78" i="52"/>
  <c r="Q78" i="52"/>
  <c r="R78" i="52"/>
  <c r="S78" i="52"/>
  <c r="T78" i="52"/>
  <c r="U78" i="52"/>
  <c r="V78" i="52"/>
  <c r="W78" i="52"/>
  <c r="X78" i="52"/>
  <c r="Y78" i="52"/>
  <c r="Z78" i="52"/>
  <c r="AA78" i="52"/>
  <c r="AB78" i="52"/>
  <c r="AC78" i="52"/>
  <c r="AD78" i="52"/>
  <c r="AE78" i="52"/>
  <c r="AF78" i="52"/>
  <c r="AG78" i="52"/>
  <c r="AH78" i="52"/>
  <c r="AI78" i="52"/>
  <c r="AJ78" i="52"/>
  <c r="AK78" i="52"/>
  <c r="AL78" i="52"/>
  <c r="AM78" i="52"/>
  <c r="AN78" i="52"/>
  <c r="AO78" i="52"/>
  <c r="AP78" i="52"/>
  <c r="AQ78" i="52"/>
  <c r="AR78" i="52"/>
  <c r="AS78" i="52"/>
  <c r="AT78" i="52"/>
  <c r="AU78" i="52"/>
  <c r="AV78" i="52"/>
  <c r="AW78" i="52"/>
  <c r="AX78" i="52"/>
  <c r="AY78" i="52"/>
  <c r="AZ78" i="52"/>
  <c r="BA78" i="52"/>
  <c r="BB78" i="52"/>
  <c r="BC78" i="52"/>
  <c r="BD78" i="52"/>
  <c r="BE78" i="52"/>
  <c r="BF78" i="52"/>
  <c r="BG78" i="52"/>
  <c r="J79" i="52"/>
  <c r="K79" i="52"/>
  <c r="L79" i="52"/>
  <c r="M79" i="52"/>
  <c r="N79" i="52"/>
  <c r="O79" i="52"/>
  <c r="P79" i="52"/>
  <c r="Q79" i="52"/>
  <c r="R79" i="52"/>
  <c r="S79" i="52"/>
  <c r="T79" i="52"/>
  <c r="U79" i="52"/>
  <c r="V79" i="52"/>
  <c r="W79" i="52"/>
  <c r="X79" i="52"/>
  <c r="Y79" i="52"/>
  <c r="Z79" i="52"/>
  <c r="AA79" i="52"/>
  <c r="AB79" i="52"/>
  <c r="AC79" i="52"/>
  <c r="AD79" i="52"/>
  <c r="AE79" i="52"/>
  <c r="AF79" i="52"/>
  <c r="AG79" i="52"/>
  <c r="AH79" i="52"/>
  <c r="AI79" i="52"/>
  <c r="AJ79" i="52"/>
  <c r="AK79" i="52"/>
  <c r="AL79" i="52"/>
  <c r="AM79" i="52"/>
  <c r="AN79" i="52"/>
  <c r="AO79" i="52"/>
  <c r="AP79" i="52"/>
  <c r="AQ79" i="52"/>
  <c r="AR79" i="52"/>
  <c r="AS79" i="52"/>
  <c r="AT79" i="52"/>
  <c r="AU79" i="52"/>
  <c r="AV79" i="52"/>
  <c r="AW79" i="52"/>
  <c r="AX79" i="52"/>
  <c r="AY79" i="52"/>
  <c r="AZ79" i="52"/>
  <c r="BA79" i="52"/>
  <c r="BB79" i="52"/>
  <c r="BC79" i="52"/>
  <c r="BD79" i="52"/>
  <c r="BE79" i="52"/>
  <c r="BF79" i="52"/>
  <c r="BG79" i="52"/>
  <c r="O70" i="52"/>
  <c r="P72" i="52"/>
  <c r="Q72" i="52" s="1"/>
  <c r="R72" i="52" s="1"/>
  <c r="S72" i="52" s="1"/>
  <c r="N72" i="52"/>
  <c r="M72" i="52" s="1"/>
  <c r="L72" i="52" s="1"/>
  <c r="K72" i="52" s="1"/>
  <c r="J72" i="52" s="1"/>
  <c r="V71" i="52"/>
  <c r="W71" i="52" s="1"/>
  <c r="N69" i="52" l="1"/>
  <c r="N70" i="52"/>
  <c r="K70" i="52"/>
  <c r="R70" i="52"/>
  <c r="S70" i="52"/>
  <c r="L70" i="52"/>
  <c r="O90" i="52"/>
  <c r="P81" i="52"/>
  <c r="N81" i="52"/>
  <c r="Q70" i="52"/>
  <c r="M70" i="52"/>
  <c r="P70" i="52"/>
  <c r="J70" i="52"/>
  <c r="T72" i="52"/>
  <c r="U72" i="52" l="1"/>
  <c r="V72" i="52" s="1"/>
  <c r="W72" i="52" s="1"/>
  <c r="W70" i="52" s="1"/>
  <c r="U70" i="52"/>
  <c r="T70" i="52"/>
  <c r="V70" i="52"/>
  <c r="M81" i="52"/>
  <c r="N90" i="52"/>
  <c r="P90" i="52"/>
  <c r="Q81" i="52"/>
  <c r="Q90" i="52" l="1"/>
  <c r="R81" i="52"/>
  <c r="M90" i="52"/>
  <c r="L81" i="52"/>
  <c r="S81" i="52" l="1"/>
  <c r="R90" i="52"/>
  <c r="L90" i="52"/>
  <c r="K81" i="52"/>
  <c r="K90" i="52" l="1"/>
  <c r="J81" i="52"/>
  <c r="J90" i="52" s="1"/>
  <c r="S90" i="52"/>
  <c r="T81" i="52"/>
  <c r="T90" i="52" l="1"/>
  <c r="U81" i="52"/>
  <c r="U90" i="52" l="1"/>
  <c r="V81" i="52"/>
  <c r="V90" i="52" l="1"/>
  <c r="W81" i="52"/>
  <c r="W90" i="52" l="1"/>
  <c r="X81" i="52"/>
  <c r="Y81" i="52" l="1"/>
  <c r="Z81" i="52" l="1"/>
  <c r="AA81" i="52" l="1"/>
  <c r="AB81" i="52" l="1"/>
  <c r="AC81" i="52" l="1"/>
  <c r="AD81" i="52" l="1"/>
  <c r="AE81" i="52" l="1"/>
  <c r="AF81" i="52" l="1"/>
  <c r="AG81" i="52" l="1"/>
  <c r="AH81" i="52" l="1"/>
  <c r="AI81" i="52" l="1"/>
  <c r="AJ81" i="52" l="1"/>
  <c r="AK81" i="52" l="1"/>
  <c r="AL81" i="52" l="1"/>
  <c r="AM81" i="52" l="1"/>
  <c r="AN81" i="52" l="1"/>
  <c r="AO81" i="52" l="1"/>
  <c r="AP81" i="52" l="1"/>
  <c r="AQ81" i="52" l="1"/>
  <c r="AR81" i="52" l="1"/>
  <c r="AS81" i="52" l="1"/>
  <c r="AT81" i="52" l="1"/>
  <c r="AU81" i="52" l="1"/>
  <c r="AV81" i="52" l="1"/>
  <c r="AW81" i="52" l="1"/>
  <c r="AX81" i="52" l="1"/>
  <c r="AY81" i="52" l="1"/>
  <c r="AZ81" i="52" l="1"/>
  <c r="BA81" i="52" l="1"/>
  <c r="BB81" i="52" l="1"/>
  <c r="BC81" i="52" l="1"/>
  <c r="BD81" i="52" l="1"/>
  <c r="BE81" i="52" l="1"/>
  <c r="BF81" i="52" l="1"/>
  <c r="BG81" i="52" l="1"/>
  <c r="Z44" i="52" l="1"/>
  <c r="Z43" i="52"/>
  <c r="U43" i="52"/>
  <c r="U44" i="52"/>
  <c r="AO43" i="52"/>
  <c r="AO44" i="52"/>
  <c r="AP44" i="52"/>
  <c r="AP43" i="52"/>
  <c r="AB44" i="52"/>
  <c r="AB43" i="52"/>
  <c r="BF43" i="52"/>
  <c r="BF44" i="52"/>
  <c r="V43" i="52"/>
  <c r="V44" i="52"/>
  <c r="W44" i="52"/>
  <c r="W43" i="52"/>
  <c r="AU44" i="52"/>
  <c r="AU43" i="52"/>
  <c r="AG43" i="52"/>
  <c r="AG44" i="52"/>
  <c r="AD43" i="52"/>
  <c r="AD44" i="52"/>
  <c r="AV44" i="52"/>
  <c r="AV43" i="52"/>
  <c r="AR44" i="52"/>
  <c r="AR43" i="52"/>
  <c r="BB44" i="52"/>
  <c r="BB43" i="52"/>
  <c r="AK43" i="52"/>
  <c r="AK44" i="52"/>
  <c r="BG44" i="52"/>
  <c r="BG43" i="52"/>
  <c r="AS43" i="52"/>
  <c r="AS44" i="52"/>
  <c r="AA44" i="52"/>
  <c r="AA43" i="52"/>
  <c r="AW43" i="52"/>
  <c r="AW44" i="52"/>
  <c r="AI44" i="52"/>
  <c r="AI43" i="52"/>
  <c r="AT43" i="52"/>
  <c r="AT44" i="52"/>
  <c r="AN43" i="52"/>
  <c r="AN44" i="52"/>
  <c r="AZ43" i="52"/>
  <c r="AZ44" i="52"/>
  <c r="AM44" i="52"/>
  <c r="AM43" i="52"/>
  <c r="AH43" i="52"/>
  <c r="AH44" i="52"/>
  <c r="Y43" i="52"/>
  <c r="Y44" i="52"/>
  <c r="AY44" i="52"/>
  <c r="AY43" i="52"/>
  <c r="AX43" i="52"/>
  <c r="AX44" i="52"/>
  <c r="BD44" i="52"/>
  <c r="BD43" i="52"/>
  <c r="BE43" i="52"/>
  <c r="BE44" i="52"/>
  <c r="X44" i="52"/>
  <c r="X43" i="52"/>
  <c r="AQ44" i="52"/>
  <c r="AQ43" i="52"/>
  <c r="BC44" i="52"/>
  <c r="BC43" i="52"/>
  <c r="AL43" i="52"/>
  <c r="AL44" i="52"/>
  <c r="AJ44" i="52"/>
  <c r="AJ43" i="52"/>
  <c r="AC43" i="52"/>
  <c r="AC44" i="52"/>
  <c r="AE44" i="52"/>
  <c r="AE43" i="52"/>
  <c r="AF44" i="52"/>
  <c r="AF43" i="52"/>
  <c r="BA43" i="52"/>
  <c r="BA44" i="52"/>
  <c r="T44" i="52"/>
  <c r="T43" i="52"/>
  <c r="Q43" i="52" l="1"/>
  <c r="Q96" i="52" s="1"/>
  <c r="Q44" i="52"/>
  <c r="Q97" i="52" s="1"/>
  <c r="Q99" i="52" s="1"/>
  <c r="P44" i="52"/>
  <c r="P97" i="52" s="1"/>
  <c r="P99" i="52" s="1"/>
  <c r="P43" i="52"/>
  <c r="P96" i="52" s="1"/>
  <c r="R43" i="52"/>
  <c r="R44" i="52"/>
  <c r="S44" i="52" l="1"/>
  <c r="S43" i="52"/>
  <c r="N16" i="52"/>
  <c r="J15" i="52"/>
  <c r="K15" i="52" s="1"/>
  <c r="L15" i="52" s="1"/>
  <c r="M15" i="52" s="1"/>
  <c r="N15" i="52" s="1"/>
  <c r="P15" i="52"/>
  <c r="Q15" i="52" s="1"/>
  <c r="R15" i="52" s="1"/>
  <c r="S15" i="52" s="1"/>
  <c r="T15" i="52" s="1"/>
  <c r="U15" i="52" s="1"/>
  <c r="V15" i="52" s="1"/>
  <c r="W15" i="52" s="1"/>
  <c r="X15" i="52" s="1"/>
  <c r="Y15" i="52" s="1"/>
  <c r="Z15" i="52" s="1"/>
  <c r="AA15" i="52" s="1"/>
  <c r="AB15" i="52" s="1"/>
  <c r="AC15" i="52" s="1"/>
  <c r="AD15" i="52" s="1"/>
  <c r="AE15" i="52" s="1"/>
  <c r="AF15" i="52" s="1"/>
  <c r="AG15" i="52" s="1"/>
  <c r="AH15" i="52" s="1"/>
  <c r="AI15" i="52" s="1"/>
  <c r="AJ15" i="52" s="1"/>
  <c r="AK15" i="52" s="1"/>
  <c r="AL15" i="52" s="1"/>
  <c r="AM15" i="52" s="1"/>
  <c r="AN15" i="52" s="1"/>
  <c r="AO15" i="52" s="1"/>
  <c r="AP15" i="52" s="1"/>
  <c r="AQ15" i="52" s="1"/>
  <c r="AR15" i="52" s="1"/>
  <c r="AS15" i="52" s="1"/>
  <c r="AT15" i="52" s="1"/>
  <c r="AU15" i="52" s="1"/>
  <c r="AV15" i="52" s="1"/>
  <c r="AW15" i="52" s="1"/>
  <c r="AX15" i="52" s="1"/>
  <c r="AY15" i="52" s="1"/>
  <c r="AZ15" i="52" s="1"/>
  <c r="BA15" i="52" s="1"/>
  <c r="BB15" i="52" s="1"/>
  <c r="BC15" i="52" s="1"/>
  <c r="BD15" i="52" s="1"/>
  <c r="BE15" i="52" s="1"/>
  <c r="BF15" i="52" s="1"/>
  <c r="BG15" i="52" s="1"/>
  <c r="O64" i="52"/>
  <c r="O63" i="52"/>
  <c r="O130" i="52"/>
  <c r="S117" i="52"/>
  <c r="U117" i="52" s="1"/>
  <c r="V117" i="52" s="1"/>
  <c r="W117" i="52" s="1"/>
  <c r="X117" i="52" s="1"/>
  <c r="Y117" i="52" s="1"/>
  <c r="Z117" i="52" s="1"/>
  <c r="AA117" i="52" s="1"/>
  <c r="AB117" i="52" s="1"/>
  <c r="AC117" i="52" s="1"/>
  <c r="AD117" i="52" s="1"/>
  <c r="AE117" i="52" s="1"/>
  <c r="AF117" i="52" s="1"/>
  <c r="AG117" i="52" s="1"/>
  <c r="AH117" i="52" s="1"/>
  <c r="AI117" i="52" s="1"/>
  <c r="AJ117" i="52" s="1"/>
  <c r="AK117" i="52" s="1"/>
  <c r="AL117" i="52" s="1"/>
  <c r="AM117" i="52" s="1"/>
  <c r="AN117" i="52" s="1"/>
  <c r="AO117" i="52" s="1"/>
  <c r="AP117" i="52" s="1"/>
  <c r="AQ117" i="52" s="1"/>
  <c r="AR117" i="52" s="1"/>
  <c r="AS117" i="52" s="1"/>
  <c r="AT117" i="52" s="1"/>
  <c r="AU117" i="52" s="1"/>
  <c r="AV117" i="52" s="1"/>
  <c r="AW117" i="52" s="1"/>
  <c r="AX117" i="52" s="1"/>
  <c r="AY117" i="52" s="1"/>
  <c r="AZ117" i="52" s="1"/>
  <c r="BA117" i="52" s="1"/>
  <c r="BB117" i="52" s="1"/>
  <c r="BC117" i="52" s="1"/>
  <c r="BD117" i="52" s="1"/>
  <c r="BE117" i="52" s="1"/>
  <c r="BF117" i="52" s="1"/>
  <c r="BG117" i="52" s="1"/>
  <c r="N118" i="52"/>
  <c r="N115" i="52" s="1"/>
  <c r="P118" i="52"/>
  <c r="P115" i="52" s="1"/>
  <c r="BC28" i="49"/>
  <c r="BD28" i="49"/>
  <c r="BE28" i="49"/>
  <c r="BF28" i="49"/>
  <c r="BG28" i="49"/>
  <c r="K4" i="52"/>
  <c r="L4" i="52" s="1"/>
  <c r="M4" i="52" s="1"/>
  <c r="N4" i="52" s="1"/>
  <c r="O4" i="52" s="1"/>
  <c r="P4" i="52" s="1"/>
  <c r="Q4" i="52" s="1"/>
  <c r="R4" i="52" s="1"/>
  <c r="S4" i="52" s="1"/>
  <c r="T4" i="52" s="1"/>
  <c r="U4" i="52" s="1"/>
  <c r="V4" i="52" s="1"/>
  <c r="W4" i="52" s="1"/>
  <c r="X4" i="52" s="1"/>
  <c r="Y4" i="52" s="1"/>
  <c r="Z4" i="52" s="1"/>
  <c r="AA4" i="52" s="1"/>
  <c r="AB4" i="52" s="1"/>
  <c r="AC4" i="52" s="1"/>
  <c r="AD4" i="52" s="1"/>
  <c r="AE4" i="52" s="1"/>
  <c r="AF4" i="52" s="1"/>
  <c r="AG4" i="52" s="1"/>
  <c r="AH4" i="52" s="1"/>
  <c r="AI4" i="52" s="1"/>
  <c r="AJ4" i="52" s="1"/>
  <c r="AK4" i="52" s="1"/>
  <c r="AL4" i="52" s="1"/>
  <c r="AM4" i="52" s="1"/>
  <c r="AN4" i="52" s="1"/>
  <c r="AO4" i="52" s="1"/>
  <c r="AP4" i="52" s="1"/>
  <c r="AQ4" i="52" s="1"/>
  <c r="AR4" i="52" s="1"/>
  <c r="AS4" i="52" s="1"/>
  <c r="AT4" i="52" s="1"/>
  <c r="AU4" i="52" s="1"/>
  <c r="AV4" i="52" s="1"/>
  <c r="AW4" i="52" s="1"/>
  <c r="AX4" i="52" s="1"/>
  <c r="AY4" i="52" s="1"/>
  <c r="AZ4" i="52" s="1"/>
  <c r="BA4" i="52" s="1"/>
  <c r="BB4" i="52" s="1"/>
  <c r="BC4" i="52" s="1"/>
  <c r="BD4" i="52" s="1"/>
  <c r="BE4" i="52" s="1"/>
  <c r="BF4" i="52" s="1"/>
  <c r="BG4" i="52" s="1"/>
  <c r="K3" i="52"/>
  <c r="L3" i="52" l="1"/>
  <c r="P63" i="52"/>
  <c r="M63" i="52"/>
  <c r="L63" i="52"/>
  <c r="N63" i="52"/>
  <c r="J63" i="52"/>
  <c r="Q63" i="52"/>
  <c r="K63" i="52"/>
  <c r="W63" i="52"/>
  <c r="U63" i="52"/>
  <c r="S63" i="52"/>
  <c r="T63" i="52"/>
  <c r="V63" i="52"/>
  <c r="R63" i="52"/>
  <c r="M64" i="52"/>
  <c r="N64" i="52"/>
  <c r="P64" i="52"/>
  <c r="T64" i="52"/>
  <c r="L64" i="52"/>
  <c r="Q64" i="52"/>
  <c r="U64" i="52"/>
  <c r="J64" i="52"/>
  <c r="W64" i="52"/>
  <c r="V64" i="52"/>
  <c r="K64" i="52"/>
  <c r="R64" i="52"/>
  <c r="S64" i="52"/>
  <c r="N11" i="52"/>
  <c r="P16" i="52"/>
  <c r="N9" i="52"/>
  <c r="P10" i="52"/>
  <c r="N10" i="52"/>
  <c r="M16" i="52"/>
  <c r="N12" i="52"/>
  <c r="Q118" i="52"/>
  <c r="N116" i="52"/>
  <c r="N130" i="52" s="1"/>
  <c r="P116" i="52"/>
  <c r="P130" i="52" s="1"/>
  <c r="M118" i="52"/>
  <c r="H75" i="51"/>
  <c r="O65" i="52" s="1"/>
  <c r="J28" i="49"/>
  <c r="K28" i="49"/>
  <c r="L28" i="49"/>
  <c r="L118" i="52" l="1"/>
  <c r="L115" i="52" s="1"/>
  <c r="M115" i="52"/>
  <c r="Q116" i="52"/>
  <c r="Q130" i="52" s="1"/>
  <c r="Q115" i="52"/>
  <c r="R65" i="52"/>
  <c r="P65" i="52"/>
  <c r="Q65" i="52"/>
  <c r="K65" i="52"/>
  <c r="T65" i="52"/>
  <c r="U65" i="52"/>
  <c r="S65" i="52"/>
  <c r="L65" i="52"/>
  <c r="J65" i="52"/>
  <c r="M65" i="52"/>
  <c r="N65" i="52"/>
  <c r="V65" i="52"/>
  <c r="W65" i="52"/>
  <c r="U69" i="52"/>
  <c r="Q69" i="52"/>
  <c r="J69" i="52"/>
  <c r="T69" i="52"/>
  <c r="M69" i="52"/>
  <c r="W69" i="52"/>
  <c r="S69" i="52"/>
  <c r="L69" i="52"/>
  <c r="P69" i="52"/>
  <c r="V69" i="52"/>
  <c r="R69" i="52"/>
  <c r="K69" i="52"/>
  <c r="M10" i="52"/>
  <c r="P51" i="52"/>
  <c r="P50" i="52"/>
  <c r="M3" i="52"/>
  <c r="P11" i="52"/>
  <c r="P12" i="52"/>
  <c r="Q16" i="52"/>
  <c r="M12" i="52"/>
  <c r="L16" i="52"/>
  <c r="M11" i="52"/>
  <c r="P9" i="52"/>
  <c r="M9" i="52"/>
  <c r="M116" i="52"/>
  <c r="M130" i="52" s="1"/>
  <c r="L116" i="52"/>
  <c r="L130" i="52" s="1"/>
  <c r="R118" i="52"/>
  <c r="R115" i="52" s="1"/>
  <c r="K118" i="52" l="1"/>
  <c r="K115" i="52" s="1"/>
  <c r="Q50" i="52"/>
  <c r="Q51" i="52"/>
  <c r="N3" i="52"/>
  <c r="L12" i="52"/>
  <c r="L11" i="52"/>
  <c r="K16" i="52"/>
  <c r="L9" i="52"/>
  <c r="L10" i="52"/>
  <c r="Q12" i="52"/>
  <c r="R16" i="52"/>
  <c r="Q11" i="52"/>
  <c r="Q9" i="52"/>
  <c r="Q10" i="52"/>
  <c r="S118" i="52"/>
  <c r="S115" i="52" s="1"/>
  <c r="R116" i="52"/>
  <c r="J118" i="52"/>
  <c r="J115" i="52" s="1"/>
  <c r="K116" i="52"/>
  <c r="K130" i="52" s="1"/>
  <c r="O3" i="52" l="1"/>
  <c r="R11" i="52"/>
  <c r="R12" i="52"/>
  <c r="S16" i="52"/>
  <c r="R9" i="52"/>
  <c r="R10" i="52"/>
  <c r="J16" i="52"/>
  <c r="K11" i="52"/>
  <c r="K9" i="52"/>
  <c r="K12" i="52"/>
  <c r="K10" i="52"/>
  <c r="J116" i="52"/>
  <c r="J130" i="52" s="1"/>
  <c r="T118" i="52"/>
  <c r="T115" i="52" s="1"/>
  <c r="S116" i="52"/>
  <c r="P3" i="52" l="1"/>
  <c r="J11" i="52"/>
  <c r="J12" i="52"/>
  <c r="J9" i="52"/>
  <c r="J10" i="52"/>
  <c r="S11" i="52"/>
  <c r="S12" i="52"/>
  <c r="T16" i="52"/>
  <c r="S9" i="52"/>
  <c r="S10" i="52"/>
  <c r="U118" i="52"/>
  <c r="U115" i="52" s="1"/>
  <c r="T116" i="52"/>
  <c r="Q3" i="52" l="1"/>
  <c r="T9" i="52"/>
  <c r="T12" i="52"/>
  <c r="T11" i="52"/>
  <c r="U16" i="52"/>
  <c r="T10" i="52"/>
  <c r="V118" i="52"/>
  <c r="V115" i="52" s="1"/>
  <c r="U116" i="52"/>
  <c r="R3" i="52" l="1"/>
  <c r="U11" i="52"/>
  <c r="V16" i="52"/>
  <c r="U12" i="52"/>
  <c r="U9" i="52"/>
  <c r="U10" i="52"/>
  <c r="W118" i="52"/>
  <c r="W115" i="52" s="1"/>
  <c r="V116" i="52"/>
  <c r="S3" i="52" l="1"/>
  <c r="V11" i="52"/>
  <c r="V12" i="52"/>
  <c r="W16" i="52"/>
  <c r="V9" i="52"/>
  <c r="V10" i="52"/>
  <c r="X118" i="52"/>
  <c r="X115" i="52" s="1"/>
  <c r="W116" i="52"/>
  <c r="T3" i="52" l="1"/>
  <c r="W11" i="52"/>
  <c r="W12" i="52"/>
  <c r="X16" i="52"/>
  <c r="W10" i="52"/>
  <c r="W9" i="52"/>
  <c r="Y118" i="52"/>
  <c r="Y115" i="52" s="1"/>
  <c r="X116" i="52"/>
  <c r="U3" i="52" l="1"/>
  <c r="X11" i="52"/>
  <c r="X12" i="52"/>
  <c r="Y16" i="52"/>
  <c r="X10" i="52"/>
  <c r="X9" i="52"/>
  <c r="Z118" i="52"/>
  <c r="Z115" i="52" s="1"/>
  <c r="Y116" i="52"/>
  <c r="V3" i="52" l="1"/>
  <c r="Y12" i="52"/>
  <c r="Z16" i="52"/>
  <c r="Y11" i="52"/>
  <c r="Y9" i="52"/>
  <c r="Y10" i="52"/>
  <c r="AA118" i="52"/>
  <c r="AA115" i="52" s="1"/>
  <c r="Z116" i="52"/>
  <c r="W3" i="52" l="1"/>
  <c r="Z11" i="52"/>
  <c r="Z12" i="52"/>
  <c r="AA16" i="52"/>
  <c r="Z9" i="52"/>
  <c r="Z10" i="52"/>
  <c r="AB118" i="52"/>
  <c r="AB115" i="52" s="1"/>
  <c r="AA116" i="52"/>
  <c r="X3" i="52" l="1"/>
  <c r="AA11" i="52"/>
  <c r="AA12" i="52"/>
  <c r="AB16" i="52"/>
  <c r="AA9" i="52"/>
  <c r="AA10" i="52"/>
  <c r="AC118" i="52"/>
  <c r="AC115" i="52" s="1"/>
  <c r="AB116" i="52"/>
  <c r="Y3" i="52" l="1"/>
  <c r="AB9" i="52"/>
  <c r="AB12" i="52"/>
  <c r="AB11" i="52"/>
  <c r="AC16" i="52"/>
  <c r="AB10" i="52"/>
  <c r="AD118" i="52"/>
  <c r="AD115" i="52" s="1"/>
  <c r="AC116" i="52"/>
  <c r="Z3" i="52" l="1"/>
  <c r="AC11" i="52"/>
  <c r="AD16" i="52"/>
  <c r="AC12" i="52"/>
  <c r="AC10" i="52"/>
  <c r="AC9" i="52"/>
  <c r="AE118" i="52"/>
  <c r="AE115" i="52" s="1"/>
  <c r="AD116" i="52"/>
  <c r="AA3" i="52" l="1"/>
  <c r="AD11" i="52"/>
  <c r="AD12" i="52"/>
  <c r="AE16" i="52"/>
  <c r="AD9" i="52"/>
  <c r="AD10" i="52"/>
  <c r="AF118" i="52"/>
  <c r="AF115" i="52" s="1"/>
  <c r="AE116" i="52"/>
  <c r="AB3" i="52" l="1"/>
  <c r="AE11" i="52"/>
  <c r="AE12" i="52"/>
  <c r="AF16" i="52"/>
  <c r="AE9" i="52"/>
  <c r="AE10" i="52"/>
  <c r="AG118" i="52"/>
  <c r="AG115" i="52" s="1"/>
  <c r="AF116" i="52"/>
  <c r="AC3" i="52" l="1"/>
  <c r="AF11" i="52"/>
  <c r="AF12" i="52"/>
  <c r="AG16" i="52"/>
  <c r="AF10" i="52"/>
  <c r="AF9" i="52"/>
  <c r="AH118" i="52"/>
  <c r="AH115" i="52" s="1"/>
  <c r="AG116" i="52"/>
  <c r="AD3" i="52" l="1"/>
  <c r="AG12" i="52"/>
  <c r="AH16" i="52"/>
  <c r="AG11" i="52"/>
  <c r="AG10" i="52"/>
  <c r="AG9" i="52"/>
  <c r="AI118" i="52"/>
  <c r="AI115" i="52" s="1"/>
  <c r="AH116" i="52"/>
  <c r="AE3" i="52" l="1"/>
  <c r="AH11" i="52"/>
  <c r="AH12" i="52"/>
  <c r="AI16" i="52"/>
  <c r="AH9" i="52"/>
  <c r="AH10" i="52"/>
  <c r="AJ118" i="52"/>
  <c r="AJ115" i="52" s="1"/>
  <c r="AI116" i="52"/>
  <c r="AF3" i="52" l="1"/>
  <c r="AI11" i="52"/>
  <c r="AI12" i="52"/>
  <c r="AJ16" i="52"/>
  <c r="AI9" i="52"/>
  <c r="AI10" i="52"/>
  <c r="AK118" i="52"/>
  <c r="AK115" i="52" s="1"/>
  <c r="AJ116" i="52"/>
  <c r="AG3" i="52" l="1"/>
  <c r="AJ9" i="52"/>
  <c r="AJ12" i="52"/>
  <c r="AJ11" i="52"/>
  <c r="AK16" i="52"/>
  <c r="AJ10" i="52"/>
  <c r="AL118" i="52"/>
  <c r="AL115" i="52" s="1"/>
  <c r="AK116" i="52"/>
  <c r="AH3" i="52" l="1"/>
  <c r="AK11" i="52"/>
  <c r="AL16" i="52"/>
  <c r="AK12" i="52"/>
  <c r="AK9" i="52"/>
  <c r="AK10" i="52"/>
  <c r="AM118" i="52"/>
  <c r="AM115" i="52" s="1"/>
  <c r="AL116" i="52"/>
  <c r="AI3" i="52" l="1"/>
  <c r="AL11" i="52"/>
  <c r="AL12" i="52"/>
  <c r="AM16" i="52"/>
  <c r="AL9" i="52"/>
  <c r="AL10" i="52"/>
  <c r="AN118" i="52"/>
  <c r="AN115" i="52" s="1"/>
  <c r="AM116" i="52"/>
  <c r="AJ3" i="52" l="1"/>
  <c r="AM11" i="52"/>
  <c r="AM12" i="52"/>
  <c r="AN16" i="52"/>
  <c r="AM10" i="52"/>
  <c r="AM9" i="52"/>
  <c r="AO118" i="52"/>
  <c r="AO115" i="52" s="1"/>
  <c r="AN116" i="52"/>
  <c r="AK3" i="52" l="1"/>
  <c r="AN11" i="52"/>
  <c r="AN12" i="52"/>
  <c r="AO16" i="52"/>
  <c r="AN9" i="52"/>
  <c r="AN10" i="52"/>
  <c r="AP118" i="52"/>
  <c r="AP115" i="52" s="1"/>
  <c r="AO116" i="52"/>
  <c r="AL3" i="52" l="1"/>
  <c r="AO12" i="52"/>
  <c r="AP16" i="52"/>
  <c r="AO11" i="52"/>
  <c r="AO10" i="52"/>
  <c r="AO9" i="52"/>
  <c r="AQ118" i="52"/>
  <c r="AQ115" i="52" s="1"/>
  <c r="AP116" i="52"/>
  <c r="AM3" i="52" l="1"/>
  <c r="AP11" i="52"/>
  <c r="AP12" i="52"/>
  <c r="AQ16" i="52"/>
  <c r="AP9" i="52"/>
  <c r="AP10" i="52"/>
  <c r="AR118" i="52"/>
  <c r="AR115" i="52" s="1"/>
  <c r="AQ116" i="52"/>
  <c r="AN3" i="52" l="1"/>
  <c r="AQ11" i="52"/>
  <c r="AQ12" i="52"/>
  <c r="AR16" i="52"/>
  <c r="AQ9" i="52"/>
  <c r="AQ10" i="52"/>
  <c r="AS118" i="52"/>
  <c r="AS115" i="52" s="1"/>
  <c r="AR116" i="52"/>
  <c r="AO3" i="52" l="1"/>
  <c r="AR9" i="52"/>
  <c r="AR12" i="52"/>
  <c r="AR11" i="52"/>
  <c r="AS16" i="52"/>
  <c r="AR10" i="52"/>
  <c r="AT118" i="52"/>
  <c r="AT115" i="52" s="1"/>
  <c r="AS116" i="52"/>
  <c r="AP3" i="52" l="1"/>
  <c r="AS11" i="52"/>
  <c r="AT16" i="52"/>
  <c r="AS12" i="52"/>
  <c r="AS10" i="52"/>
  <c r="AS9" i="52"/>
  <c r="AU118" i="52"/>
  <c r="AU115" i="52" s="1"/>
  <c r="AT116" i="52"/>
  <c r="AQ3" i="52" l="1"/>
  <c r="AT11" i="52"/>
  <c r="AT12" i="52"/>
  <c r="AU16" i="52"/>
  <c r="AT9" i="52"/>
  <c r="AT10" i="52"/>
  <c r="AV118" i="52"/>
  <c r="AV115" i="52" s="1"/>
  <c r="AU116" i="52"/>
  <c r="AR3" i="52" l="1"/>
  <c r="AU11" i="52"/>
  <c r="AU12" i="52"/>
  <c r="AV16" i="52"/>
  <c r="AU9" i="52"/>
  <c r="AU10" i="52"/>
  <c r="AW118" i="52"/>
  <c r="AW115" i="52" s="1"/>
  <c r="AV116" i="52"/>
  <c r="AS3" i="52" l="1"/>
  <c r="AV11" i="52"/>
  <c r="AV12" i="52"/>
  <c r="AW16" i="52"/>
  <c r="AV10" i="52"/>
  <c r="AV9" i="52"/>
  <c r="AX118" i="52"/>
  <c r="AX115" i="52" s="1"/>
  <c r="AW116" i="52"/>
  <c r="AT3" i="52" l="1"/>
  <c r="AW12" i="52"/>
  <c r="AX16" i="52"/>
  <c r="AW11" i="52"/>
  <c r="AW9" i="52"/>
  <c r="AW10" i="52"/>
  <c r="AY118" i="52"/>
  <c r="AY115" i="52" s="1"/>
  <c r="AX116" i="52"/>
  <c r="AU3" i="52" l="1"/>
  <c r="AX11" i="52"/>
  <c r="AX12" i="52"/>
  <c r="AY16" i="52"/>
  <c r="AX9" i="52"/>
  <c r="AX10" i="52"/>
  <c r="AZ118" i="52"/>
  <c r="AZ115" i="52" s="1"/>
  <c r="AY116" i="52"/>
  <c r="AV3" i="52" l="1"/>
  <c r="AY11" i="52"/>
  <c r="AY12" i="52"/>
  <c r="AZ16" i="52"/>
  <c r="AY9" i="52"/>
  <c r="AY10" i="52"/>
  <c r="BA118" i="52"/>
  <c r="BA115" i="52" s="1"/>
  <c r="AZ116" i="52"/>
  <c r="AW3" i="52" l="1"/>
  <c r="AZ9" i="52"/>
  <c r="AZ12" i="52"/>
  <c r="AZ11" i="52"/>
  <c r="BA16" i="52"/>
  <c r="AZ10" i="52"/>
  <c r="BB118" i="52"/>
  <c r="BB115" i="52" s="1"/>
  <c r="BA116" i="52"/>
  <c r="AX3" i="52" l="1"/>
  <c r="BA11" i="52"/>
  <c r="BB16" i="52"/>
  <c r="BA12" i="52"/>
  <c r="BA9" i="52"/>
  <c r="BA10" i="52"/>
  <c r="BC118" i="52"/>
  <c r="BC115" i="52" s="1"/>
  <c r="BB116" i="52"/>
  <c r="AY3" i="52" l="1"/>
  <c r="BB11" i="52"/>
  <c r="BB12" i="52"/>
  <c r="BC16" i="52"/>
  <c r="BB9" i="52"/>
  <c r="BB10" i="52"/>
  <c r="BD118" i="52"/>
  <c r="BD115" i="52" s="1"/>
  <c r="BC116" i="52"/>
  <c r="AZ3" i="52" l="1"/>
  <c r="BC11" i="52"/>
  <c r="BC12" i="52"/>
  <c r="BD16" i="52"/>
  <c r="BC10" i="52"/>
  <c r="BC9" i="52"/>
  <c r="BE118" i="52"/>
  <c r="BE115" i="52" s="1"/>
  <c r="BD116" i="52"/>
  <c r="BA3" i="52" l="1"/>
  <c r="BD11" i="52"/>
  <c r="BD12" i="52"/>
  <c r="BE16" i="52"/>
  <c r="BD10" i="52"/>
  <c r="BD9" i="52"/>
  <c r="BF118" i="52"/>
  <c r="BF115" i="52" s="1"/>
  <c r="BE116" i="52"/>
  <c r="BB3" i="52" l="1"/>
  <c r="BE12" i="52"/>
  <c r="BF16" i="52"/>
  <c r="BE11" i="52"/>
  <c r="BE9" i="52"/>
  <c r="BE10" i="52"/>
  <c r="BG118" i="52"/>
  <c r="BG115" i="52" s="1"/>
  <c r="BF116" i="52"/>
  <c r="BC3" i="52" l="1"/>
  <c r="BF11" i="52"/>
  <c r="BF12" i="52"/>
  <c r="BG16" i="52"/>
  <c r="BF9" i="52"/>
  <c r="BF10" i="52"/>
  <c r="BG116" i="52"/>
  <c r="BD3" i="52" l="1"/>
  <c r="BG11" i="52"/>
  <c r="BG12" i="52"/>
  <c r="BG9" i="52"/>
  <c r="BG10" i="52"/>
  <c r="BE3" i="52" l="1"/>
  <c r="BF3" i="52" l="1"/>
  <c r="BG3" i="52" l="1"/>
  <c r="BG30" i="52" l="1"/>
  <c r="BG29" i="52"/>
  <c r="BF29" i="52" l="1"/>
  <c r="BG36" i="52"/>
  <c r="BF30" i="52"/>
  <c r="BG37" i="52"/>
  <c r="BF37" i="52" l="1"/>
  <c r="BE30" i="52"/>
  <c r="BF36" i="52"/>
  <c r="BE29" i="52"/>
  <c r="BE36" i="52" l="1"/>
  <c r="BD29" i="52"/>
  <c r="BE37" i="52"/>
  <c r="BD30" i="52"/>
  <c r="BD37" i="52" l="1"/>
  <c r="BC30" i="52"/>
  <c r="BD36" i="52"/>
  <c r="BC29" i="52"/>
  <c r="BC36" i="52" l="1"/>
  <c r="BB29" i="52"/>
  <c r="BC37" i="52"/>
  <c r="BB30" i="52"/>
  <c r="BB37" i="52" l="1"/>
  <c r="BA30" i="52"/>
  <c r="BB36" i="52"/>
  <c r="BA29" i="52"/>
  <c r="BA36" i="52" l="1"/>
  <c r="AZ29" i="52"/>
  <c r="BA37" i="52"/>
  <c r="AZ30" i="52"/>
  <c r="AZ37" i="52" l="1"/>
  <c r="AY30" i="52"/>
  <c r="AZ36" i="52"/>
  <c r="AY29" i="52"/>
  <c r="AY36" i="52" l="1"/>
  <c r="AX29" i="52"/>
  <c r="AY37" i="52"/>
  <c r="AX30" i="52"/>
  <c r="AX37" i="52" l="1"/>
  <c r="AW30" i="52"/>
  <c r="AX36" i="52"/>
  <c r="AW29" i="52"/>
  <c r="AW36" i="52" l="1"/>
  <c r="AV29" i="52"/>
  <c r="AW37" i="52"/>
  <c r="AV30" i="52"/>
  <c r="AV37" i="52" l="1"/>
  <c r="AU30" i="52"/>
  <c r="AV36" i="52"/>
  <c r="AU29" i="52"/>
  <c r="AU36" i="52" l="1"/>
  <c r="AT29" i="52"/>
  <c r="AU37" i="52"/>
  <c r="AT30" i="52"/>
  <c r="AT37" i="52" l="1"/>
  <c r="AS30" i="52"/>
  <c r="AT36" i="52"/>
  <c r="AS29" i="52"/>
  <c r="AS37" i="52" l="1"/>
  <c r="AR30" i="52"/>
  <c r="AS36" i="52"/>
  <c r="AR29" i="52"/>
  <c r="AR36" i="52" l="1"/>
  <c r="AQ29" i="52"/>
  <c r="AR37" i="52"/>
  <c r="AQ30" i="52"/>
  <c r="AQ37" i="52" l="1"/>
  <c r="AP30" i="52"/>
  <c r="AQ36" i="52"/>
  <c r="AP29" i="52"/>
  <c r="AP36" i="52" l="1"/>
  <c r="AO29" i="52"/>
  <c r="AP37" i="52"/>
  <c r="AO30" i="52"/>
  <c r="AO37" i="52" l="1"/>
  <c r="AN30" i="52"/>
  <c r="AO36" i="52"/>
  <c r="AN29" i="52"/>
  <c r="AN36" i="52" l="1"/>
  <c r="AM29" i="52"/>
  <c r="AN37" i="52"/>
  <c r="AM30" i="52"/>
  <c r="AM37" i="52" l="1"/>
  <c r="AL30" i="52"/>
  <c r="AM36" i="52"/>
  <c r="AL29" i="52"/>
  <c r="AL36" i="52" l="1"/>
  <c r="AK29" i="52"/>
  <c r="AL37" i="52"/>
  <c r="AK30" i="52"/>
  <c r="AK37" i="52" l="1"/>
  <c r="AJ30" i="52"/>
  <c r="AK36" i="52"/>
  <c r="AJ29" i="52"/>
  <c r="AJ36" i="52" l="1"/>
  <c r="AI29" i="52"/>
  <c r="AJ37" i="52"/>
  <c r="AI30" i="52"/>
  <c r="AI37" i="52" l="1"/>
  <c r="AH30" i="52"/>
  <c r="AI36" i="52"/>
  <c r="AH29" i="52"/>
  <c r="AH36" i="52" l="1"/>
  <c r="AG29" i="52"/>
  <c r="AH37" i="52"/>
  <c r="AG30" i="52"/>
  <c r="AG37" i="52" l="1"/>
  <c r="AF30" i="52"/>
  <c r="AG36" i="52"/>
  <c r="AF29" i="52"/>
  <c r="AF36" i="52" l="1"/>
  <c r="AE29" i="52"/>
  <c r="AF37" i="52"/>
  <c r="AE30" i="52"/>
  <c r="AE37" i="52" l="1"/>
  <c r="AD30" i="52"/>
  <c r="AE36" i="52"/>
  <c r="AD29" i="52"/>
  <c r="AD36" i="52" l="1"/>
  <c r="AC29" i="52"/>
  <c r="AD37" i="52"/>
  <c r="AC30" i="52"/>
  <c r="AC37" i="52" l="1"/>
  <c r="AB30" i="52"/>
  <c r="AC36" i="52"/>
  <c r="AB29" i="52"/>
  <c r="AB36" i="52" l="1"/>
  <c r="AA29" i="52"/>
  <c r="AB37" i="52"/>
  <c r="AA30" i="52"/>
  <c r="AA37" i="52" l="1"/>
  <c r="Z30" i="52"/>
  <c r="AA36" i="52"/>
  <c r="Z29" i="52"/>
  <c r="Z36" i="52" l="1"/>
  <c r="Y29" i="52"/>
  <c r="Z37" i="52"/>
  <c r="Y30" i="52"/>
  <c r="Y37" i="52" l="1"/>
  <c r="X30" i="52"/>
  <c r="Y36" i="52"/>
  <c r="X29" i="52"/>
  <c r="X36" i="52" l="1"/>
  <c r="W29" i="52"/>
  <c r="X37" i="52"/>
  <c r="W30" i="52"/>
  <c r="W37" i="52" l="1"/>
  <c r="V30" i="52"/>
  <c r="W36" i="52"/>
  <c r="V29" i="52"/>
  <c r="V36" i="52" l="1"/>
  <c r="U29" i="52"/>
  <c r="V37" i="52"/>
  <c r="U30" i="52"/>
  <c r="U37" i="52" l="1"/>
  <c r="T30" i="52"/>
  <c r="U36" i="52"/>
  <c r="T29" i="52"/>
  <c r="T36" i="52" l="1"/>
  <c r="S29" i="52"/>
  <c r="T37" i="52"/>
  <c r="S30" i="52"/>
  <c r="S37" i="52" l="1"/>
  <c r="R30" i="52"/>
  <c r="S36" i="52"/>
  <c r="R29" i="52"/>
  <c r="R36" i="52" l="1"/>
  <c r="Q29" i="52"/>
  <c r="R37" i="52"/>
  <c r="Q30" i="52"/>
  <c r="Q37" i="52" l="1"/>
  <c r="P30" i="52"/>
  <c r="Q36" i="52"/>
  <c r="P29" i="52"/>
  <c r="P36" i="52" l="1"/>
  <c r="O29" i="52"/>
  <c r="P37" i="52"/>
  <c r="O30" i="52"/>
  <c r="O37" i="52" l="1"/>
  <c r="N30" i="52"/>
  <c r="O36" i="52"/>
  <c r="N29" i="52"/>
  <c r="N36" i="52" l="1"/>
  <c r="M29" i="52"/>
  <c r="N37" i="52"/>
  <c r="M30" i="52"/>
  <c r="M37" i="52" l="1"/>
  <c r="L30" i="52"/>
  <c r="M36" i="52"/>
  <c r="L29" i="52"/>
  <c r="L36" i="52" l="1"/>
  <c r="K29" i="52"/>
  <c r="L37" i="52"/>
  <c r="K30" i="52"/>
  <c r="K37" i="52" l="1"/>
  <c r="J30" i="52"/>
  <c r="J37" i="52" s="1"/>
  <c r="J29" i="52"/>
  <c r="J36" i="52" s="1"/>
  <c r="K36" i="52"/>
  <c r="J18" i="49" l="1"/>
  <c r="J23" i="49" s="1"/>
  <c r="O44" i="52" l="1"/>
  <c r="O43" i="52"/>
  <c r="M43" i="52"/>
  <c r="M44" i="52"/>
  <c r="J41" i="52" l="1" a="1"/>
  <c r="J20" i="52" a="1"/>
  <c r="K20" i="52" s="1"/>
  <c r="J42" i="52" a="1"/>
  <c r="N42" i="52" s="1"/>
  <c r="J39" i="52" a="1"/>
  <c r="J39" i="52" s="1"/>
  <c r="J18" i="52" a="1"/>
  <c r="K18" i="52" s="1"/>
  <c r="J40" i="52" a="1"/>
  <c r="L40" i="52" s="1"/>
  <c r="J19" i="52" a="1"/>
  <c r="L41" i="52"/>
  <c r="K41" i="52"/>
  <c r="J41" i="52"/>
  <c r="N41" i="52"/>
  <c r="M97" i="52"/>
  <c r="M99" i="52" s="1"/>
  <c r="M51" i="52"/>
  <c r="N44" i="52"/>
  <c r="N43" i="52"/>
  <c r="M96" i="52"/>
  <c r="M50" i="52"/>
  <c r="O50" i="52"/>
  <c r="O96" i="52"/>
  <c r="J10" i="49"/>
  <c r="J12" i="49" s="1"/>
  <c r="J43" i="52"/>
  <c r="J44" i="52"/>
  <c r="L43" i="52"/>
  <c r="L44" i="52"/>
  <c r="K44" i="52"/>
  <c r="K43" i="52"/>
  <c r="O51" i="52"/>
  <c r="O97" i="52"/>
  <c r="O99" i="52" s="1"/>
  <c r="K4" i="49"/>
  <c r="L4" i="49" s="1"/>
  <c r="M4" i="49" s="1"/>
  <c r="N4" i="49" s="1"/>
  <c r="O4" i="49" s="1"/>
  <c r="P4" i="49" s="1"/>
  <c r="Q4" i="49" s="1"/>
  <c r="R4" i="49" s="1"/>
  <c r="S4" i="49" s="1"/>
  <c r="T4" i="49" s="1"/>
  <c r="U4" i="49" s="1"/>
  <c r="V4" i="49" s="1"/>
  <c r="W4" i="49" s="1"/>
  <c r="X4" i="49" s="1"/>
  <c r="Y4" i="49" s="1"/>
  <c r="Z4" i="49" s="1"/>
  <c r="AA4" i="49" s="1"/>
  <c r="AB4" i="49" s="1"/>
  <c r="AC4" i="49" s="1"/>
  <c r="AD4" i="49" s="1"/>
  <c r="AE4" i="49" s="1"/>
  <c r="AF4" i="49" s="1"/>
  <c r="AG4" i="49" s="1"/>
  <c r="AH4" i="49" s="1"/>
  <c r="AI4" i="49" s="1"/>
  <c r="AJ4" i="49" s="1"/>
  <c r="AK4" i="49" s="1"/>
  <c r="AL4" i="49" s="1"/>
  <c r="AM4" i="49" s="1"/>
  <c r="AN4" i="49" s="1"/>
  <c r="AO4" i="49" s="1"/>
  <c r="AP4" i="49" s="1"/>
  <c r="AQ4" i="49" s="1"/>
  <c r="AR4" i="49" s="1"/>
  <c r="AS4" i="49" s="1"/>
  <c r="AT4" i="49" s="1"/>
  <c r="AU4" i="49" s="1"/>
  <c r="AV4" i="49" s="1"/>
  <c r="AW4" i="49" s="1"/>
  <c r="AX4" i="49" s="1"/>
  <c r="AY4" i="49" s="1"/>
  <c r="AZ4" i="49" s="1"/>
  <c r="BA4" i="49" s="1"/>
  <c r="BB4" i="49" s="1"/>
  <c r="BC4" i="49" s="1"/>
  <c r="BD4" i="49" s="1"/>
  <c r="BE4" i="49" s="1"/>
  <c r="BF4" i="49" s="1"/>
  <c r="BG4" i="49" s="1"/>
  <c r="J66" i="51"/>
  <c r="H66" i="51"/>
  <c r="J65" i="51"/>
  <c r="J21" i="52" s="1" a="1"/>
  <c r="J54" i="51"/>
  <c r="J42" i="52" l="1"/>
  <c r="L42" i="52"/>
  <c r="J40" i="52"/>
  <c r="N40" i="52"/>
  <c r="N93" i="52" s="1"/>
  <c r="N20" i="52"/>
  <c r="N18" i="52"/>
  <c r="N74" i="52" s="1"/>
  <c r="N83" i="52" s="1"/>
  <c r="K40" i="52"/>
  <c r="L18" i="52"/>
  <c r="L25" i="52" s="1"/>
  <c r="J18" i="52"/>
  <c r="K25" i="52" s="1"/>
  <c r="J20" i="52"/>
  <c r="L20" i="52"/>
  <c r="V19" i="52"/>
  <c r="V75" i="52" s="1"/>
  <c r="V84" i="52" s="1"/>
  <c r="AV19" i="52"/>
  <c r="AV75" i="52" s="1"/>
  <c r="AK19" i="52"/>
  <c r="AK75" i="52" s="1"/>
  <c r="AN19" i="52"/>
  <c r="AN75" i="52" s="1"/>
  <c r="AY19" i="52"/>
  <c r="AY75" i="52" s="1"/>
  <c r="U19" i="52"/>
  <c r="U75" i="52" s="1"/>
  <c r="U84" i="52" s="1"/>
  <c r="AO19" i="52"/>
  <c r="AO75" i="52" s="1"/>
  <c r="AB19" i="52"/>
  <c r="AB75" i="52" s="1"/>
  <c r="AG19" i="52"/>
  <c r="AG75" i="52" s="1"/>
  <c r="AD19" i="52"/>
  <c r="AD75" i="52" s="1"/>
  <c r="AS19" i="52"/>
  <c r="AS75" i="52" s="1"/>
  <c r="AA19" i="52"/>
  <c r="AA75" i="52" s="1"/>
  <c r="AW19" i="52"/>
  <c r="AW75" i="52" s="1"/>
  <c r="AT19" i="52"/>
  <c r="AT75" i="52" s="1"/>
  <c r="AZ19" i="52"/>
  <c r="AZ75" i="52" s="1"/>
  <c r="AH19" i="52"/>
  <c r="AH75" i="52" s="1"/>
  <c r="BE19" i="52"/>
  <c r="BE75" i="52" s="1"/>
  <c r="X19" i="52"/>
  <c r="X75" i="52" s="1"/>
  <c r="BC19" i="52"/>
  <c r="BC75" i="52" s="1"/>
  <c r="BF19" i="52"/>
  <c r="BF75" i="52" s="1"/>
  <c r="AR19" i="52"/>
  <c r="AR75" i="52" s="1"/>
  <c r="BB19" i="52"/>
  <c r="BB75" i="52" s="1"/>
  <c r="AX19" i="52"/>
  <c r="AX75" i="52" s="1"/>
  <c r="AL19" i="52"/>
  <c r="AL75" i="52" s="1"/>
  <c r="AE19" i="52"/>
  <c r="AE75" i="52" s="1"/>
  <c r="Z19" i="52"/>
  <c r="Z75" i="52" s="1"/>
  <c r="AP19" i="52"/>
  <c r="AP75" i="52" s="1"/>
  <c r="W19" i="52"/>
  <c r="W75" i="52" s="1"/>
  <c r="W84" i="52" s="1"/>
  <c r="AU19" i="52"/>
  <c r="AU75" i="52" s="1"/>
  <c r="BG19" i="52"/>
  <c r="BG75" i="52" s="1"/>
  <c r="AI19" i="52"/>
  <c r="AI75" i="52" s="1"/>
  <c r="AM19" i="52"/>
  <c r="AM75" i="52" s="1"/>
  <c r="Y19" i="52"/>
  <c r="Y75" i="52" s="1"/>
  <c r="BD19" i="52"/>
  <c r="BD75" i="52" s="1"/>
  <c r="AJ19" i="52"/>
  <c r="AJ75" i="52" s="1"/>
  <c r="AC19" i="52"/>
  <c r="AC75" i="52" s="1"/>
  <c r="AF19" i="52"/>
  <c r="AF75" i="52" s="1"/>
  <c r="T19" i="52"/>
  <c r="T75" i="52" s="1"/>
  <c r="T84" i="52" s="1"/>
  <c r="AQ19" i="52"/>
  <c r="AQ75" i="52" s="1"/>
  <c r="BA19" i="52"/>
  <c r="BA75" i="52" s="1"/>
  <c r="R19" i="52"/>
  <c r="Q19" i="52"/>
  <c r="P19" i="52"/>
  <c r="S19" i="52"/>
  <c r="M19" i="52"/>
  <c r="M75" i="52" s="1"/>
  <c r="M84" i="52" s="1"/>
  <c r="O19" i="52"/>
  <c r="O75" i="52" s="1"/>
  <c r="O84" i="52" s="1"/>
  <c r="U42" i="52"/>
  <c r="AK42" i="52"/>
  <c r="AZ42" i="52"/>
  <c r="BG42" i="52"/>
  <c r="AO42" i="52"/>
  <c r="AJ42" i="52"/>
  <c r="AE42" i="52"/>
  <c r="AP42" i="52"/>
  <c r="V42" i="52"/>
  <c r="W42" i="52"/>
  <c r="AG42" i="52"/>
  <c r="AD42" i="52"/>
  <c r="Z42" i="52"/>
  <c r="AW42" i="52"/>
  <c r="AN42" i="52"/>
  <c r="AH42" i="52"/>
  <c r="AL42" i="52"/>
  <c r="AC42" i="52"/>
  <c r="AB42" i="52"/>
  <c r="BF42" i="52"/>
  <c r="AU42" i="52"/>
  <c r="AR42" i="52"/>
  <c r="BB42" i="52"/>
  <c r="AT42" i="52"/>
  <c r="AY42" i="52"/>
  <c r="BD42" i="52"/>
  <c r="BC42" i="52"/>
  <c r="BA42" i="52"/>
  <c r="AV42" i="52"/>
  <c r="AA42" i="52"/>
  <c r="AM42" i="52"/>
  <c r="Y42" i="52"/>
  <c r="AX42" i="52"/>
  <c r="BE42" i="52"/>
  <c r="AS42" i="52"/>
  <c r="AI42" i="52"/>
  <c r="X42" i="52"/>
  <c r="AQ42" i="52"/>
  <c r="AF42" i="52"/>
  <c r="T42" i="52"/>
  <c r="P42" i="52"/>
  <c r="R42" i="52"/>
  <c r="Q42" i="52"/>
  <c r="S42" i="52"/>
  <c r="O42" i="52"/>
  <c r="M42" i="52"/>
  <c r="AP39" i="52"/>
  <c r="AB39" i="52"/>
  <c r="AG39" i="52"/>
  <c r="AD39" i="52"/>
  <c r="AI39" i="52"/>
  <c r="AT39" i="52"/>
  <c r="AH39" i="52"/>
  <c r="BE39" i="52"/>
  <c r="AE39" i="52"/>
  <c r="AF39" i="52"/>
  <c r="AO39" i="52"/>
  <c r="BF39" i="52"/>
  <c r="W39" i="52"/>
  <c r="AU39" i="52"/>
  <c r="BB39" i="52"/>
  <c r="BG39" i="52"/>
  <c r="AS39" i="52"/>
  <c r="AN39" i="52"/>
  <c r="AM39" i="52"/>
  <c r="AQ39" i="52"/>
  <c r="AL39" i="52"/>
  <c r="BC39" i="52"/>
  <c r="BA39" i="52"/>
  <c r="Z39" i="52"/>
  <c r="U39" i="52"/>
  <c r="AV39" i="52"/>
  <c r="AA39" i="52"/>
  <c r="AZ39" i="52"/>
  <c r="AY39" i="52"/>
  <c r="BD39" i="52"/>
  <c r="AJ39" i="52"/>
  <c r="V39" i="52"/>
  <c r="AR39" i="52"/>
  <c r="AK39" i="52"/>
  <c r="AW39" i="52"/>
  <c r="Y39" i="52"/>
  <c r="AX39" i="52"/>
  <c r="X39" i="52"/>
  <c r="AC39" i="52"/>
  <c r="T39" i="52"/>
  <c r="Q39" i="52"/>
  <c r="P39" i="52"/>
  <c r="R39" i="52"/>
  <c r="S39" i="52"/>
  <c r="O39" i="52"/>
  <c r="M39" i="52"/>
  <c r="L19" i="52"/>
  <c r="L75" i="52" s="1"/>
  <c r="L84" i="52" s="1"/>
  <c r="J19" i="52"/>
  <c r="J26" i="52" s="1"/>
  <c r="J33" i="52" s="1"/>
  <c r="AR40" i="52"/>
  <c r="BG40" i="52"/>
  <c r="AS40" i="52"/>
  <c r="AA40" i="52"/>
  <c r="AT40" i="52"/>
  <c r="AZ40" i="52"/>
  <c r="BD40" i="52"/>
  <c r="Z40" i="52"/>
  <c r="AP40" i="52"/>
  <c r="AB40" i="52"/>
  <c r="AD40" i="52"/>
  <c r="AK40" i="52"/>
  <c r="AW40" i="52"/>
  <c r="Y40" i="52"/>
  <c r="AY40" i="52"/>
  <c r="AX40" i="52"/>
  <c r="AF40" i="52"/>
  <c r="AQ40" i="52"/>
  <c r="V40" i="52"/>
  <c r="W40" i="52"/>
  <c r="AU40" i="52"/>
  <c r="AI40" i="52"/>
  <c r="AN40" i="52"/>
  <c r="AH40" i="52"/>
  <c r="AC40" i="52"/>
  <c r="T40" i="52"/>
  <c r="U40" i="52"/>
  <c r="AO40" i="52"/>
  <c r="BF40" i="52"/>
  <c r="AG40" i="52"/>
  <c r="AV40" i="52"/>
  <c r="BB40" i="52"/>
  <c r="AM40" i="52"/>
  <c r="BE40" i="52"/>
  <c r="BC40" i="52"/>
  <c r="AL40" i="52"/>
  <c r="AE40" i="52"/>
  <c r="BA40" i="52"/>
  <c r="X40" i="52"/>
  <c r="AJ40" i="52"/>
  <c r="Q40" i="52"/>
  <c r="P40" i="52"/>
  <c r="R40" i="52"/>
  <c r="S40" i="52"/>
  <c r="O40" i="52"/>
  <c r="M40" i="52"/>
  <c r="AP20" i="52"/>
  <c r="AU20" i="52"/>
  <c r="AR20" i="52"/>
  <c r="Z20" i="52"/>
  <c r="AA20" i="52"/>
  <c r="AN20" i="52"/>
  <c r="AY20" i="52"/>
  <c r="AI20" i="52"/>
  <c r="X20" i="52"/>
  <c r="BC20" i="52"/>
  <c r="AL20" i="52"/>
  <c r="AF20" i="52"/>
  <c r="U20" i="52"/>
  <c r="AV20" i="52"/>
  <c r="AT20" i="52"/>
  <c r="AM20" i="52"/>
  <c r="Y20" i="52"/>
  <c r="BD20" i="52"/>
  <c r="BE20" i="52"/>
  <c r="AO20" i="52"/>
  <c r="AE20" i="52"/>
  <c r="T20" i="52"/>
  <c r="V20" i="52"/>
  <c r="AG20" i="52"/>
  <c r="AD20" i="52"/>
  <c r="AK20" i="52"/>
  <c r="AW20" i="52"/>
  <c r="AZ20" i="52"/>
  <c r="AH20" i="52"/>
  <c r="AX20" i="52"/>
  <c r="AS20" i="52"/>
  <c r="AQ20" i="52"/>
  <c r="AJ20" i="52"/>
  <c r="AB20" i="52"/>
  <c r="BF20" i="52"/>
  <c r="W20" i="52"/>
  <c r="BB20" i="52"/>
  <c r="BG20" i="52"/>
  <c r="AC20" i="52"/>
  <c r="BA20" i="52"/>
  <c r="R20" i="52"/>
  <c r="P20" i="52"/>
  <c r="Q20" i="52"/>
  <c r="S20" i="52"/>
  <c r="M20" i="52"/>
  <c r="O20" i="52"/>
  <c r="K19" i="52"/>
  <c r="N39" i="52"/>
  <c r="N92" i="52" s="1"/>
  <c r="K39" i="52"/>
  <c r="K92" i="52" s="1"/>
  <c r="L39" i="52"/>
  <c r="L46" i="52" s="1"/>
  <c r="N19" i="52"/>
  <c r="N26" i="52" s="1"/>
  <c r="K42" i="52"/>
  <c r="Z18" i="52"/>
  <c r="Z74" i="52" s="1"/>
  <c r="U18" i="52"/>
  <c r="U74" i="52" s="1"/>
  <c r="U83" i="52" s="1"/>
  <c r="AO18" i="52"/>
  <c r="AO74" i="52" s="1"/>
  <c r="BF18" i="52"/>
  <c r="BF74" i="52" s="1"/>
  <c r="AU18" i="52"/>
  <c r="AU74" i="52" s="1"/>
  <c r="AW18" i="52"/>
  <c r="AW74" i="52" s="1"/>
  <c r="AX18" i="52"/>
  <c r="AX74" i="52" s="1"/>
  <c r="V18" i="52"/>
  <c r="V74" i="52" s="1"/>
  <c r="V83" i="52" s="1"/>
  <c r="AV18" i="52"/>
  <c r="AV74" i="52" s="1"/>
  <c r="AR18" i="52"/>
  <c r="AR74" i="52" s="1"/>
  <c r="AI18" i="52"/>
  <c r="AI74" i="52" s="1"/>
  <c r="BD18" i="52"/>
  <c r="BD74" i="52" s="1"/>
  <c r="AJ18" i="52"/>
  <c r="AJ74" i="52" s="1"/>
  <c r="AC18" i="52"/>
  <c r="AC74" i="52" s="1"/>
  <c r="AE18" i="52"/>
  <c r="AE74" i="52" s="1"/>
  <c r="BA18" i="52"/>
  <c r="BA74" i="52" s="1"/>
  <c r="T18" i="52"/>
  <c r="T74" i="52" s="1"/>
  <c r="T83" i="52" s="1"/>
  <c r="BE18" i="52"/>
  <c r="BE74" i="52" s="1"/>
  <c r="AF18" i="52"/>
  <c r="AF74" i="52" s="1"/>
  <c r="AP18" i="52"/>
  <c r="AP74" i="52" s="1"/>
  <c r="AG18" i="52"/>
  <c r="AG74" i="52" s="1"/>
  <c r="AK18" i="52"/>
  <c r="AK74" i="52" s="1"/>
  <c r="BG18" i="52"/>
  <c r="BG74" i="52" s="1"/>
  <c r="AM18" i="52"/>
  <c r="AM74" i="52" s="1"/>
  <c r="Y18" i="52"/>
  <c r="Y74" i="52" s="1"/>
  <c r="X18" i="52"/>
  <c r="X74" i="52" s="1"/>
  <c r="AB18" i="52"/>
  <c r="AB74" i="52" s="1"/>
  <c r="W18" i="52"/>
  <c r="W74" i="52" s="1"/>
  <c r="W83" i="52" s="1"/>
  <c r="AD18" i="52"/>
  <c r="AD74" i="52" s="1"/>
  <c r="BB18" i="52"/>
  <c r="BB74" i="52" s="1"/>
  <c r="AS18" i="52"/>
  <c r="AS74" i="52" s="1"/>
  <c r="AA18" i="52"/>
  <c r="AA74" i="52" s="1"/>
  <c r="AT18" i="52"/>
  <c r="AT74" i="52" s="1"/>
  <c r="AN18" i="52"/>
  <c r="AN74" i="52" s="1"/>
  <c r="AZ18" i="52"/>
  <c r="AZ74" i="52" s="1"/>
  <c r="AH18" i="52"/>
  <c r="AH74" i="52" s="1"/>
  <c r="AY18" i="52"/>
  <c r="AY74" i="52" s="1"/>
  <c r="AQ18" i="52"/>
  <c r="AQ74" i="52" s="1"/>
  <c r="AL18" i="52"/>
  <c r="AL74" i="52" s="1"/>
  <c r="BC18" i="52"/>
  <c r="BC74" i="52" s="1"/>
  <c r="Q18" i="52"/>
  <c r="R18" i="52"/>
  <c r="P18" i="52"/>
  <c r="S18" i="52"/>
  <c r="M18" i="52"/>
  <c r="M74" i="52" s="1"/>
  <c r="M83" i="52" s="1"/>
  <c r="O18" i="52"/>
  <c r="AB41" i="52"/>
  <c r="V41" i="52"/>
  <c r="W41" i="52"/>
  <c r="AD41" i="52"/>
  <c r="AV41" i="52"/>
  <c r="AT41" i="52"/>
  <c r="AH41" i="52"/>
  <c r="Y41" i="52"/>
  <c r="BD41" i="52"/>
  <c r="BE41" i="52"/>
  <c r="BA41" i="52"/>
  <c r="BF41" i="52"/>
  <c r="BB41" i="52"/>
  <c r="AK41" i="52"/>
  <c r="AX41" i="52"/>
  <c r="AS41" i="52"/>
  <c r="AI41" i="52"/>
  <c r="AQ41" i="52"/>
  <c r="BC41" i="52"/>
  <c r="AF41" i="52"/>
  <c r="U41" i="52"/>
  <c r="AA41" i="52"/>
  <c r="AM41" i="52"/>
  <c r="BG41" i="52"/>
  <c r="AO41" i="52"/>
  <c r="X41" i="52"/>
  <c r="AC41" i="52"/>
  <c r="AE41" i="52"/>
  <c r="T41" i="52"/>
  <c r="AP41" i="52"/>
  <c r="AU41" i="52"/>
  <c r="AG41" i="52"/>
  <c r="AR41" i="52"/>
  <c r="Z41" i="52"/>
  <c r="AW41" i="52"/>
  <c r="AN41" i="52"/>
  <c r="AZ41" i="52"/>
  <c r="AY41" i="52"/>
  <c r="AL41" i="52"/>
  <c r="AJ41" i="52"/>
  <c r="R41" i="52"/>
  <c r="Q41" i="52"/>
  <c r="P41" i="52"/>
  <c r="S41" i="52"/>
  <c r="O41" i="52"/>
  <c r="M41" i="52"/>
  <c r="J21" i="52"/>
  <c r="N21" i="52"/>
  <c r="N77" i="52" s="1"/>
  <c r="R21" i="52"/>
  <c r="R77" i="52" s="1"/>
  <c r="V21" i="52"/>
  <c r="V77" i="52" s="1"/>
  <c r="Z21" i="52"/>
  <c r="Z77" i="52" s="1"/>
  <c r="AD21" i="52"/>
  <c r="AD77" i="52" s="1"/>
  <c r="AH21" i="52"/>
  <c r="AH77" i="52" s="1"/>
  <c r="AL21" i="52"/>
  <c r="AL77" i="52" s="1"/>
  <c r="AP21" i="52"/>
  <c r="AP77" i="52" s="1"/>
  <c r="AT21" i="52"/>
  <c r="AT77" i="52" s="1"/>
  <c r="AX21" i="52"/>
  <c r="AX77" i="52" s="1"/>
  <c r="BB21" i="52"/>
  <c r="BB77" i="52" s="1"/>
  <c r="BF21" i="52"/>
  <c r="BF77" i="52" s="1"/>
  <c r="K21" i="52"/>
  <c r="K77" i="52" s="1"/>
  <c r="O21" i="52"/>
  <c r="O77" i="52" s="1"/>
  <c r="S21" i="52"/>
  <c r="S77" i="52" s="1"/>
  <c r="W21" i="52"/>
  <c r="W77" i="52" s="1"/>
  <c r="AA21" i="52"/>
  <c r="AA77" i="52" s="1"/>
  <c r="AE21" i="52"/>
  <c r="AE77" i="52" s="1"/>
  <c r="AI21" i="52"/>
  <c r="AI77" i="52" s="1"/>
  <c r="AM21" i="52"/>
  <c r="AM77" i="52" s="1"/>
  <c r="AQ21" i="52"/>
  <c r="AQ77" i="52" s="1"/>
  <c r="AU21" i="52"/>
  <c r="AU77" i="52" s="1"/>
  <c r="AY21" i="52"/>
  <c r="AY77" i="52" s="1"/>
  <c r="BC21" i="52"/>
  <c r="BC77" i="52" s="1"/>
  <c r="BG21" i="52"/>
  <c r="BG77" i="52" s="1"/>
  <c r="P21" i="52"/>
  <c r="P77" i="52" s="1"/>
  <c r="X21" i="52"/>
  <c r="X77" i="52" s="1"/>
  <c r="AF21" i="52"/>
  <c r="AF77" i="52" s="1"/>
  <c r="AN21" i="52"/>
  <c r="AN77" i="52" s="1"/>
  <c r="AV21" i="52"/>
  <c r="AV77" i="52" s="1"/>
  <c r="BD21" i="52"/>
  <c r="BD77" i="52" s="1"/>
  <c r="Q21" i="52"/>
  <c r="Q77" i="52" s="1"/>
  <c r="Y21" i="52"/>
  <c r="Y77" i="52" s="1"/>
  <c r="AG21" i="52"/>
  <c r="AG77" i="52" s="1"/>
  <c r="AO21" i="52"/>
  <c r="AO77" i="52" s="1"/>
  <c r="AW21" i="52"/>
  <c r="AW77" i="52" s="1"/>
  <c r="BE21" i="52"/>
  <c r="BE77" i="52" s="1"/>
  <c r="L21" i="52"/>
  <c r="T21" i="52"/>
  <c r="T77" i="52" s="1"/>
  <c r="AB21" i="52"/>
  <c r="AB77" i="52" s="1"/>
  <c r="AJ21" i="52"/>
  <c r="AJ77" i="52" s="1"/>
  <c r="AR21" i="52"/>
  <c r="AR77" i="52" s="1"/>
  <c r="AZ21" i="52"/>
  <c r="AZ77" i="52" s="1"/>
  <c r="M21" i="52"/>
  <c r="U21" i="52"/>
  <c r="U77" i="52" s="1"/>
  <c r="AC21" i="52"/>
  <c r="AC77" i="52" s="1"/>
  <c r="AK21" i="52"/>
  <c r="AK77" i="52" s="1"/>
  <c r="AS21" i="52"/>
  <c r="AS77" i="52" s="1"/>
  <c r="BA21" i="52"/>
  <c r="BA77" i="52" s="1"/>
  <c r="N75" i="52"/>
  <c r="N84" i="52" s="1"/>
  <c r="N96" i="52"/>
  <c r="N50" i="52"/>
  <c r="K94" i="52"/>
  <c r="K98" i="52" s="1"/>
  <c r="K48" i="52"/>
  <c r="K96" i="52"/>
  <c r="K50" i="52"/>
  <c r="L92" i="52"/>
  <c r="J97" i="52"/>
  <c r="J99" i="52" s="1"/>
  <c r="J51" i="52"/>
  <c r="N46" i="52"/>
  <c r="N97" i="52"/>
  <c r="N99" i="52" s="1"/>
  <c r="N51" i="52"/>
  <c r="K93" i="52"/>
  <c r="K47" i="52"/>
  <c r="L94" i="52"/>
  <c r="L98" i="52" s="1"/>
  <c r="L48" i="52"/>
  <c r="J94" i="52"/>
  <c r="J98" i="52" s="1"/>
  <c r="J48" i="52"/>
  <c r="K97" i="52"/>
  <c r="K99" i="52" s="1"/>
  <c r="K51" i="52"/>
  <c r="L97" i="52"/>
  <c r="L99" i="52" s="1"/>
  <c r="L51" i="52"/>
  <c r="J74" i="52"/>
  <c r="J83" i="52" s="1"/>
  <c r="J25" i="52"/>
  <c r="J32" i="52" s="1"/>
  <c r="J93" i="52"/>
  <c r="J47" i="52"/>
  <c r="J96" i="52"/>
  <c r="J50" i="52"/>
  <c r="N94" i="52"/>
  <c r="N98" i="52" s="1"/>
  <c r="N48" i="52"/>
  <c r="N95" i="52"/>
  <c r="N49" i="52"/>
  <c r="L93" i="52"/>
  <c r="L47" i="52"/>
  <c r="K74" i="52"/>
  <c r="K83" i="52" s="1"/>
  <c r="K95" i="52"/>
  <c r="K49" i="52"/>
  <c r="L95" i="52"/>
  <c r="L49" i="52"/>
  <c r="L96" i="52"/>
  <c r="L50" i="52"/>
  <c r="J95" i="52"/>
  <c r="J49" i="52"/>
  <c r="J92" i="52"/>
  <c r="J46" i="52"/>
  <c r="H76" i="51"/>
  <c r="O66" i="52" s="1"/>
  <c r="L94" i="51"/>
  <c r="L95" i="51"/>
  <c r="H96" i="51"/>
  <c r="I96" i="51"/>
  <c r="J96" i="51"/>
  <c r="K96" i="51"/>
  <c r="E123" i="51"/>
  <c r="H120" i="51"/>
  <c r="G122" i="51"/>
  <c r="N47" i="52" l="1"/>
  <c r="K26" i="52"/>
  <c r="K33" i="52" s="1"/>
  <c r="J75" i="52"/>
  <c r="J84" i="52" s="1"/>
  <c r="K75" i="52"/>
  <c r="K84" i="52" s="1"/>
  <c r="L74" i="52"/>
  <c r="L83" i="52" s="1"/>
  <c r="M26" i="52"/>
  <c r="L26" i="52"/>
  <c r="L33" i="52" s="1"/>
  <c r="O26" i="52"/>
  <c r="O33" i="52" s="1"/>
  <c r="P94" i="52"/>
  <c r="P98" i="52" s="1"/>
  <c r="P48" i="52"/>
  <c r="O86" i="52"/>
  <c r="M94" i="52"/>
  <c r="M98" i="52" s="1"/>
  <c r="M48" i="52"/>
  <c r="Q94" i="52"/>
  <c r="Q98" i="52" s="1"/>
  <c r="Q48" i="52"/>
  <c r="S74" i="52"/>
  <c r="S83" i="52" s="1"/>
  <c r="S25" i="52"/>
  <c r="S32" i="52" s="1"/>
  <c r="M93" i="52"/>
  <c r="M47" i="52"/>
  <c r="P93" i="52"/>
  <c r="P47" i="52"/>
  <c r="M46" i="52"/>
  <c r="M92" i="52"/>
  <c r="P92" i="52"/>
  <c r="P46" i="52"/>
  <c r="O49" i="52"/>
  <c r="O95" i="52"/>
  <c r="P95" i="52"/>
  <c r="P49" i="52"/>
  <c r="P75" i="52"/>
  <c r="P84" i="52" s="1"/>
  <c r="P26" i="52"/>
  <c r="P33" i="52" s="1"/>
  <c r="Q74" i="52"/>
  <c r="Q83" i="52" s="1"/>
  <c r="Q25" i="52"/>
  <c r="Q32" i="52" s="1"/>
  <c r="S75" i="52"/>
  <c r="S84" i="52" s="1"/>
  <c r="S26" i="52"/>
  <c r="S33" i="52" s="1"/>
  <c r="E122" i="51"/>
  <c r="H122" i="51" s="1"/>
  <c r="H123" i="51" s="1"/>
  <c r="K46" i="52"/>
  <c r="O94" i="52"/>
  <c r="O98" i="52" s="1"/>
  <c r="O48" i="52"/>
  <c r="P74" i="52"/>
  <c r="P83" i="52" s="1"/>
  <c r="P25" i="52"/>
  <c r="P32" i="52" s="1"/>
  <c r="O47" i="52"/>
  <c r="O93" i="52"/>
  <c r="Q93" i="52"/>
  <c r="Q47" i="52"/>
  <c r="O46" i="52"/>
  <c r="O92" i="52"/>
  <c r="Q92" i="52"/>
  <c r="Q46" i="52"/>
  <c r="Q75" i="52"/>
  <c r="Q84" i="52" s="1"/>
  <c r="Q26" i="52"/>
  <c r="Q33" i="52" s="1"/>
  <c r="M49" i="52"/>
  <c r="M95" i="52"/>
  <c r="N25" i="52"/>
  <c r="N32" i="52" s="1"/>
  <c r="O74" i="52"/>
  <c r="O83" i="52" s="1"/>
  <c r="O25" i="52"/>
  <c r="O32" i="52" s="1"/>
  <c r="R74" i="52"/>
  <c r="R83" i="52" s="1"/>
  <c r="R25" i="52"/>
  <c r="M25" i="52"/>
  <c r="M32" i="52" s="1"/>
  <c r="Q95" i="52"/>
  <c r="Q49" i="52"/>
  <c r="R75" i="52"/>
  <c r="R84" i="52" s="1"/>
  <c r="R26" i="52"/>
  <c r="K32" i="52"/>
  <c r="L32" i="52"/>
  <c r="M33" i="52"/>
  <c r="N33" i="52"/>
  <c r="AC76" i="52"/>
  <c r="AC80" i="52" s="1"/>
  <c r="AO76" i="52"/>
  <c r="AO80" i="52" s="1"/>
  <c r="BD76" i="52"/>
  <c r="BD80" i="52" s="1"/>
  <c r="AN76" i="52"/>
  <c r="AN80" i="52" s="1"/>
  <c r="X76" i="52"/>
  <c r="X80" i="52" s="1"/>
  <c r="BG76" i="52"/>
  <c r="BG80" i="52" s="1"/>
  <c r="AQ76" i="52"/>
  <c r="AQ80" i="52" s="1"/>
  <c r="AA76" i="52"/>
  <c r="AA80" i="52" s="1"/>
  <c r="O76" i="52"/>
  <c r="BB76" i="52"/>
  <c r="BB80" i="52" s="1"/>
  <c r="AL76" i="52"/>
  <c r="AL80" i="52" s="1"/>
  <c r="V76" i="52"/>
  <c r="U76" i="52"/>
  <c r="AG76" i="52"/>
  <c r="AG80" i="52" s="1"/>
  <c r="AZ76" i="52"/>
  <c r="AZ80" i="52" s="1"/>
  <c r="AJ76" i="52"/>
  <c r="AJ80" i="52" s="1"/>
  <c r="T76" i="52"/>
  <c r="BC76" i="52"/>
  <c r="BC80" i="52" s="1"/>
  <c r="AM76" i="52"/>
  <c r="AM80" i="52" s="1"/>
  <c r="W76" i="52"/>
  <c r="BA76" i="52"/>
  <c r="BA80" i="52" s="1"/>
  <c r="AX76" i="52"/>
  <c r="AX80" i="52" s="1"/>
  <c r="AH76" i="52"/>
  <c r="AH80" i="52" s="1"/>
  <c r="R76" i="52"/>
  <c r="AW76" i="52"/>
  <c r="AW80" i="52" s="1"/>
  <c r="BE76" i="52"/>
  <c r="BE80" i="52" s="1"/>
  <c r="Y76" i="52"/>
  <c r="Y80" i="52" s="1"/>
  <c r="AV76" i="52"/>
  <c r="AV80" i="52" s="1"/>
  <c r="AF76" i="52"/>
  <c r="AF80" i="52" s="1"/>
  <c r="AY76" i="52"/>
  <c r="AY80" i="52" s="1"/>
  <c r="AI76" i="52"/>
  <c r="AI80" i="52" s="1"/>
  <c r="S76" i="52"/>
  <c r="Q76" i="52"/>
  <c r="AT76" i="52"/>
  <c r="AT80" i="52" s="1"/>
  <c r="AD76" i="52"/>
  <c r="AD80" i="52" s="1"/>
  <c r="N66" i="52"/>
  <c r="N86" i="52" s="1"/>
  <c r="P66" i="52"/>
  <c r="P86" i="52" s="1"/>
  <c r="V66" i="52"/>
  <c r="V86" i="52" s="1"/>
  <c r="M66" i="52"/>
  <c r="J66" i="52"/>
  <c r="K66" i="52"/>
  <c r="K86" i="52" s="1"/>
  <c r="S66" i="52"/>
  <c r="S86" i="52" s="1"/>
  <c r="L66" i="52"/>
  <c r="T66" i="52"/>
  <c r="T86" i="52" s="1"/>
  <c r="R66" i="52"/>
  <c r="R86" i="52" s="1"/>
  <c r="Q66" i="52"/>
  <c r="Q86" i="52" s="1"/>
  <c r="W66" i="52"/>
  <c r="W86" i="52" s="1"/>
  <c r="U66" i="52"/>
  <c r="U86" i="52" s="1"/>
  <c r="AK76" i="52"/>
  <c r="AK80" i="52" s="1"/>
  <c r="AS76" i="52"/>
  <c r="AS80" i="52" s="1"/>
  <c r="M76" i="52"/>
  <c r="AR76" i="52"/>
  <c r="AR80" i="52" s="1"/>
  <c r="AB76" i="52"/>
  <c r="AB80" i="52" s="1"/>
  <c r="N76" i="52"/>
  <c r="AU76" i="52"/>
  <c r="AU80" i="52" s="1"/>
  <c r="AE76" i="52"/>
  <c r="AE80" i="52" s="1"/>
  <c r="K76" i="52"/>
  <c r="BF76" i="52"/>
  <c r="BF80" i="52" s="1"/>
  <c r="AP76" i="52"/>
  <c r="AP80" i="52" s="1"/>
  <c r="Z76" i="52"/>
  <c r="Z80" i="52" s="1"/>
  <c r="P76" i="52"/>
  <c r="J27" i="52"/>
  <c r="J34" i="52" s="1"/>
  <c r="J76" i="52"/>
  <c r="L76" i="52"/>
  <c r="J28" i="52"/>
  <c r="J35" i="52" s="1"/>
  <c r="J77" i="52"/>
  <c r="L77" i="52"/>
  <c r="M77" i="52"/>
  <c r="K27" i="52"/>
  <c r="K34" i="52" s="1"/>
  <c r="K28" i="52"/>
  <c r="K35" i="52" s="1"/>
  <c r="L96" i="51"/>
  <c r="M95" i="51" s="1"/>
  <c r="H100" i="51" s="1"/>
  <c r="K19" i="49"/>
  <c r="K20" i="49"/>
  <c r="L20" i="49" s="1"/>
  <c r="L19" i="49" l="1"/>
  <c r="T25" i="52"/>
  <c r="T32" i="52" s="1"/>
  <c r="M86" i="52"/>
  <c r="T26" i="52"/>
  <c r="U26" i="52" s="1"/>
  <c r="U33" i="52" s="1"/>
  <c r="L86" i="52"/>
  <c r="L27" i="52"/>
  <c r="L28" i="52"/>
  <c r="V85" i="52"/>
  <c r="V80" i="52"/>
  <c r="V89" i="52" s="1"/>
  <c r="L85" i="52"/>
  <c r="L80" i="52"/>
  <c r="L89" i="52" s="1"/>
  <c r="M85" i="52"/>
  <c r="M80" i="52"/>
  <c r="M89" i="52" s="1"/>
  <c r="S85" i="52"/>
  <c r="S80" i="52"/>
  <c r="S89" i="52" s="1"/>
  <c r="W85" i="52"/>
  <c r="W80" i="52"/>
  <c r="W89" i="52" s="1"/>
  <c r="N85" i="52"/>
  <c r="N80" i="52"/>
  <c r="N89" i="52" s="1"/>
  <c r="R85" i="52"/>
  <c r="R80" i="52"/>
  <c r="R89" i="52" s="1"/>
  <c r="J86" i="52"/>
  <c r="J85" i="52"/>
  <c r="J80" i="52"/>
  <c r="J89" i="52" s="1"/>
  <c r="P85" i="52"/>
  <c r="P80" i="52"/>
  <c r="P89" i="52" s="1"/>
  <c r="K85" i="52"/>
  <c r="K80" i="52"/>
  <c r="K89" i="52" s="1"/>
  <c r="Q85" i="52"/>
  <c r="Q80" i="52"/>
  <c r="Q89" i="52" s="1"/>
  <c r="T85" i="52"/>
  <c r="T80" i="52"/>
  <c r="T89" i="52" s="1"/>
  <c r="U85" i="52"/>
  <c r="U80" i="52"/>
  <c r="U89" i="52" s="1"/>
  <c r="O85" i="52"/>
  <c r="O80" i="52"/>
  <c r="O89" i="52" s="1"/>
  <c r="M94" i="51"/>
  <c r="H99" i="51" s="1"/>
  <c r="H102" i="51" s="1"/>
  <c r="U25" i="52" l="1"/>
  <c r="V25" i="52" s="1"/>
  <c r="V32" i="52" s="1"/>
  <c r="V26" i="52"/>
  <c r="W26" i="52" s="1"/>
  <c r="X26" i="52" s="1"/>
  <c r="Y26" i="52" s="1"/>
  <c r="Z26" i="52" s="1"/>
  <c r="T33" i="52"/>
  <c r="L35" i="52"/>
  <c r="M28" i="52"/>
  <c r="L34" i="52"/>
  <c r="M27" i="52"/>
  <c r="E128" i="51"/>
  <c r="F129" i="51"/>
  <c r="F128" i="51"/>
  <c r="G129" i="51"/>
  <c r="H105" i="51"/>
  <c r="H106" i="51"/>
  <c r="I43" i="51"/>
  <c r="I42" i="51"/>
  <c r="I41" i="51"/>
  <c r="I31" i="51"/>
  <c r="I30" i="51"/>
  <c r="I29" i="51"/>
  <c r="I28" i="51"/>
  <c r="U32" i="52" l="1"/>
  <c r="V33" i="52"/>
  <c r="W25" i="52"/>
  <c r="W32" i="52" s="1"/>
  <c r="X33" i="52"/>
  <c r="I32" i="51"/>
  <c r="H36" i="51" s="1"/>
  <c r="O113" i="52" s="1"/>
  <c r="P113" i="52" s="1"/>
  <c r="W33" i="52"/>
  <c r="M34" i="52"/>
  <c r="N27" i="52"/>
  <c r="M35" i="52"/>
  <c r="N28" i="52"/>
  <c r="AA26" i="52"/>
  <c r="AB26" i="52" s="1"/>
  <c r="Z33" i="52"/>
  <c r="Y33" i="52"/>
  <c r="G130" i="51"/>
  <c r="G131" i="51"/>
  <c r="I44" i="51"/>
  <c r="H48" i="51" s="1"/>
  <c r="O114" i="52" s="1"/>
  <c r="AZ113" i="52" l="1"/>
  <c r="AP113" i="52"/>
  <c r="AJ113" i="52"/>
  <c r="AE113" i="52"/>
  <c r="BD113" i="52"/>
  <c r="AY113" i="52"/>
  <c r="AT113" i="52"/>
  <c r="AN113" i="52"/>
  <c r="AI113" i="52"/>
  <c r="AD113" i="52"/>
  <c r="W113" i="52"/>
  <c r="BC113" i="52"/>
  <c r="AX113" i="52"/>
  <c r="AR113" i="52"/>
  <c r="AM113" i="52"/>
  <c r="AH113" i="52"/>
  <c r="AB113" i="52"/>
  <c r="R113" i="52"/>
  <c r="BF113" i="52"/>
  <c r="AU113" i="52"/>
  <c r="BG113" i="52"/>
  <c r="BB113" i="52"/>
  <c r="AV113" i="52"/>
  <c r="AQ113" i="52"/>
  <c r="AL113" i="52"/>
  <c r="AF113" i="52"/>
  <c r="AA113" i="52"/>
  <c r="X113" i="52"/>
  <c r="Q113" i="52"/>
  <c r="T113" i="52"/>
  <c r="J113" i="52"/>
  <c r="L113" i="52"/>
  <c r="M113" i="52"/>
  <c r="Z113" i="52"/>
  <c r="V113" i="52"/>
  <c r="S113" i="52"/>
  <c r="N113" i="52"/>
  <c r="BE113" i="52"/>
  <c r="BA113" i="52"/>
  <c r="AW113" i="52"/>
  <c r="AS113" i="52"/>
  <c r="AO113" i="52"/>
  <c r="AK113" i="52"/>
  <c r="AG113" i="52"/>
  <c r="AC113" i="52"/>
  <c r="Y113" i="52"/>
  <c r="U113" i="52"/>
  <c r="K113" i="52"/>
  <c r="X25" i="52"/>
  <c r="X32" i="52" s="1"/>
  <c r="H133" i="51"/>
  <c r="N34" i="52"/>
  <c r="O27" i="52"/>
  <c r="N35" i="52"/>
  <c r="O28" i="52"/>
  <c r="AB33" i="52"/>
  <c r="AC26" i="52"/>
  <c r="AA33" i="52"/>
  <c r="M123" i="52"/>
  <c r="BF123" i="52"/>
  <c r="BD123" i="52"/>
  <c r="J123" i="52"/>
  <c r="K123" i="52"/>
  <c r="BG123" i="52"/>
  <c r="O123" i="52"/>
  <c r="BC123" i="52"/>
  <c r="S123" i="52"/>
  <c r="N114" i="52"/>
  <c r="P114" i="52"/>
  <c r="M114" i="52"/>
  <c r="Q114" i="52"/>
  <c r="L114" i="52"/>
  <c r="R114" i="52"/>
  <c r="K114" i="52"/>
  <c r="S114" i="52"/>
  <c r="J114" i="52"/>
  <c r="T114" i="52"/>
  <c r="U114" i="52"/>
  <c r="V114" i="52"/>
  <c r="W114" i="52"/>
  <c r="X114" i="52"/>
  <c r="Y114" i="52"/>
  <c r="Z114" i="52"/>
  <c r="AA114" i="52"/>
  <c r="AB114" i="52"/>
  <c r="AC114" i="52"/>
  <c r="AD114" i="52"/>
  <c r="AE114" i="52"/>
  <c r="AF114" i="52"/>
  <c r="AG114" i="52"/>
  <c r="AH114" i="52"/>
  <c r="AI114" i="52"/>
  <c r="AJ114" i="52"/>
  <c r="AK114" i="52"/>
  <c r="AL114" i="52"/>
  <c r="AM114" i="52"/>
  <c r="AN114" i="52"/>
  <c r="AO114" i="52"/>
  <c r="AP114" i="52"/>
  <c r="AQ114" i="52"/>
  <c r="AR114" i="52"/>
  <c r="AS114" i="52"/>
  <c r="AT114" i="52"/>
  <c r="AU114" i="52"/>
  <c r="AV114" i="52"/>
  <c r="AW114" i="52"/>
  <c r="AX114" i="52"/>
  <c r="AY114" i="52"/>
  <c r="AZ114" i="52"/>
  <c r="BA114" i="52"/>
  <c r="BB114" i="52"/>
  <c r="BC114" i="52"/>
  <c r="BD114" i="52"/>
  <c r="BE114" i="52"/>
  <c r="BF114" i="52"/>
  <c r="BG114" i="52"/>
  <c r="BE123" i="52" l="1"/>
  <c r="P123" i="52"/>
  <c r="R123" i="52"/>
  <c r="L123" i="52"/>
  <c r="N123" i="52"/>
  <c r="Q123" i="52"/>
  <c r="BB123" i="52"/>
  <c r="Y25" i="52"/>
  <c r="Z25" i="52" s="1"/>
  <c r="AA25" i="52" s="1"/>
  <c r="AB25" i="52" s="1"/>
  <c r="O35" i="52"/>
  <c r="P28" i="52"/>
  <c r="P27" i="52"/>
  <c r="O34" i="52"/>
  <c r="AC33" i="52"/>
  <c r="AD26" i="52"/>
  <c r="O18" i="49"/>
  <c r="AA32" i="52" l="1"/>
  <c r="Y32" i="52"/>
  <c r="Z32" i="52"/>
  <c r="P34" i="52"/>
  <c r="Q27" i="52"/>
  <c r="Q28" i="52"/>
  <c r="P35" i="52"/>
  <c r="AB32" i="52"/>
  <c r="AD33" i="52"/>
  <c r="AE26" i="52"/>
  <c r="AC25" i="52"/>
  <c r="Q35" i="52" l="1"/>
  <c r="R28" i="52"/>
  <c r="S28" i="52" s="1"/>
  <c r="Q34" i="52"/>
  <c r="R27" i="52"/>
  <c r="S27" i="52" s="1"/>
  <c r="AE33" i="52"/>
  <c r="AF26" i="52"/>
  <c r="AC32" i="52"/>
  <c r="AD25" i="52"/>
  <c r="R130" i="52"/>
  <c r="T27" i="52" l="1"/>
  <c r="S34" i="52"/>
  <c r="S35" i="52"/>
  <c r="T28" i="52"/>
  <c r="AF33" i="52"/>
  <c r="AG26" i="52"/>
  <c r="AD32" i="52"/>
  <c r="AE25" i="52"/>
  <c r="T35" i="52" l="1"/>
  <c r="U28" i="52"/>
  <c r="T34" i="52"/>
  <c r="U27" i="52"/>
  <c r="AE32" i="52"/>
  <c r="AF25" i="52"/>
  <c r="AG33" i="52"/>
  <c r="AH26" i="52"/>
  <c r="U34" i="52" l="1"/>
  <c r="V27" i="52"/>
  <c r="U35" i="52"/>
  <c r="V28" i="52"/>
  <c r="AH33" i="52"/>
  <c r="AI26" i="52"/>
  <c r="AF32" i="52"/>
  <c r="AG25" i="52"/>
  <c r="O23" i="49"/>
  <c r="P24" i="49" l="1"/>
  <c r="Q24" i="49" s="1"/>
  <c r="R24" i="49" s="1"/>
  <c r="S24" i="49" s="1"/>
  <c r="T24" i="49" s="1"/>
  <c r="V35" i="52"/>
  <c r="W28" i="52"/>
  <c r="V34" i="52"/>
  <c r="W27" i="52"/>
  <c r="AG32" i="52"/>
  <c r="AH25" i="52"/>
  <c r="AI33" i="52"/>
  <c r="AJ26" i="52"/>
  <c r="K22" i="49"/>
  <c r="L22" i="49" s="1"/>
  <c r="N18" i="49"/>
  <c r="K21" i="49"/>
  <c r="L21" i="49" l="1"/>
  <c r="L18" i="49" s="1"/>
  <c r="L23" i="49" s="1"/>
  <c r="L10" i="49" s="1"/>
  <c r="L12" i="49" s="1"/>
  <c r="K18" i="49"/>
  <c r="K23" i="49" s="1"/>
  <c r="K10" i="49" s="1"/>
  <c r="K12" i="49" s="1"/>
  <c r="M18" i="49"/>
  <c r="X27" i="52"/>
  <c r="W34" i="52"/>
  <c r="W35" i="52"/>
  <c r="X28" i="52"/>
  <c r="AJ33" i="52"/>
  <c r="AK26" i="52"/>
  <c r="AH32" i="52"/>
  <c r="AI25" i="52"/>
  <c r="N23" i="49"/>
  <c r="O24" i="49" s="1"/>
  <c r="M23" i="49"/>
  <c r="X35" i="52" l="1"/>
  <c r="Y28" i="52"/>
  <c r="X34" i="52"/>
  <c r="Y27" i="52"/>
  <c r="AI32" i="52"/>
  <c r="AJ25" i="52"/>
  <c r="AK33" i="52"/>
  <c r="AL26" i="52"/>
  <c r="N24" i="49"/>
  <c r="Z27" i="52" l="1"/>
  <c r="Y34" i="52"/>
  <c r="Y35" i="52"/>
  <c r="Z28" i="52"/>
  <c r="AJ32" i="52"/>
  <c r="AK25" i="52"/>
  <c r="AL33" i="52"/>
  <c r="AM26" i="52"/>
  <c r="Z35" i="52" l="1"/>
  <c r="AA28" i="52"/>
  <c r="Z34" i="52"/>
  <c r="AA27" i="52"/>
  <c r="AK32" i="52"/>
  <c r="AL25" i="52"/>
  <c r="AM33" i="52"/>
  <c r="AN26" i="52"/>
  <c r="S130" i="52"/>
  <c r="AA34" i="52" l="1"/>
  <c r="AB27" i="52"/>
  <c r="AA35" i="52"/>
  <c r="AB28" i="52"/>
  <c r="AN33" i="52"/>
  <c r="AL32" i="52"/>
  <c r="AM25" i="52"/>
  <c r="AO26" i="52"/>
  <c r="T130" i="52"/>
  <c r="F6" i="53" s="1"/>
  <c r="AB35" i="52" l="1"/>
  <c r="AC28" i="52"/>
  <c r="AB34" i="52"/>
  <c r="AC27" i="52"/>
  <c r="AN25" i="52"/>
  <c r="AO33" i="52"/>
  <c r="AP26" i="52"/>
  <c r="AM32" i="52"/>
  <c r="U130" i="52"/>
  <c r="AC34" i="52" l="1"/>
  <c r="AD27" i="52"/>
  <c r="AC35" i="52"/>
  <c r="AD28" i="52"/>
  <c r="AN32" i="52"/>
  <c r="AO25" i="52"/>
  <c r="AP33" i="52"/>
  <c r="AQ26" i="52"/>
  <c r="AR26" i="52" s="1"/>
  <c r="V130" i="52"/>
  <c r="AD35" i="52" l="1"/>
  <c r="AE28" i="52"/>
  <c r="AD34" i="52"/>
  <c r="AE27" i="52"/>
  <c r="AO32" i="52"/>
  <c r="AP25" i="52"/>
  <c r="AR33" i="52"/>
  <c r="AQ33" i="52"/>
  <c r="AS26" i="52"/>
  <c r="W130" i="52"/>
  <c r="AE34" i="52" l="1"/>
  <c r="AF27" i="52"/>
  <c r="AE35" i="52"/>
  <c r="AF28" i="52"/>
  <c r="AT26" i="52"/>
  <c r="AP32" i="52"/>
  <c r="AQ25" i="52"/>
  <c r="AS33" i="52"/>
  <c r="X130" i="52"/>
  <c r="AF35" i="52" l="1"/>
  <c r="AG28" i="52"/>
  <c r="AF34" i="52"/>
  <c r="AG27" i="52"/>
  <c r="AQ32" i="52"/>
  <c r="AR25" i="52"/>
  <c r="AT33" i="52"/>
  <c r="AU26" i="52"/>
  <c r="Y130" i="52"/>
  <c r="AG34" i="52" l="1"/>
  <c r="AH27" i="52"/>
  <c r="AG35" i="52"/>
  <c r="AH28" i="52"/>
  <c r="AR32" i="52"/>
  <c r="AS25" i="52"/>
  <c r="AU33" i="52"/>
  <c r="AV26" i="52"/>
  <c r="Z130" i="52"/>
  <c r="AH35" i="52" l="1"/>
  <c r="AI28" i="52"/>
  <c r="AH34" i="52"/>
  <c r="AI27" i="52"/>
  <c r="AV33" i="52"/>
  <c r="AW26" i="52"/>
  <c r="AX26" i="52" s="1"/>
  <c r="AS32" i="52"/>
  <c r="AT25" i="52"/>
  <c r="AA130" i="52"/>
  <c r="AI34" i="52" l="1"/>
  <c r="AJ27" i="52"/>
  <c r="AI35" i="52"/>
  <c r="AJ28" i="52"/>
  <c r="AX33" i="52"/>
  <c r="AW33" i="52"/>
  <c r="AY26" i="52"/>
  <c r="AT32" i="52"/>
  <c r="AU25" i="52"/>
  <c r="AB130" i="52"/>
  <c r="AJ35" i="52" l="1"/>
  <c r="AK28" i="52"/>
  <c r="AJ34" i="52"/>
  <c r="AK27" i="52"/>
  <c r="AY33" i="52"/>
  <c r="AZ26" i="52"/>
  <c r="AU32" i="52"/>
  <c r="AV25" i="52"/>
  <c r="AW25" i="52" s="1"/>
  <c r="AC130" i="52"/>
  <c r="AK34" i="52" l="1"/>
  <c r="AL27" i="52"/>
  <c r="AK35" i="52"/>
  <c r="AL28" i="52"/>
  <c r="AW32" i="52"/>
  <c r="AX25" i="52"/>
  <c r="AZ33" i="52"/>
  <c r="BA26" i="52"/>
  <c r="BB26" i="52" s="1"/>
  <c r="BB33" i="52" s="1"/>
  <c r="AV32" i="52"/>
  <c r="AD130" i="52"/>
  <c r="AL35" i="52" l="1"/>
  <c r="AM28" i="52"/>
  <c r="AM27" i="52"/>
  <c r="AL34" i="52"/>
  <c r="AX32" i="52"/>
  <c r="AY25" i="52"/>
  <c r="AZ25" i="52" s="1"/>
  <c r="BC26" i="52"/>
  <c r="BA33" i="52"/>
  <c r="AE130" i="52"/>
  <c r="AM34" i="52" l="1"/>
  <c r="AN27" i="52"/>
  <c r="AN28" i="52"/>
  <c r="AM35" i="52"/>
  <c r="AY32" i="52"/>
  <c r="AZ32" i="52"/>
  <c r="BA25" i="52"/>
  <c r="BA32" i="52" s="1"/>
  <c r="BC33" i="52"/>
  <c r="BD26" i="52"/>
  <c r="BE26" i="52" s="1"/>
  <c r="BE33" i="52" s="1"/>
  <c r="AF130" i="52"/>
  <c r="AN35" i="52" l="1"/>
  <c r="AO28" i="52"/>
  <c r="AN34" i="52"/>
  <c r="AO27" i="52"/>
  <c r="BB25" i="52"/>
  <c r="BB32" i="52" s="1"/>
  <c r="BD33" i="52"/>
  <c r="BF26" i="52"/>
  <c r="BF33" i="52" s="1"/>
  <c r="AG130" i="52"/>
  <c r="AO34" i="52" l="1"/>
  <c r="AP27" i="52"/>
  <c r="AP28" i="52"/>
  <c r="AO35" i="52"/>
  <c r="BG26" i="52"/>
  <c r="BG33" i="52" s="1"/>
  <c r="BC25" i="52"/>
  <c r="BC32" i="52" s="1"/>
  <c r="AH130" i="52"/>
  <c r="AP35" i="52" l="1"/>
  <c r="AQ28" i="52"/>
  <c r="AP34" i="52"/>
  <c r="AQ27" i="52"/>
  <c r="BD25" i="52"/>
  <c r="BD32" i="52" s="1"/>
  <c r="AI130" i="52"/>
  <c r="AQ34" i="52" l="1"/>
  <c r="AR27" i="52"/>
  <c r="AQ35" i="52"/>
  <c r="AR28" i="52"/>
  <c r="BE25" i="52"/>
  <c r="BE32" i="52" s="1"/>
  <c r="AJ130" i="52"/>
  <c r="AS28" i="52" l="1"/>
  <c r="AR35" i="52"/>
  <c r="AS27" i="52"/>
  <c r="AR34" i="52"/>
  <c r="BF25" i="52"/>
  <c r="BF32" i="52" s="1"/>
  <c r="AK130" i="52"/>
  <c r="AS34" i="52" l="1"/>
  <c r="AT27" i="52"/>
  <c r="BG25" i="52"/>
  <c r="BG32" i="52" s="1"/>
  <c r="AT28" i="52"/>
  <c r="AS35" i="52"/>
  <c r="AL130" i="52"/>
  <c r="AT35" i="52" l="1"/>
  <c r="AU28" i="52"/>
  <c r="AT34" i="52"/>
  <c r="AU27" i="52"/>
  <c r="AM130" i="52"/>
  <c r="AV27" i="52" l="1"/>
  <c r="AU34" i="52"/>
  <c r="AU35" i="52"/>
  <c r="AV28" i="52"/>
  <c r="AN130" i="52"/>
  <c r="AW28" i="52" l="1"/>
  <c r="AV35" i="52"/>
  <c r="AV34" i="52"/>
  <c r="AW27" i="52"/>
  <c r="AO130" i="52"/>
  <c r="AW34" i="52" l="1"/>
  <c r="AX27" i="52"/>
  <c r="AW35" i="52"/>
  <c r="AX28" i="52"/>
  <c r="AP130" i="52"/>
  <c r="AX35" i="52" l="1"/>
  <c r="AY28" i="52"/>
  <c r="AY27" i="52"/>
  <c r="AX34" i="52"/>
  <c r="AQ130" i="52"/>
  <c r="AZ27" i="52" l="1"/>
  <c r="AY34" i="52"/>
  <c r="AY35" i="52"/>
  <c r="AZ28" i="52"/>
  <c r="AR130" i="52"/>
  <c r="AZ35" i="52" l="1"/>
  <c r="BA28" i="52"/>
  <c r="AZ34" i="52"/>
  <c r="BA27" i="52"/>
  <c r="AS130" i="52"/>
  <c r="BA34" i="52" l="1"/>
  <c r="BB27" i="52"/>
  <c r="BA35" i="52"/>
  <c r="BB28" i="52"/>
  <c r="AT130" i="52"/>
  <c r="BB35" i="52" l="1"/>
  <c r="BC28" i="52"/>
  <c r="BC27" i="52"/>
  <c r="BB34" i="52"/>
  <c r="AU130" i="52"/>
  <c r="BD27" i="52" l="1"/>
  <c r="BC34" i="52"/>
  <c r="BC35" i="52"/>
  <c r="BD28" i="52"/>
  <c r="AV130" i="52"/>
  <c r="BD35" i="52" l="1"/>
  <c r="BE28" i="52"/>
  <c r="BD34" i="52"/>
  <c r="BE27" i="52"/>
  <c r="AW130" i="52"/>
  <c r="BE34" i="52" l="1"/>
  <c r="BF27" i="52"/>
  <c r="BF28" i="52"/>
  <c r="BE35" i="52"/>
  <c r="AX130" i="52"/>
  <c r="BF35" i="52" l="1"/>
  <c r="BG28" i="52"/>
  <c r="BG35" i="52" s="1"/>
  <c r="BF34" i="52"/>
  <c r="BG27" i="52"/>
  <c r="BG34" i="52" s="1"/>
  <c r="AY130" i="52"/>
  <c r="AZ130" i="52" l="1"/>
  <c r="BA130" i="52" l="1"/>
  <c r="BB130" i="52" l="1"/>
  <c r="BC130" i="52" l="1"/>
  <c r="BD130" i="52" l="1"/>
  <c r="BE130" i="52" l="1"/>
  <c r="BF130" i="52" l="1"/>
  <c r="BG130" i="52" l="1"/>
  <c r="X71" i="52" l="1"/>
  <c r="M28" i="49"/>
  <c r="N28" i="49"/>
  <c r="N29" i="49"/>
  <c r="P28" i="49"/>
  <c r="Q28" i="49"/>
  <c r="R28" i="49"/>
  <c r="S28" i="49"/>
  <c r="T28" i="49"/>
  <c r="U28" i="49"/>
  <c r="V28" i="49"/>
  <c r="W28" i="49"/>
  <c r="X28" i="49"/>
  <c r="Y28" i="49"/>
  <c r="Z28" i="49"/>
  <c r="AA28" i="49"/>
  <c r="AB28" i="49"/>
  <c r="AC28" i="49"/>
  <c r="AD28" i="49"/>
  <c r="AE28" i="49"/>
  <c r="AF28" i="49"/>
  <c r="AG28" i="49"/>
  <c r="AH28" i="49"/>
  <c r="AI28" i="49"/>
  <c r="AJ28" i="49"/>
  <c r="AK28" i="49"/>
  <c r="AL28" i="49"/>
  <c r="AM28" i="49"/>
  <c r="AN28" i="49"/>
  <c r="AO28" i="49"/>
  <c r="AP28" i="49"/>
  <c r="AQ28" i="49"/>
  <c r="AR28" i="49"/>
  <c r="AS28" i="49"/>
  <c r="AT28" i="49"/>
  <c r="AU28" i="49"/>
  <c r="AV28" i="49"/>
  <c r="AW28" i="49"/>
  <c r="AX28" i="49"/>
  <c r="AY28" i="49"/>
  <c r="AZ28" i="49"/>
  <c r="BA28" i="49"/>
  <c r="BB28" i="49"/>
  <c r="M29" i="49" l="1"/>
  <c r="L29" i="49" s="1"/>
  <c r="K29" i="49" s="1"/>
  <c r="Y71" i="52"/>
  <c r="Z71" i="52" s="1"/>
  <c r="AA71" i="52" s="1"/>
  <c r="AB71" i="52" s="1"/>
  <c r="AC71" i="52" s="1"/>
  <c r="AD71" i="52" s="1"/>
  <c r="AE71" i="52" s="1"/>
  <c r="AF71" i="52" s="1"/>
  <c r="AG71" i="52" s="1"/>
  <c r="AH71" i="52" s="1"/>
  <c r="AI71" i="52" s="1"/>
  <c r="AJ71" i="52" s="1"/>
  <c r="AK71" i="52" s="1"/>
  <c r="AL71" i="52" s="1"/>
  <c r="AM71" i="52" s="1"/>
  <c r="AN71" i="52" s="1"/>
  <c r="AO71" i="52" s="1"/>
  <c r="AP71" i="52" s="1"/>
  <c r="AQ71" i="52" s="1"/>
  <c r="AR71" i="52" s="1"/>
  <c r="AS71" i="52" s="1"/>
  <c r="AT71" i="52" s="1"/>
  <c r="AU71" i="52" s="1"/>
  <c r="AV71" i="52" s="1"/>
  <c r="AW71" i="52" s="1"/>
  <c r="AX71" i="52" s="1"/>
  <c r="AY71" i="52" s="1"/>
  <c r="AZ71" i="52" s="1"/>
  <c r="BA71" i="52" s="1"/>
  <c r="BB71" i="52" s="1"/>
  <c r="BC71" i="52" s="1"/>
  <c r="BD71" i="52" s="1"/>
  <c r="BE71" i="52" s="1"/>
  <c r="BF71" i="52" s="1"/>
  <c r="BG71" i="52" s="1"/>
  <c r="X72" i="52"/>
  <c r="X69" i="52" s="1"/>
  <c r="X89" i="52" s="1"/>
  <c r="L30" i="49" l="1"/>
  <c r="Y72" i="52"/>
  <c r="Y69" i="52" s="1"/>
  <c r="Y89" i="52" s="1"/>
  <c r="X65" i="52"/>
  <c r="X85" i="52" s="1"/>
  <c r="X70" i="52"/>
  <c r="X90" i="52" s="1"/>
  <c r="X66" i="52"/>
  <c r="X86" i="52" s="1"/>
  <c r="X64" i="52"/>
  <c r="X84" i="52" s="1"/>
  <c r="X63" i="52"/>
  <c r="X83" i="52" s="1"/>
  <c r="K30" i="49"/>
  <c r="J29" i="49"/>
  <c r="J30" i="49" s="1"/>
  <c r="R97" i="52"/>
  <c r="R93" i="52"/>
  <c r="R94" i="52"/>
  <c r="R98" i="52" s="1"/>
  <c r="R95" i="52"/>
  <c r="R96" i="52"/>
  <c r="R92" i="52"/>
  <c r="R99" i="52" l="1"/>
  <c r="Z72" i="52"/>
  <c r="Z69" i="52" s="1"/>
  <c r="Z89" i="52" s="1"/>
  <c r="Y66" i="52"/>
  <c r="Y86" i="52" s="1"/>
  <c r="Y65" i="52"/>
  <c r="Y85" i="52" s="1"/>
  <c r="Y70" i="52"/>
  <c r="Y90" i="52" s="1"/>
  <c r="Y64" i="52"/>
  <c r="Y84" i="52" s="1"/>
  <c r="Y63" i="52"/>
  <c r="Y83" i="52" s="1"/>
  <c r="S95" i="52"/>
  <c r="S97" i="52"/>
  <c r="S99" i="52" s="1"/>
  <c r="S92" i="52"/>
  <c r="S94" i="52"/>
  <c r="S98" i="52" s="1"/>
  <c r="S93" i="52"/>
  <c r="S96" i="52"/>
  <c r="AA72" i="52" l="1"/>
  <c r="AA69" i="52" s="1"/>
  <c r="AA89" i="52" s="1"/>
  <c r="Z65" i="52"/>
  <c r="Z85" i="52" s="1"/>
  <c r="Z70" i="52"/>
  <c r="Z90" i="52" s="1"/>
  <c r="Z66" i="52"/>
  <c r="Z86" i="52" s="1"/>
  <c r="Z63" i="52"/>
  <c r="Z83" i="52" s="1"/>
  <c r="Z64" i="52"/>
  <c r="Z84" i="52" s="1"/>
  <c r="M30" i="49"/>
  <c r="T94" i="52"/>
  <c r="T98" i="52" s="1"/>
  <c r="T95" i="52"/>
  <c r="T96" i="52"/>
  <c r="T97" i="52"/>
  <c r="T99" i="52" s="1"/>
  <c r="T93" i="52"/>
  <c r="T92" i="52"/>
  <c r="AB72" i="52" l="1"/>
  <c r="AB69" i="52" s="1"/>
  <c r="AB89" i="52" s="1"/>
  <c r="AA70" i="52"/>
  <c r="AA90" i="52" s="1"/>
  <c r="AA66" i="52"/>
  <c r="AA86" i="52" s="1"/>
  <c r="AA65" i="52"/>
  <c r="AA85" i="52" s="1"/>
  <c r="AA64" i="52"/>
  <c r="AA84" i="52" s="1"/>
  <c r="AA63" i="52"/>
  <c r="AA83" i="52" s="1"/>
  <c r="N30" i="49"/>
  <c r="U96" i="52"/>
  <c r="U93" i="52"/>
  <c r="U95" i="52"/>
  <c r="U94" i="52"/>
  <c r="U98" i="52" s="1"/>
  <c r="U92" i="52"/>
  <c r="U97" i="52"/>
  <c r="U99" i="52" s="1"/>
  <c r="AC72" i="52" l="1"/>
  <c r="AC69" i="52" s="1"/>
  <c r="AC89" i="52" s="1"/>
  <c r="AB65" i="52"/>
  <c r="AB85" i="52" s="1"/>
  <c r="AB66" i="52"/>
  <c r="AB86" i="52" s="1"/>
  <c r="AB70" i="52"/>
  <c r="AB90" i="52" s="1"/>
  <c r="AB63" i="52"/>
  <c r="AB83" i="52" s="1"/>
  <c r="AB64" i="52"/>
  <c r="AB84" i="52" s="1"/>
  <c r="P29" i="49"/>
  <c r="V97" i="52"/>
  <c r="V93" i="52"/>
  <c r="V94" i="52"/>
  <c r="V98" i="52" s="1"/>
  <c r="V95" i="52"/>
  <c r="V96" i="52"/>
  <c r="V92" i="52"/>
  <c r="AD72" i="52" l="1"/>
  <c r="AD69" i="52" s="1"/>
  <c r="AD89" i="52" s="1"/>
  <c r="AC66" i="52"/>
  <c r="AC86" i="52" s="1"/>
  <c r="AC65" i="52"/>
  <c r="AC85" i="52" s="1"/>
  <c r="AC70" i="52"/>
  <c r="AC90" i="52" s="1"/>
  <c r="AC63" i="52"/>
  <c r="AC83" i="52" s="1"/>
  <c r="AC64" i="52"/>
  <c r="AC84" i="52" s="1"/>
  <c r="V99" i="52"/>
  <c r="Q29" i="49"/>
  <c r="P30" i="49"/>
  <c r="W97" i="52"/>
  <c r="W99" i="52" s="1"/>
  <c r="W92" i="52"/>
  <c r="W94" i="52"/>
  <c r="W98" i="52" s="1"/>
  <c r="W93" i="52"/>
  <c r="W96" i="52"/>
  <c r="W95" i="52"/>
  <c r="AE72" i="52" l="1"/>
  <c r="AE69" i="52" s="1"/>
  <c r="AE89" i="52" s="1"/>
  <c r="AD65" i="52"/>
  <c r="AD85" i="52" s="1"/>
  <c r="AD66" i="52"/>
  <c r="AD86" i="52" s="1"/>
  <c r="AD70" i="52"/>
  <c r="AD90" i="52" s="1"/>
  <c r="AD64" i="52"/>
  <c r="AD84" i="52" s="1"/>
  <c r="AD63" i="52"/>
  <c r="AD83" i="52" s="1"/>
  <c r="R29" i="49"/>
  <c r="Q30" i="49"/>
  <c r="X94" i="52"/>
  <c r="X98" i="52" s="1"/>
  <c r="X95" i="52"/>
  <c r="X96" i="52"/>
  <c r="X97" i="52"/>
  <c r="X99" i="52" s="1"/>
  <c r="X93" i="52"/>
  <c r="X92" i="52"/>
  <c r="AF72" i="52" l="1"/>
  <c r="AF69" i="52" s="1"/>
  <c r="AF89" i="52" s="1"/>
  <c r="AE66" i="52"/>
  <c r="AE86" i="52" s="1"/>
  <c r="AE65" i="52"/>
  <c r="AE85" i="52" s="1"/>
  <c r="AE70" i="52"/>
  <c r="AE90" i="52" s="1"/>
  <c r="AE63" i="52"/>
  <c r="AE83" i="52" s="1"/>
  <c r="AE64" i="52"/>
  <c r="AE84" i="52" s="1"/>
  <c r="S29" i="49"/>
  <c r="R30" i="49"/>
  <c r="Y93" i="52"/>
  <c r="Y95" i="52"/>
  <c r="Y94" i="52"/>
  <c r="Y98" i="52" s="1"/>
  <c r="Y92" i="52"/>
  <c r="Y97" i="52"/>
  <c r="Y99" i="52" s="1"/>
  <c r="Y96" i="52"/>
  <c r="AG72" i="52" l="1"/>
  <c r="AG69" i="52" s="1"/>
  <c r="AG89" i="52" s="1"/>
  <c r="AF66" i="52"/>
  <c r="AF86" i="52" s="1"/>
  <c r="AF70" i="52"/>
  <c r="AF90" i="52" s="1"/>
  <c r="AF65" i="52"/>
  <c r="AF85" i="52" s="1"/>
  <c r="AF64" i="52"/>
  <c r="AF84" i="52" s="1"/>
  <c r="AF63" i="52"/>
  <c r="AF83" i="52" s="1"/>
  <c r="T29" i="49"/>
  <c r="S30" i="49"/>
  <c r="Z95" i="52"/>
  <c r="Z96" i="52"/>
  <c r="Z92" i="52"/>
  <c r="Z97" i="52"/>
  <c r="Z99" i="52" s="1"/>
  <c r="Z93" i="52"/>
  <c r="Z94" i="52"/>
  <c r="Z98" i="52" s="1"/>
  <c r="AH72" i="52" l="1"/>
  <c r="AH69" i="52" s="1"/>
  <c r="AH89" i="52" s="1"/>
  <c r="AG70" i="52"/>
  <c r="AG90" i="52" s="1"/>
  <c r="AG66" i="52"/>
  <c r="AG86" i="52" s="1"/>
  <c r="AG65" i="52"/>
  <c r="AG85" i="52" s="1"/>
  <c r="AG63" i="52"/>
  <c r="AG83" i="52" s="1"/>
  <c r="AG64" i="52"/>
  <c r="AG84" i="52" s="1"/>
  <c r="U29" i="49"/>
  <c r="T30" i="49"/>
  <c r="AA94" i="52"/>
  <c r="AA98" i="52" s="1"/>
  <c r="AA93" i="52"/>
  <c r="AA96" i="52"/>
  <c r="AA95" i="52"/>
  <c r="AA97" i="52"/>
  <c r="AA99" i="52" s="1"/>
  <c r="AA92" i="52"/>
  <c r="AI72" i="52" l="1"/>
  <c r="AI69" i="52" s="1"/>
  <c r="AI89" i="52" s="1"/>
  <c r="AH65" i="52"/>
  <c r="AH85" i="52" s="1"/>
  <c r="AH66" i="52"/>
  <c r="AH86" i="52" s="1"/>
  <c r="AH70" i="52"/>
  <c r="AH90" i="52" s="1"/>
  <c r="AH63" i="52"/>
  <c r="AH83" i="52" s="1"/>
  <c r="AH64" i="52"/>
  <c r="AH84" i="52" s="1"/>
  <c r="V29" i="49"/>
  <c r="U30" i="49"/>
  <c r="AB96" i="52"/>
  <c r="AB93" i="52"/>
  <c r="AB92" i="52"/>
  <c r="AB97" i="52"/>
  <c r="AB99" i="52" s="1"/>
  <c r="AB94" i="52"/>
  <c r="AB98" i="52" s="1"/>
  <c r="AB95" i="52"/>
  <c r="AJ72" i="52" l="1"/>
  <c r="AJ69" i="52" s="1"/>
  <c r="AJ89" i="52" s="1"/>
  <c r="AI70" i="52"/>
  <c r="AI90" i="52" s="1"/>
  <c r="AI65" i="52"/>
  <c r="AI85" i="52" s="1"/>
  <c r="AI66" i="52"/>
  <c r="AI86" i="52" s="1"/>
  <c r="AI64" i="52"/>
  <c r="AI84" i="52" s="1"/>
  <c r="AI63" i="52"/>
  <c r="AI83" i="52" s="1"/>
  <c r="W29" i="49"/>
  <c r="V30" i="49"/>
  <c r="AC95" i="52"/>
  <c r="AC94" i="52"/>
  <c r="AC98" i="52" s="1"/>
  <c r="AC92" i="52"/>
  <c r="AC97" i="52"/>
  <c r="AC99" i="52" s="1"/>
  <c r="AC96" i="52"/>
  <c r="AC93" i="52"/>
  <c r="AK72" i="52" l="1"/>
  <c r="AK69" i="52" s="1"/>
  <c r="AK89" i="52" s="1"/>
  <c r="AJ70" i="52"/>
  <c r="AJ90" i="52" s="1"/>
  <c r="AJ65" i="52"/>
  <c r="AJ85" i="52" s="1"/>
  <c r="AJ66" i="52"/>
  <c r="AJ86" i="52" s="1"/>
  <c r="AJ63" i="52"/>
  <c r="AJ83" i="52" s="1"/>
  <c r="AJ64" i="52"/>
  <c r="AJ84" i="52" s="1"/>
  <c r="X29" i="49"/>
  <c r="W30" i="49"/>
  <c r="AD95" i="52"/>
  <c r="AD96" i="52"/>
  <c r="AD92" i="52"/>
  <c r="AD97" i="52"/>
  <c r="AD99" i="52" s="1"/>
  <c r="AD93" i="52"/>
  <c r="AD94" i="52"/>
  <c r="AD98" i="52" s="1"/>
  <c r="AL72" i="52" l="1"/>
  <c r="AL69" i="52" s="1"/>
  <c r="AL89" i="52" s="1"/>
  <c r="AK66" i="52"/>
  <c r="AK86" i="52" s="1"/>
  <c r="AK65" i="52"/>
  <c r="AK85" i="52" s="1"/>
  <c r="AK70" i="52"/>
  <c r="AK90" i="52" s="1"/>
  <c r="AK63" i="52"/>
  <c r="AK83" i="52" s="1"/>
  <c r="AK64" i="52"/>
  <c r="AK84" i="52" s="1"/>
  <c r="Y29" i="49"/>
  <c r="X30" i="49"/>
  <c r="AE93" i="52"/>
  <c r="AE96" i="52"/>
  <c r="AE95" i="52"/>
  <c r="AE97" i="52"/>
  <c r="AE99" i="52" s="1"/>
  <c r="AE92" i="52"/>
  <c r="AE94" i="52"/>
  <c r="AE98" i="52" s="1"/>
  <c r="AM72" i="52" l="1"/>
  <c r="AM69" i="52" s="1"/>
  <c r="AM89" i="52" s="1"/>
  <c r="AL65" i="52"/>
  <c r="AL85" i="52" s="1"/>
  <c r="AL66" i="52"/>
  <c r="AL86" i="52" s="1"/>
  <c r="AL70" i="52"/>
  <c r="AL90" i="52" s="1"/>
  <c r="AL64" i="52"/>
  <c r="AL84" i="52" s="1"/>
  <c r="AL63" i="52"/>
  <c r="AL83" i="52" s="1"/>
  <c r="Z29" i="49"/>
  <c r="Y30" i="49"/>
  <c r="AF96" i="52"/>
  <c r="AF93" i="52"/>
  <c r="AF97" i="52"/>
  <c r="AF99" i="52" s="1"/>
  <c r="AF94" i="52"/>
  <c r="AF98" i="52" s="1"/>
  <c r="AF95" i="52"/>
  <c r="AF92" i="52"/>
  <c r="AN72" i="52" l="1"/>
  <c r="AN69" i="52" s="1"/>
  <c r="AN89" i="52" s="1"/>
  <c r="AM65" i="52"/>
  <c r="AM85" i="52" s="1"/>
  <c r="AM70" i="52"/>
  <c r="AM90" i="52" s="1"/>
  <c r="AM66" i="52"/>
  <c r="AM86" i="52" s="1"/>
  <c r="AM64" i="52"/>
  <c r="AM84" i="52" s="1"/>
  <c r="AM63" i="52"/>
  <c r="AM83" i="52" s="1"/>
  <c r="AA29" i="49"/>
  <c r="Z30" i="49"/>
  <c r="AG94" i="52"/>
  <c r="AG98" i="52" s="1"/>
  <c r="AG97" i="52"/>
  <c r="AG99" i="52" s="1"/>
  <c r="AG96" i="52"/>
  <c r="AG93" i="52"/>
  <c r="AG92" i="52"/>
  <c r="AG95" i="52"/>
  <c r="AO72" i="52" l="1"/>
  <c r="AO69" i="52" s="1"/>
  <c r="AO89" i="52" s="1"/>
  <c r="AN66" i="52"/>
  <c r="AN86" i="52" s="1"/>
  <c r="AN65" i="52"/>
  <c r="AN85" i="52" s="1"/>
  <c r="AN70" i="52"/>
  <c r="AN90" i="52" s="1"/>
  <c r="AN64" i="52"/>
  <c r="AN84" i="52" s="1"/>
  <c r="AN63" i="52"/>
  <c r="AN83" i="52" s="1"/>
  <c r="AB29" i="49"/>
  <c r="AA30" i="49"/>
  <c r="AH97" i="52"/>
  <c r="AH99" i="52" s="1"/>
  <c r="AH93" i="52"/>
  <c r="AH94" i="52"/>
  <c r="AH98" i="52" s="1"/>
  <c r="AH95" i="52"/>
  <c r="AH96" i="52"/>
  <c r="AH92" i="52"/>
  <c r="AP72" i="52" l="1"/>
  <c r="AP69" i="52" s="1"/>
  <c r="AP89" i="52" s="1"/>
  <c r="AO66" i="52"/>
  <c r="AO86" i="52" s="1"/>
  <c r="AO65" i="52"/>
  <c r="AO85" i="52" s="1"/>
  <c r="AO70" i="52"/>
  <c r="AO90" i="52" s="1"/>
  <c r="AO64" i="52"/>
  <c r="AO84" i="52" s="1"/>
  <c r="AO63" i="52"/>
  <c r="AO83" i="52" s="1"/>
  <c r="AC29" i="49"/>
  <c r="AB30" i="49"/>
  <c r="AI95" i="52"/>
  <c r="AI97" i="52"/>
  <c r="AI99" i="52" s="1"/>
  <c r="AI92" i="52"/>
  <c r="AI94" i="52"/>
  <c r="AI98" i="52" s="1"/>
  <c r="AI93" i="52"/>
  <c r="AI96" i="52"/>
  <c r="AQ72" i="52" l="1"/>
  <c r="AQ69" i="52" s="1"/>
  <c r="AQ89" i="52" s="1"/>
  <c r="AP65" i="52"/>
  <c r="AP85" i="52" s="1"/>
  <c r="AP70" i="52"/>
  <c r="AP90" i="52" s="1"/>
  <c r="AP66" i="52"/>
  <c r="AP86" i="52" s="1"/>
  <c r="AP63" i="52"/>
  <c r="AP83" i="52" s="1"/>
  <c r="AP64" i="52"/>
  <c r="AP84" i="52" s="1"/>
  <c r="AD29" i="49"/>
  <c r="AC30" i="49"/>
  <c r="AJ92" i="52"/>
  <c r="AJ94" i="52"/>
  <c r="AJ98" i="52" s="1"/>
  <c r="AJ95" i="52"/>
  <c r="AJ97" i="52"/>
  <c r="AJ99" i="52" s="1"/>
  <c r="AJ96" i="52"/>
  <c r="AJ93" i="52"/>
  <c r="AR72" i="52" l="1"/>
  <c r="AR69" i="52" s="1"/>
  <c r="AR89" i="52" s="1"/>
  <c r="AQ70" i="52"/>
  <c r="AQ90" i="52" s="1"/>
  <c r="AQ65" i="52"/>
  <c r="AQ85" i="52" s="1"/>
  <c r="AQ66" i="52"/>
  <c r="AQ86" i="52" s="1"/>
  <c r="AQ64" i="52"/>
  <c r="AQ84" i="52" s="1"/>
  <c r="AQ63" i="52"/>
  <c r="AQ83" i="52" s="1"/>
  <c r="AE29" i="49"/>
  <c r="AD30" i="49"/>
  <c r="AK96" i="52"/>
  <c r="AK93" i="52"/>
  <c r="AK95" i="52"/>
  <c r="AK92" i="52"/>
  <c r="AK94" i="52"/>
  <c r="AK98" i="52" s="1"/>
  <c r="AK97" i="52"/>
  <c r="AK99" i="52" s="1"/>
  <c r="AS72" i="52" l="1"/>
  <c r="AS69" i="52" s="1"/>
  <c r="AS89" i="52" s="1"/>
  <c r="AR66" i="52"/>
  <c r="AR86" i="52" s="1"/>
  <c r="AR65" i="52"/>
  <c r="AR85" i="52" s="1"/>
  <c r="AR70" i="52"/>
  <c r="AR90" i="52" s="1"/>
  <c r="AR64" i="52"/>
  <c r="AR84" i="52" s="1"/>
  <c r="AR63" i="52"/>
  <c r="AR83" i="52" s="1"/>
  <c r="AF29" i="49"/>
  <c r="AE30" i="49"/>
  <c r="AL97" i="52"/>
  <c r="AL99" i="52" s="1"/>
  <c r="AL93" i="52"/>
  <c r="AL94" i="52"/>
  <c r="AL98" i="52" s="1"/>
  <c r="AL95" i="52"/>
  <c r="AL96" i="52"/>
  <c r="AL92" i="52"/>
  <c r="AT72" i="52" l="1"/>
  <c r="AT69" i="52" s="1"/>
  <c r="AT89" i="52" s="1"/>
  <c r="AS66" i="52"/>
  <c r="AS86" i="52" s="1"/>
  <c r="AS70" i="52"/>
  <c r="AS90" i="52" s="1"/>
  <c r="AS65" i="52"/>
  <c r="AS85" i="52" s="1"/>
  <c r="AS63" i="52"/>
  <c r="AS83" i="52" s="1"/>
  <c r="AS64" i="52"/>
  <c r="AS84" i="52" s="1"/>
  <c r="AG29" i="49"/>
  <c r="AF30" i="49"/>
  <c r="AM97" i="52"/>
  <c r="AM99" i="52" s="1"/>
  <c r="AM92" i="52"/>
  <c r="AM94" i="52"/>
  <c r="AM98" i="52" s="1"/>
  <c r="AM93" i="52"/>
  <c r="AM96" i="52"/>
  <c r="AM95" i="52"/>
  <c r="AU72" i="52" l="1"/>
  <c r="AU69" i="52" s="1"/>
  <c r="AU89" i="52" s="1"/>
  <c r="AT65" i="52"/>
  <c r="AT85" i="52" s="1"/>
  <c r="AT70" i="52"/>
  <c r="AT90" i="52" s="1"/>
  <c r="AT66" i="52"/>
  <c r="AT86" i="52" s="1"/>
  <c r="AT64" i="52"/>
  <c r="AT84" i="52" s="1"/>
  <c r="AT63" i="52"/>
  <c r="AT83" i="52" s="1"/>
  <c r="AH29" i="49"/>
  <c r="AG30" i="49"/>
  <c r="AN94" i="52"/>
  <c r="AN98" i="52" s="1"/>
  <c r="AN95" i="52"/>
  <c r="AN97" i="52"/>
  <c r="AN99" i="52" s="1"/>
  <c r="AN96" i="52"/>
  <c r="AN93" i="52"/>
  <c r="AN92" i="52"/>
  <c r="AV72" i="52" l="1"/>
  <c r="AV69" i="52" s="1"/>
  <c r="AV89" i="52" s="1"/>
  <c r="AU65" i="52"/>
  <c r="AU85" i="52" s="1"/>
  <c r="AU70" i="52"/>
  <c r="AU90" i="52" s="1"/>
  <c r="AU66" i="52"/>
  <c r="AU86" i="52" s="1"/>
  <c r="AU64" i="52"/>
  <c r="AU84" i="52" s="1"/>
  <c r="AU63" i="52"/>
  <c r="AU83" i="52" s="1"/>
  <c r="AI29" i="49"/>
  <c r="AH30" i="49"/>
  <c r="AO93" i="52"/>
  <c r="AO95" i="52"/>
  <c r="AO92" i="52"/>
  <c r="AO94" i="52"/>
  <c r="AO98" i="52" s="1"/>
  <c r="AO97" i="52"/>
  <c r="AO99" i="52" s="1"/>
  <c r="AO96" i="52"/>
  <c r="AW72" i="52" l="1"/>
  <c r="AW69" i="52" s="1"/>
  <c r="AW89" i="52" s="1"/>
  <c r="AV66" i="52"/>
  <c r="AV86" i="52" s="1"/>
  <c r="AV65" i="52"/>
  <c r="AV85" i="52" s="1"/>
  <c r="AV70" i="52"/>
  <c r="AV90" i="52" s="1"/>
  <c r="AV63" i="52"/>
  <c r="AV83" i="52" s="1"/>
  <c r="AV64" i="52"/>
  <c r="AV84" i="52" s="1"/>
  <c r="AJ29" i="49"/>
  <c r="AI30" i="49"/>
  <c r="AP95" i="52"/>
  <c r="AP96" i="52"/>
  <c r="AP92" i="52"/>
  <c r="AP97" i="52"/>
  <c r="AP99" i="52" s="1"/>
  <c r="AP93" i="52"/>
  <c r="AP94" i="52"/>
  <c r="AP98" i="52" s="1"/>
  <c r="AX72" i="52" l="1"/>
  <c r="AX69" i="52" s="1"/>
  <c r="AX89" i="52" s="1"/>
  <c r="AW70" i="52"/>
  <c r="AW90" i="52" s="1"/>
  <c r="AW66" i="52"/>
  <c r="AW86" i="52" s="1"/>
  <c r="AW65" i="52"/>
  <c r="AW85" i="52" s="1"/>
  <c r="AW63" i="52"/>
  <c r="AW83" i="52" s="1"/>
  <c r="AW64" i="52"/>
  <c r="AW84" i="52" s="1"/>
  <c r="AK29" i="49"/>
  <c r="AJ30" i="49"/>
  <c r="AQ94" i="52"/>
  <c r="AQ98" i="52" s="1"/>
  <c r="AQ93" i="52"/>
  <c r="AQ96" i="52"/>
  <c r="AQ95" i="52"/>
  <c r="AQ97" i="52"/>
  <c r="AQ99" i="52" s="1"/>
  <c r="AQ92" i="52"/>
  <c r="AY72" i="52" l="1"/>
  <c r="AY69" i="52" s="1"/>
  <c r="AY89" i="52" s="1"/>
  <c r="AX65" i="52"/>
  <c r="AX85" i="52" s="1"/>
  <c r="AX66" i="52"/>
  <c r="AX86" i="52" s="1"/>
  <c r="AX70" i="52"/>
  <c r="AX90" i="52" s="1"/>
  <c r="AX63" i="52"/>
  <c r="AX83" i="52" s="1"/>
  <c r="AX64" i="52"/>
  <c r="AX84" i="52" s="1"/>
  <c r="AL29" i="49"/>
  <c r="AK30" i="49"/>
  <c r="AR97" i="52"/>
  <c r="AR99" i="52" s="1"/>
  <c r="AR96" i="52"/>
  <c r="AR93" i="52"/>
  <c r="AR92" i="52"/>
  <c r="AR94" i="52"/>
  <c r="AR98" i="52" s="1"/>
  <c r="AR95" i="52"/>
  <c r="AZ72" i="52" l="1"/>
  <c r="AZ69" i="52" s="1"/>
  <c r="AZ89" i="52" s="1"/>
  <c r="AY70" i="52"/>
  <c r="AY90" i="52" s="1"/>
  <c r="AY66" i="52"/>
  <c r="AY86" i="52" s="1"/>
  <c r="AY65" i="52"/>
  <c r="AY85" i="52" s="1"/>
  <c r="AY64" i="52"/>
  <c r="AY84" i="52" s="1"/>
  <c r="AY63" i="52"/>
  <c r="AY83" i="52" s="1"/>
  <c r="AM29" i="49"/>
  <c r="AL30" i="49"/>
  <c r="AS95" i="52"/>
  <c r="AS92" i="52"/>
  <c r="AS94" i="52"/>
  <c r="AS98" i="52" s="1"/>
  <c r="AS97" i="52"/>
  <c r="AS99" i="52" s="1"/>
  <c r="AS96" i="52"/>
  <c r="AS93" i="52"/>
  <c r="BA72" i="52" l="1"/>
  <c r="BA69" i="52" s="1"/>
  <c r="BA89" i="52" s="1"/>
  <c r="AZ70" i="52"/>
  <c r="AZ90" i="52" s="1"/>
  <c r="AZ66" i="52"/>
  <c r="AZ86" i="52" s="1"/>
  <c r="AZ65" i="52"/>
  <c r="AZ85" i="52" s="1"/>
  <c r="AZ63" i="52"/>
  <c r="AZ83" i="52" s="1"/>
  <c r="AZ64" i="52"/>
  <c r="AZ84" i="52" s="1"/>
  <c r="AN29" i="49"/>
  <c r="AM30" i="49"/>
  <c r="AT95" i="52"/>
  <c r="AT96" i="52"/>
  <c r="AT92" i="52"/>
  <c r="AT97" i="52"/>
  <c r="AT99" i="52" s="1"/>
  <c r="AT94" i="52"/>
  <c r="AT98" i="52" s="1"/>
  <c r="AT93" i="52"/>
  <c r="BB72" i="52" l="1"/>
  <c r="BB69" i="52" s="1"/>
  <c r="BB89" i="52" s="1"/>
  <c r="BA65" i="52"/>
  <c r="BA85" i="52" s="1"/>
  <c r="BA70" i="52"/>
  <c r="BA90" i="52" s="1"/>
  <c r="BA66" i="52"/>
  <c r="BA86" i="52" s="1"/>
  <c r="BA63" i="52"/>
  <c r="BA83" i="52" s="1"/>
  <c r="BA64" i="52"/>
  <c r="BA84" i="52" s="1"/>
  <c r="AO29" i="49"/>
  <c r="AN30" i="49"/>
  <c r="AU93" i="52"/>
  <c r="AU96" i="52"/>
  <c r="AU95" i="52"/>
  <c r="AU97" i="52"/>
  <c r="AU99" i="52" s="1"/>
  <c r="AU92" i="52"/>
  <c r="AU94" i="52"/>
  <c r="AU98" i="52" s="1"/>
  <c r="BC72" i="52" l="1"/>
  <c r="BC69" i="52" s="1"/>
  <c r="BC89" i="52" s="1"/>
  <c r="BB65" i="52"/>
  <c r="BB85" i="52" s="1"/>
  <c r="BB66" i="52"/>
  <c r="BB86" i="52" s="1"/>
  <c r="BB70" i="52"/>
  <c r="BB90" i="52" s="1"/>
  <c r="BB63" i="52"/>
  <c r="BB83" i="52" s="1"/>
  <c r="BB64" i="52"/>
  <c r="BB84" i="52" s="1"/>
  <c r="AP29" i="49"/>
  <c r="AO30" i="49"/>
  <c r="AV96" i="52"/>
  <c r="AV93" i="52"/>
  <c r="AV97" i="52"/>
  <c r="AV99" i="52" s="1"/>
  <c r="AV92" i="52"/>
  <c r="AV94" i="52"/>
  <c r="AV98" i="52" s="1"/>
  <c r="AV95" i="52"/>
  <c r="BD72" i="52" l="1"/>
  <c r="BD69" i="52" s="1"/>
  <c r="BD89" i="52" s="1"/>
  <c r="BC65" i="52"/>
  <c r="BC85" i="52" s="1"/>
  <c r="BC66" i="52"/>
  <c r="BC86" i="52" s="1"/>
  <c r="BC70" i="52"/>
  <c r="BC90" i="52" s="1"/>
  <c r="BC63" i="52"/>
  <c r="BC83" i="52" s="1"/>
  <c r="BC64" i="52"/>
  <c r="BC84" i="52" s="1"/>
  <c r="AQ29" i="49"/>
  <c r="AP30" i="49"/>
  <c r="AW94" i="52"/>
  <c r="AW98" i="52" s="1"/>
  <c r="AW97" i="52"/>
  <c r="AW99" i="52" s="1"/>
  <c r="AW96" i="52"/>
  <c r="AW93" i="52"/>
  <c r="AW95" i="52"/>
  <c r="AW92" i="52"/>
  <c r="BE72" i="52" l="1"/>
  <c r="BE69" i="52" s="1"/>
  <c r="BE89" i="52" s="1"/>
  <c r="BD66" i="52"/>
  <c r="BD86" i="52" s="1"/>
  <c r="BD65" i="52"/>
  <c r="BD85" i="52" s="1"/>
  <c r="BD70" i="52"/>
  <c r="BD90" i="52" s="1"/>
  <c r="BD63" i="52"/>
  <c r="BD83" i="52" s="1"/>
  <c r="BD64" i="52"/>
  <c r="BD84" i="52" s="1"/>
  <c r="AR29" i="49"/>
  <c r="AQ30" i="49"/>
  <c r="AX97" i="52"/>
  <c r="AX99" i="52" s="1"/>
  <c r="AX94" i="52"/>
  <c r="AX98" i="52" s="1"/>
  <c r="AX93" i="52"/>
  <c r="AX95" i="52"/>
  <c r="AX96" i="52"/>
  <c r="AX92" i="52"/>
  <c r="BF72" i="52" l="1"/>
  <c r="BF69" i="52" s="1"/>
  <c r="BF89" i="52" s="1"/>
  <c r="BE66" i="52"/>
  <c r="BE86" i="52" s="1"/>
  <c r="BE65" i="52"/>
  <c r="BE85" i="52" s="1"/>
  <c r="BE70" i="52"/>
  <c r="BE90" i="52" s="1"/>
  <c r="BE64" i="52"/>
  <c r="BE84" i="52" s="1"/>
  <c r="BE63" i="52"/>
  <c r="BE83" i="52" s="1"/>
  <c r="AS29" i="49"/>
  <c r="AR30" i="49"/>
  <c r="AY95" i="52"/>
  <c r="AY97" i="52"/>
  <c r="AY99" i="52" s="1"/>
  <c r="AY92" i="52"/>
  <c r="AY94" i="52"/>
  <c r="AY98" i="52" s="1"/>
  <c r="AY93" i="52"/>
  <c r="AY96" i="52"/>
  <c r="BG72" i="52" l="1"/>
  <c r="BG69" i="52" s="1"/>
  <c r="BG89" i="52" s="1"/>
  <c r="BF65" i="52"/>
  <c r="BF85" i="52" s="1"/>
  <c r="BF70" i="52"/>
  <c r="BF90" i="52" s="1"/>
  <c r="BF66" i="52"/>
  <c r="BF86" i="52" s="1"/>
  <c r="BF63" i="52"/>
  <c r="BF83" i="52" s="1"/>
  <c r="BF64" i="52"/>
  <c r="BF84" i="52" s="1"/>
  <c r="AT29" i="49"/>
  <c r="AS30" i="49"/>
  <c r="AZ97" i="52"/>
  <c r="AZ99" i="52" s="1"/>
  <c r="AZ92" i="52"/>
  <c r="AZ94" i="52"/>
  <c r="AZ98" i="52" s="1"/>
  <c r="AZ95" i="52"/>
  <c r="AZ96" i="52"/>
  <c r="AZ93" i="52"/>
  <c r="BG70" i="52" l="1"/>
  <c r="BG90" i="52" s="1"/>
  <c r="BG66" i="52"/>
  <c r="BG86" i="52" s="1"/>
  <c r="BG65" i="52"/>
  <c r="BG85" i="52" s="1"/>
  <c r="BG64" i="52"/>
  <c r="BG84" i="52" s="1"/>
  <c r="BG63" i="52"/>
  <c r="BG83" i="52" s="1"/>
  <c r="AU29" i="49"/>
  <c r="AT30" i="49"/>
  <c r="BA96" i="52"/>
  <c r="BA93" i="52"/>
  <c r="BA95" i="52"/>
  <c r="BA92" i="52"/>
  <c r="BA94" i="52"/>
  <c r="BA98" i="52" s="1"/>
  <c r="BA97" i="52"/>
  <c r="BA99" i="52" s="1"/>
  <c r="AV29" i="49" l="1"/>
  <c r="AU30" i="49"/>
  <c r="BB97" i="52"/>
  <c r="BB99" i="52" s="1"/>
  <c r="BB94" i="52"/>
  <c r="BB98" i="52" s="1"/>
  <c r="BB93" i="52"/>
  <c r="BB95" i="52"/>
  <c r="BB96" i="52"/>
  <c r="BB92" i="52"/>
  <c r="AW29" i="49" l="1"/>
  <c r="AV30" i="49"/>
  <c r="BC97" i="52"/>
  <c r="BC99" i="52" s="1"/>
  <c r="BC92" i="52"/>
  <c r="BC94" i="52"/>
  <c r="BC98" i="52" s="1"/>
  <c r="BC93" i="52"/>
  <c r="BC96" i="52"/>
  <c r="BC95" i="52"/>
  <c r="AX29" i="49" l="1"/>
  <c r="AW30" i="49"/>
  <c r="BD94" i="52"/>
  <c r="BD98" i="52" s="1"/>
  <c r="BD95" i="52"/>
  <c r="BD96" i="52"/>
  <c r="BD93" i="52"/>
  <c r="BD97" i="52"/>
  <c r="BD99" i="52" s="1"/>
  <c r="BD92" i="52"/>
  <c r="AY29" i="49" l="1"/>
  <c r="AX30" i="49"/>
  <c r="BE93" i="52"/>
  <c r="BE95" i="52"/>
  <c r="BE92" i="52"/>
  <c r="BE94" i="52"/>
  <c r="BE98" i="52" s="1"/>
  <c r="BE97" i="52"/>
  <c r="BE99" i="52" s="1"/>
  <c r="BE96" i="52"/>
  <c r="AZ29" i="49" l="1"/>
  <c r="AY30" i="49"/>
  <c r="BF95" i="52"/>
  <c r="BF96" i="52"/>
  <c r="BF92" i="52"/>
  <c r="BF97" i="52"/>
  <c r="BF99" i="52" s="1"/>
  <c r="BF94" i="52"/>
  <c r="BF98" i="52" s="1"/>
  <c r="BF93" i="52"/>
  <c r="BA29" i="49" l="1"/>
  <c r="AZ30" i="49"/>
  <c r="BG94" i="52"/>
  <c r="BG98" i="52" s="1"/>
  <c r="BG93" i="52"/>
  <c r="BG96" i="52"/>
  <c r="BG95" i="52"/>
  <c r="BG97" i="52"/>
  <c r="BG92" i="52"/>
  <c r="BG99" i="52" l="1"/>
  <c r="T108" i="52" s="1"/>
  <c r="BB29" i="49"/>
  <c r="BA30" i="49"/>
  <c r="BB30" i="49" l="1"/>
  <c r="BC29" i="49"/>
  <c r="BC30" i="49" l="1"/>
  <c r="BD29" i="49"/>
  <c r="BE29" i="49" l="1"/>
  <c r="BD30" i="49"/>
  <c r="BF29" i="49" l="1"/>
  <c r="BE30" i="49"/>
  <c r="BG29" i="49" l="1"/>
  <c r="BG30" i="49" s="1"/>
  <c r="BF30" i="49"/>
  <c r="Y108" i="52" s="1"/>
  <c r="AF105" i="52" l="1"/>
  <c r="AN103" i="52"/>
  <c r="K101" i="52"/>
  <c r="BD105" i="52"/>
  <c r="AF102" i="52"/>
  <c r="BG101" i="52"/>
  <c r="BG107" i="52"/>
  <c r="AZ106" i="52"/>
  <c r="AY106" i="52"/>
  <c r="AM105" i="52"/>
  <c r="X106" i="52"/>
  <c r="AR101" i="52"/>
  <c r="AV101" i="52"/>
  <c r="V107" i="52"/>
  <c r="AV102" i="52"/>
  <c r="AD105" i="52"/>
  <c r="J104" i="52"/>
  <c r="AC106" i="52"/>
  <c r="U106" i="52"/>
  <c r="Z107" i="52"/>
  <c r="K103" i="52"/>
  <c r="BD107" i="52"/>
  <c r="S105" i="52"/>
  <c r="O102" i="52"/>
  <c r="AB103" i="52"/>
  <c r="U108" i="52"/>
  <c r="AI108" i="52"/>
  <c r="AW108" i="52"/>
  <c r="U107" i="52"/>
  <c r="AJ104" i="52"/>
  <c r="AG103" i="52"/>
  <c r="AU103" i="52"/>
  <c r="S101" i="52"/>
  <c r="AG106" i="52"/>
  <c r="AS101" i="52"/>
  <c r="V105" i="52"/>
  <c r="P104" i="52"/>
  <c r="W104" i="52"/>
  <c r="AL103" i="52"/>
  <c r="Q106" i="52"/>
  <c r="AF103" i="52"/>
  <c r="BG103" i="52"/>
  <c r="AG104" i="52"/>
  <c r="BG104" i="52"/>
  <c r="AQ105" i="52"/>
  <c r="AP106" i="52"/>
  <c r="W101" i="52"/>
  <c r="Q101" i="52"/>
  <c r="AD107" i="52"/>
  <c r="K105" i="52"/>
  <c r="R108" i="52"/>
  <c r="AE107" i="52"/>
  <c r="AO104" i="52"/>
  <c r="AJ102" i="52"/>
  <c r="BF107" i="52"/>
  <c r="BC107" i="52"/>
  <c r="Y105" i="52"/>
  <c r="AP101" i="52"/>
  <c r="BF104" i="52"/>
  <c r="AA106" i="52"/>
  <c r="BE102" i="52"/>
  <c r="N103" i="52"/>
  <c r="AG105" i="52"/>
  <c r="AJ103" i="52"/>
  <c r="AC107" i="52"/>
  <c r="P107" i="52"/>
  <c r="U102" i="52"/>
  <c r="AH102" i="52"/>
  <c r="AU102" i="52"/>
  <c r="AO103" i="52"/>
  <c r="Y104" i="52"/>
  <c r="N104" i="52"/>
  <c r="AS106" i="52"/>
  <c r="W105" i="52"/>
  <c r="AU108" i="52"/>
  <c r="P108" i="52"/>
  <c r="BG108" i="52"/>
  <c r="AA104" i="52"/>
  <c r="AD103" i="52"/>
  <c r="AI103" i="52"/>
  <c r="AN105" i="52"/>
  <c r="AM104" i="52"/>
  <c r="AO101" i="52"/>
  <c r="BG105" i="52"/>
  <c r="BD102" i="52"/>
  <c r="AD102" i="52"/>
  <c r="W103" i="52"/>
  <c r="N108" i="52"/>
  <c r="BB101" i="52"/>
  <c r="T107" i="52"/>
  <c r="AD104" i="52"/>
  <c r="M108" i="52"/>
  <c r="Z103" i="52"/>
  <c r="M102" i="52"/>
  <c r="BF101" i="52"/>
  <c r="AZ101" i="52"/>
  <c r="AK106" i="52"/>
  <c r="AT106" i="52"/>
  <c r="AX102" i="52"/>
  <c r="Z104" i="52"/>
  <c r="AK108" i="52"/>
  <c r="AM106" i="52"/>
  <c r="Y107" i="52"/>
  <c r="Z106" i="52"/>
  <c r="AA103" i="52"/>
  <c r="AM103" i="52"/>
  <c r="V101" i="52"/>
  <c r="BA104" i="52"/>
  <c r="AX101" i="52"/>
  <c r="O104" i="52"/>
  <c r="AF108" i="52"/>
  <c r="AC103" i="52"/>
  <c r="R103" i="52"/>
  <c r="AF106" i="52"/>
  <c r="AL105" i="52"/>
  <c r="Z105" i="52"/>
  <c r="AF104" i="52"/>
  <c r="AB104" i="52"/>
  <c r="BF105" i="52"/>
  <c r="AP103" i="52"/>
  <c r="AQ101" i="52"/>
  <c r="AL107" i="52"/>
  <c r="AG107" i="52"/>
  <c r="X105" i="52"/>
  <c r="Z108" i="52"/>
  <c r="BB108" i="52"/>
  <c r="AP105" i="52"/>
  <c r="AX103" i="52"/>
  <c r="AV107" i="52"/>
  <c r="R105" i="52"/>
  <c r="AC102" i="52"/>
  <c r="AN102" i="52"/>
  <c r="O106" i="52"/>
  <c r="AE102" i="52"/>
  <c r="AU107" i="52"/>
  <c r="AP107" i="52"/>
  <c r="AN104" i="52"/>
  <c r="AA101" i="52"/>
  <c r="P106" i="52"/>
  <c r="K102" i="52"/>
  <c r="AY103" i="52"/>
  <c r="AK103" i="52"/>
  <c r="V104" i="52"/>
  <c r="AK107" i="52"/>
  <c r="AS104" i="52"/>
  <c r="AE106" i="52"/>
  <c r="R101" i="52"/>
  <c r="J108" i="52"/>
  <c r="AS105" i="52"/>
  <c r="AB108" i="52"/>
  <c r="AG108" i="52"/>
  <c r="AZ105" i="52"/>
  <c r="AR106" i="52"/>
  <c r="O108" i="52"/>
  <c r="X107" i="52"/>
  <c r="N107" i="52"/>
  <c r="M103" i="52"/>
  <c r="AC105" i="52"/>
  <c r="AQ106" i="52"/>
  <c r="N106" i="52"/>
  <c r="V102" i="52"/>
  <c r="AA105" i="52"/>
  <c r="X102" i="52"/>
  <c r="AJ101" i="52"/>
  <c r="AA107" i="52"/>
  <c r="AJ106" i="52"/>
  <c r="BE106" i="52"/>
  <c r="BB106" i="52"/>
  <c r="AG102" i="52"/>
  <c r="AY105" i="52"/>
  <c r="M105" i="52"/>
  <c r="AV104" i="52"/>
  <c r="AH106" i="52"/>
  <c r="M104" i="52"/>
  <c r="AS107" i="52"/>
  <c r="AL108" i="52"/>
  <c r="S104" i="52"/>
  <c r="AW102" i="52"/>
  <c r="BB102" i="52"/>
  <c r="AO105" i="52"/>
  <c r="U105" i="52"/>
  <c r="Y103" i="52"/>
  <c r="AX107" i="52"/>
  <c r="P102" i="52"/>
  <c r="AZ102" i="52"/>
  <c r="BC102" i="52"/>
  <c r="AC104" i="52"/>
  <c r="T103" i="52"/>
  <c r="O101" i="52"/>
  <c r="AB107" i="52"/>
  <c r="BA105" i="52"/>
  <c r="AL102" i="52"/>
  <c r="AO106" i="52"/>
  <c r="O103" i="52"/>
  <c r="AQ103" i="52"/>
  <c r="AR104" i="52"/>
  <c r="AM108" i="52"/>
  <c r="AR105" i="52"/>
  <c r="AT108" i="52"/>
  <c r="Q105" i="52"/>
  <c r="AN108" i="52"/>
  <c r="AL106" i="52"/>
  <c r="W102" i="52"/>
  <c r="BF103" i="52"/>
  <c r="J103" i="52"/>
  <c r="AK104" i="52"/>
  <c r="X101" i="52"/>
  <c r="P105" i="52"/>
  <c r="N105" i="52"/>
  <c r="Z102" i="52"/>
  <c r="BB103" i="52"/>
  <c r="V106" i="52"/>
  <c r="AR102" i="52"/>
  <c r="W107" i="52"/>
  <c r="BA107" i="52"/>
  <c r="AX104" i="52"/>
  <c r="AJ107" i="52"/>
  <c r="R102" i="52"/>
  <c r="V103" i="52"/>
  <c r="AM101" i="52"/>
  <c r="N101" i="52"/>
  <c r="BC108" i="52"/>
  <c r="AI105" i="52"/>
  <c r="AV108" i="52"/>
  <c r="L104" i="52"/>
  <c r="AH103" i="52"/>
  <c r="AL101" i="52"/>
  <c r="K107" i="52"/>
  <c r="AH105" i="52"/>
  <c r="BG102" i="52"/>
  <c r="AE105" i="52"/>
  <c r="AB106" i="52"/>
  <c r="J102" i="52"/>
  <c r="AY107" i="52"/>
  <c r="AM107" i="52"/>
  <c r="AW103" i="52"/>
  <c r="AH107" i="52"/>
  <c r="T106" i="52"/>
  <c r="M106" i="52"/>
  <c r="N102" i="52"/>
  <c r="L106" i="52"/>
  <c r="AG101" i="52"/>
  <c r="AK105" i="52"/>
  <c r="AW104" i="52"/>
  <c r="BC104" i="52"/>
  <c r="V108" i="52"/>
  <c r="AZ108" i="52"/>
  <c r="AP108" i="52"/>
  <c r="AT105" i="52"/>
  <c r="AO107" i="52"/>
  <c r="U104" i="52"/>
  <c r="J106" i="52"/>
  <c r="U101" i="52"/>
  <c r="BA101" i="52"/>
  <c r="Q102" i="52"/>
  <c r="AK101" i="52"/>
  <c r="BD104" i="52"/>
  <c r="AU104" i="52"/>
  <c r="AI106" i="52"/>
  <c r="AR107" i="52"/>
  <c r="AM102" i="52"/>
  <c r="S103" i="52"/>
  <c r="BD101" i="52"/>
  <c r="Z101" i="52"/>
  <c r="S106" i="52"/>
  <c r="T104" i="52"/>
  <c r="AI102" i="52"/>
  <c r="T102" i="52"/>
  <c r="AF107" i="52"/>
  <c r="AV105" i="52"/>
  <c r="BA108" i="52"/>
  <c r="L108" i="52"/>
  <c r="W108" i="52"/>
  <c r="BE103" i="52"/>
  <c r="L105" i="52"/>
  <c r="Y106" i="52"/>
  <c r="BD106" i="52"/>
  <c r="AO102" i="52"/>
  <c r="AT107" i="52"/>
  <c r="AA102" i="52"/>
  <c r="AE101" i="52"/>
  <c r="S107" i="52"/>
  <c r="AV106" i="52"/>
  <c r="BG106" i="52"/>
  <c r="BC105" i="52"/>
  <c r="BF106" i="52"/>
  <c r="Y101" i="52"/>
  <c r="AY101" i="52"/>
  <c r="BE107" i="52"/>
  <c r="AD101" i="52"/>
  <c r="AD106" i="52"/>
  <c r="BF102" i="52"/>
  <c r="AZ103" i="52"/>
  <c r="X103" i="52"/>
  <c r="AO108" i="52"/>
  <c r="AE108" i="52"/>
  <c r="BE105" i="52"/>
  <c r="BF108" i="52"/>
  <c r="AJ108" i="52"/>
  <c r="Q103" i="52"/>
  <c r="BE101" i="52"/>
  <c r="AS108" i="52"/>
  <c r="M107" i="52"/>
  <c r="AB102" i="52"/>
  <c r="AQ102" i="52"/>
  <c r="AQ104" i="52"/>
  <c r="AS103" i="52"/>
  <c r="AW101" i="52"/>
  <c r="R107" i="52"/>
  <c r="O105" i="52"/>
  <c r="L102" i="52"/>
  <c r="AP104" i="52"/>
  <c r="Y102" i="52"/>
  <c r="AY102" i="52"/>
  <c r="AZ107" i="52"/>
  <c r="Q107" i="52"/>
  <c r="T101" i="52"/>
  <c r="AT104" i="52"/>
  <c r="AE103" i="52"/>
  <c r="BC103" i="52"/>
  <c r="AN101" i="52"/>
  <c r="AB105" i="52"/>
  <c r="AR108" i="52"/>
  <c r="AC108" i="52"/>
  <c r="BB107" i="52"/>
  <c r="Q108" i="52"/>
  <c r="M101" i="52"/>
  <c r="AT101" i="52"/>
  <c r="J101" i="52"/>
  <c r="S108" i="52"/>
  <c r="AN107" i="52"/>
  <c r="AI104" i="52"/>
  <c r="K106" i="52"/>
  <c r="BE108" i="52"/>
  <c r="AB101" i="52"/>
  <c r="AT102" i="52"/>
  <c r="AH101" i="52"/>
  <c r="AE104" i="52"/>
  <c r="R104" i="52"/>
  <c r="AW106" i="52"/>
  <c r="AY104" i="52"/>
  <c r="BD108" i="52"/>
  <c r="J107" i="52"/>
  <c r="L107" i="52"/>
  <c r="AJ105" i="52"/>
  <c r="AQ108" i="52"/>
  <c r="AU105" i="52"/>
  <c r="K108" i="52"/>
  <c r="AU106" i="52"/>
  <c r="AU101" i="52"/>
  <c r="T105" i="52"/>
  <c r="Q104" i="52"/>
  <c r="K104" i="52"/>
  <c r="L103" i="52"/>
  <c r="BC106" i="52"/>
  <c r="BD103" i="52"/>
  <c r="AR103" i="52"/>
  <c r="AL104" i="52"/>
  <c r="BE104" i="52"/>
  <c r="AW107" i="52"/>
  <c r="BB105" i="52"/>
  <c r="AV103" i="52"/>
  <c r="U103" i="52"/>
  <c r="AC101" i="52"/>
  <c r="BA103" i="52"/>
  <c r="J105" i="52"/>
  <c r="AX106" i="52"/>
  <c r="BA106" i="52"/>
  <c r="AP102" i="52"/>
  <c r="AH108" i="52"/>
  <c r="AD108" i="52"/>
  <c r="AX105" i="52"/>
  <c r="AA108" i="52"/>
  <c r="BA102" i="52"/>
  <c r="AF101" i="52"/>
  <c r="AZ104" i="52"/>
  <c r="BB104" i="52"/>
  <c r="R106" i="52"/>
  <c r="AI107" i="52"/>
  <c r="AS102" i="52"/>
  <c r="P103" i="52"/>
  <c r="P101" i="52"/>
  <c r="AI101" i="52"/>
  <c r="AN106" i="52"/>
  <c r="AQ107" i="52"/>
  <c r="AH104" i="52"/>
  <c r="X104" i="52"/>
  <c r="L101" i="52"/>
  <c r="BC101" i="52"/>
  <c r="AT103" i="52"/>
  <c r="O107" i="52"/>
  <c r="W106" i="52"/>
  <c r="AK102" i="52"/>
  <c r="S102" i="52"/>
  <c r="AW105" i="52"/>
  <c r="AX108" i="52"/>
  <c r="X108" i="52"/>
  <c r="AY108" i="52"/>
  <c r="R33" i="52"/>
  <c r="R35" i="52"/>
  <c r="R32" i="52"/>
  <c r="R34" i="52"/>
  <c r="R50" i="52"/>
  <c r="R49" i="52"/>
  <c r="R48" i="52"/>
  <c r="R47" i="52"/>
  <c r="R46" i="52"/>
  <c r="R51" i="52"/>
  <c r="W24" i="49" l="1"/>
  <c r="X24" i="49" s="1"/>
  <c r="Y24" i="49" s="1"/>
  <c r="Z24" i="49" s="1"/>
  <c r="AA24" i="49" s="1"/>
  <c r="AB24" i="49" s="1"/>
  <c r="AC24" i="49" s="1"/>
  <c r="AD24" i="49" s="1"/>
  <c r="AE24" i="49" s="1"/>
  <c r="AF24" i="49" s="1"/>
  <c r="AG24" i="49" s="1"/>
  <c r="AH24" i="49" s="1"/>
  <c r="AI24" i="49" s="1"/>
  <c r="AJ24" i="49" s="1"/>
  <c r="AK24" i="49" s="1"/>
  <c r="AL24" i="49" s="1"/>
  <c r="AM24" i="49" s="1"/>
  <c r="AN24" i="49" s="1"/>
  <c r="AO24" i="49" s="1"/>
  <c r="AP24" i="49" s="1"/>
  <c r="AQ24" i="49" s="1"/>
  <c r="AR24" i="49" s="1"/>
  <c r="AS24" i="49" s="1"/>
  <c r="AT24" i="49" s="1"/>
  <c r="AU24" i="49" s="1"/>
  <c r="AV24" i="49" s="1"/>
  <c r="AW24" i="49" s="1"/>
  <c r="AX24" i="49" s="1"/>
  <c r="AY24" i="49" s="1"/>
  <c r="AZ24" i="49" s="1"/>
  <c r="BA24" i="49" s="1"/>
  <c r="BB24" i="49" s="1"/>
  <c r="BC24" i="49" s="1"/>
  <c r="BD24" i="49" s="1"/>
  <c r="BE24" i="49" s="1"/>
  <c r="BF24" i="49" s="1"/>
  <c r="BG24" i="49" s="1"/>
  <c r="M10" i="49"/>
  <c r="M12" i="49" s="1"/>
  <c r="N10" i="49" l="1"/>
  <c r="N12" i="49" l="1"/>
  <c r="O10" i="49"/>
  <c r="O12" i="49" l="1"/>
  <c r="Q23" i="49"/>
  <c r="P10" i="49"/>
  <c r="P12" i="49" l="1"/>
  <c r="R23" i="49"/>
  <c r="Q10" i="49"/>
  <c r="Q12" i="49" l="1"/>
  <c r="S23" i="49"/>
  <c r="T23" i="49" s="1"/>
  <c r="U23" i="49" s="1"/>
  <c r="R10" i="49"/>
  <c r="R12" i="49" l="1"/>
  <c r="S10" i="49"/>
  <c r="S12" i="49" l="1"/>
  <c r="T10" i="49"/>
  <c r="T12" i="49" s="1"/>
  <c r="V23" i="49" l="1"/>
  <c r="U10" i="49"/>
  <c r="U12" i="49" l="1"/>
  <c r="W23" i="49"/>
  <c r="V10" i="49"/>
  <c r="V12" i="49" l="1"/>
  <c r="X23" i="49"/>
  <c r="W10" i="49"/>
  <c r="W12" i="49" l="1"/>
  <c r="Y23" i="49"/>
  <c r="X10" i="49"/>
  <c r="X12" i="49" l="1"/>
  <c r="Z23" i="49"/>
  <c r="Y10" i="49"/>
  <c r="Y12" i="49" l="1"/>
  <c r="AA23" i="49"/>
  <c r="Z10" i="49"/>
  <c r="Z12" i="49" l="1"/>
  <c r="AB23" i="49"/>
  <c r="AA10" i="49"/>
  <c r="AA12" i="49" l="1"/>
  <c r="AC23" i="49"/>
  <c r="AB10" i="49"/>
  <c r="AB12" i="49" l="1"/>
  <c r="AD23" i="49"/>
  <c r="AC10" i="49"/>
  <c r="AC12" i="49" l="1"/>
  <c r="AE23" i="49"/>
  <c r="AD10" i="49"/>
  <c r="AD12" i="49" l="1"/>
  <c r="AF23" i="49"/>
  <c r="AE10" i="49"/>
  <c r="AE12" i="49" l="1"/>
  <c r="AG23" i="49"/>
  <c r="AF10" i="49"/>
  <c r="AF12" i="49" l="1"/>
  <c r="AH23" i="49"/>
  <c r="AG10" i="49"/>
  <c r="AG12" i="49" l="1"/>
  <c r="AI23" i="49"/>
  <c r="AH10" i="49"/>
  <c r="AH12" i="49" l="1"/>
  <c r="AJ23" i="49"/>
  <c r="AI10" i="49"/>
  <c r="AI12" i="49" l="1"/>
  <c r="AK23" i="49"/>
  <c r="AJ10" i="49"/>
  <c r="AJ12" i="49" l="1"/>
  <c r="AL23" i="49"/>
  <c r="AK10" i="49"/>
  <c r="AK12" i="49" l="1"/>
  <c r="AM23" i="49"/>
  <c r="AL10" i="49"/>
  <c r="AL12" i="49" l="1"/>
  <c r="AN23" i="49"/>
  <c r="AM10" i="49"/>
  <c r="AM12" i="49" l="1"/>
  <c r="AO23" i="49"/>
  <c r="AN10" i="49"/>
  <c r="AN12" i="49" l="1"/>
  <c r="AP23" i="49"/>
  <c r="AO10" i="49"/>
  <c r="AO12" i="49" l="1"/>
  <c r="AQ23" i="49"/>
  <c r="AP10" i="49"/>
  <c r="AP12" i="49" l="1"/>
  <c r="AR23" i="49"/>
  <c r="AQ10" i="49"/>
  <c r="AQ12" i="49" l="1"/>
  <c r="AS23" i="49"/>
  <c r="AR10" i="49"/>
  <c r="AR12" i="49" l="1"/>
  <c r="AT23" i="49"/>
  <c r="AS10" i="49"/>
  <c r="AS12" i="49" l="1"/>
  <c r="AU23" i="49"/>
  <c r="AT10" i="49"/>
  <c r="AT12" i="49" l="1"/>
  <c r="AV23" i="49"/>
  <c r="AU10" i="49"/>
  <c r="AU12" i="49" l="1"/>
  <c r="AW23" i="49"/>
  <c r="AV10" i="49"/>
  <c r="AV12" i="49" l="1"/>
  <c r="AX23" i="49"/>
  <c r="AW10" i="49"/>
  <c r="AW12" i="49" l="1"/>
  <c r="AY23" i="49"/>
  <c r="AX10" i="49"/>
  <c r="AX12" i="49" l="1"/>
  <c r="AZ23" i="49"/>
  <c r="AY10" i="49"/>
  <c r="AY12" i="49" l="1"/>
  <c r="BA23" i="49"/>
  <c r="AZ10" i="49"/>
  <c r="AZ12" i="49" l="1"/>
  <c r="BB23" i="49"/>
  <c r="BA10" i="49"/>
  <c r="BB10" i="49" l="1"/>
  <c r="BB12" i="49" s="1"/>
  <c r="BC23" i="49"/>
  <c r="BA12" i="49"/>
  <c r="F122" i="47"/>
  <c r="F123" i="47"/>
  <c r="G123" i="47"/>
  <c r="F124" i="47"/>
  <c r="G124" i="47" s="1"/>
  <c r="E125" i="47"/>
  <c r="H125" i="47"/>
  <c r="BD23" i="49" l="1"/>
  <c r="BC10" i="49"/>
  <c r="BC12" i="49" s="1"/>
  <c r="F125" i="47"/>
  <c r="G122" i="47"/>
  <c r="G125" i="47" s="1"/>
  <c r="E129" i="47" l="1" a="1"/>
  <c r="F130" i="47" s="1"/>
  <c r="BE23" i="49"/>
  <c r="BD10" i="49"/>
  <c r="BD12" i="49" s="1"/>
  <c r="G129" i="47"/>
  <c r="H129" i="47"/>
  <c r="G130" i="47"/>
  <c r="H130" i="47"/>
  <c r="E130" i="47"/>
  <c r="F131" i="47"/>
  <c r="G131" i="47"/>
  <c r="G139" i="47" s="1"/>
  <c r="E131" i="47"/>
  <c r="E129" i="47"/>
  <c r="H131" i="47"/>
  <c r="F129" i="47"/>
  <c r="G138" i="47" l="1"/>
  <c r="E132" i="47"/>
  <c r="BF23" i="49"/>
  <c r="BE10" i="49"/>
  <c r="BE12" i="49" s="1"/>
  <c r="F139" i="47"/>
  <c r="F138" i="47"/>
  <c r="F137" i="47"/>
  <c r="F132" i="47"/>
  <c r="H139" i="47"/>
  <c r="H137" i="47"/>
  <c r="H132" i="47"/>
  <c r="H138" i="47"/>
  <c r="G132" i="47"/>
  <c r="G137" i="47"/>
  <c r="G140" i="47" s="1"/>
  <c r="BG23" i="49" l="1"/>
  <c r="BG10" i="49" s="1"/>
  <c r="BG12" i="49" s="1"/>
  <c r="BF10" i="49"/>
  <c r="BF12" i="49" s="1"/>
  <c r="F140" i="47"/>
  <c r="H140" i="47"/>
  <c r="J120" i="52" l="1" a="1"/>
  <c r="S50" i="52"/>
  <c r="S47" i="52"/>
  <c r="S46" i="52"/>
  <c r="S51" i="52"/>
  <c r="S48" i="52"/>
  <c r="S49" i="52"/>
  <c r="J120" i="52" l="1"/>
  <c r="J124" i="52" s="1"/>
  <c r="J132" i="52" s="1"/>
  <c r="L120" i="52"/>
  <c r="L124" i="52" s="1"/>
  <c r="L132" i="52" s="1"/>
  <c r="K120" i="52"/>
  <c r="K124" i="52" s="1"/>
  <c r="K132" i="52" s="1"/>
  <c r="M120" i="52"/>
  <c r="M124" i="52" s="1"/>
  <c r="M132" i="52" s="1"/>
  <c r="N120" i="52"/>
  <c r="N124" i="52" s="1"/>
  <c r="N132" i="52" s="1"/>
  <c r="O120" i="52"/>
  <c r="O124" i="52" s="1"/>
  <c r="O132" i="52" s="1"/>
  <c r="P120" i="52"/>
  <c r="P124" i="52" s="1"/>
  <c r="P132" i="52" s="1"/>
  <c r="Q120" i="52"/>
  <c r="Q124" i="52" s="1"/>
  <c r="Q132" i="52" s="1"/>
  <c r="R120" i="52"/>
  <c r="R124" i="52" s="1"/>
  <c r="R132" i="52" s="1"/>
  <c r="S120" i="52"/>
  <c r="S124" i="52" s="1"/>
  <c r="S132" i="52" s="1"/>
  <c r="T120" i="52"/>
  <c r="T124" i="52" s="1"/>
  <c r="T132" i="52" s="1"/>
  <c r="F7" i="53" s="1"/>
  <c r="U120" i="52"/>
  <c r="U124" i="52" s="1"/>
  <c r="U132" i="52" s="1"/>
  <c r="V120" i="52"/>
  <c r="V124" i="52" s="1"/>
  <c r="V132" i="52" s="1"/>
  <c r="W120" i="52"/>
  <c r="W124" i="52" s="1"/>
  <c r="W132" i="52" s="1"/>
  <c r="X120" i="52"/>
  <c r="X124" i="52" s="1"/>
  <c r="X132" i="52" s="1"/>
  <c r="Y120" i="52"/>
  <c r="Y124" i="52" s="1"/>
  <c r="Y132" i="52" s="1"/>
  <c r="Z120" i="52"/>
  <c r="Z124" i="52" s="1"/>
  <c r="Z132" i="52" s="1"/>
  <c r="AA120" i="52"/>
  <c r="AA124" i="52" s="1"/>
  <c r="AA132" i="52" s="1"/>
  <c r="AB120" i="52"/>
  <c r="AB124" i="52" s="1"/>
  <c r="AB132" i="52" s="1"/>
  <c r="AC120" i="52"/>
  <c r="AC124" i="52" s="1"/>
  <c r="AC132" i="52" s="1"/>
  <c r="AD120" i="52"/>
  <c r="AD124" i="52" s="1"/>
  <c r="AD132" i="52" s="1"/>
  <c r="AE120" i="52"/>
  <c r="AE124" i="52" s="1"/>
  <c r="AE132" i="52" s="1"/>
  <c r="AF120" i="52"/>
  <c r="AF124" i="52" s="1"/>
  <c r="AF132" i="52" s="1"/>
  <c r="AG120" i="52"/>
  <c r="AG124" i="52" s="1"/>
  <c r="AG132" i="52" s="1"/>
  <c r="AH120" i="52"/>
  <c r="AH124" i="52" s="1"/>
  <c r="AH132" i="52" s="1"/>
  <c r="AI120" i="52"/>
  <c r="AI124" i="52" s="1"/>
  <c r="AI132" i="52" s="1"/>
  <c r="AJ120" i="52"/>
  <c r="AJ124" i="52" s="1"/>
  <c r="AJ132" i="52" s="1"/>
  <c r="AK120" i="52"/>
  <c r="AK124" i="52" s="1"/>
  <c r="AK132" i="52" s="1"/>
  <c r="AL120" i="52"/>
  <c r="AL124" i="52" s="1"/>
  <c r="AL132" i="52" s="1"/>
  <c r="AM120" i="52"/>
  <c r="AM124" i="52" s="1"/>
  <c r="AM132" i="52" s="1"/>
  <c r="AN120" i="52"/>
  <c r="AN124" i="52" s="1"/>
  <c r="AN132" i="52" s="1"/>
  <c r="AO120" i="52"/>
  <c r="AO124" i="52" s="1"/>
  <c r="AO132" i="52" s="1"/>
  <c r="AP120" i="52"/>
  <c r="AP124" i="52" s="1"/>
  <c r="AP132" i="52" s="1"/>
  <c r="AQ120" i="52"/>
  <c r="AQ124" i="52" s="1"/>
  <c r="AQ132" i="52" s="1"/>
  <c r="AR120" i="52"/>
  <c r="AR124" i="52" s="1"/>
  <c r="AR132" i="52" s="1"/>
  <c r="AS120" i="52"/>
  <c r="AS124" i="52" s="1"/>
  <c r="AS132" i="52" s="1"/>
  <c r="AT120" i="52"/>
  <c r="AT124" i="52" s="1"/>
  <c r="AT132" i="52" s="1"/>
  <c r="AU120" i="52"/>
  <c r="AU124" i="52" s="1"/>
  <c r="AU132" i="52" s="1"/>
  <c r="AV120" i="52"/>
  <c r="AV124" i="52" s="1"/>
  <c r="AV132" i="52" s="1"/>
  <c r="AW120" i="52"/>
  <c r="AW124" i="52" s="1"/>
  <c r="AW132" i="52" s="1"/>
  <c r="AX120" i="52"/>
  <c r="AX124" i="52" s="1"/>
  <c r="AX132" i="52" s="1"/>
  <c r="AY120" i="52"/>
  <c r="AY124" i="52" s="1"/>
  <c r="AY132" i="52" s="1"/>
  <c r="AZ120" i="52"/>
  <c r="AZ124" i="52" s="1"/>
  <c r="AZ132" i="52" s="1"/>
  <c r="BA120" i="52"/>
  <c r="BA124" i="52" s="1"/>
  <c r="BA132" i="52" s="1"/>
  <c r="BB120" i="52"/>
  <c r="BB124" i="52" s="1"/>
  <c r="BB132" i="52" s="1"/>
  <c r="BC120" i="52"/>
  <c r="BC124" i="52" s="1"/>
  <c r="BC132" i="52" s="1"/>
  <c r="BD120" i="52"/>
  <c r="BD124" i="52" s="1"/>
  <c r="BD132" i="52" s="1"/>
  <c r="BE120" i="52"/>
  <c r="BE124" i="52" s="1"/>
  <c r="BE132" i="52" s="1"/>
  <c r="BG120" i="52"/>
  <c r="BG124" i="52" s="1"/>
  <c r="BG132" i="52" s="1"/>
  <c r="BF120" i="52"/>
  <c r="BF124" i="52" s="1"/>
  <c r="BF132" i="52" s="1"/>
  <c r="T50" i="52"/>
  <c r="T46" i="52"/>
  <c r="T49" i="52"/>
  <c r="T48" i="52"/>
  <c r="T51" i="52"/>
  <c r="T47" i="52"/>
  <c r="U51" i="52" l="1"/>
  <c r="U46" i="52"/>
  <c r="U50" i="52"/>
  <c r="U47" i="52"/>
  <c r="U49" i="52"/>
  <c r="U48" i="52"/>
  <c r="V50" i="52" l="1"/>
  <c r="V49" i="52"/>
  <c r="V48" i="52"/>
  <c r="V47" i="52"/>
  <c r="V51" i="52"/>
  <c r="V46" i="52"/>
  <c r="W51" i="52" l="1"/>
  <c r="W48" i="52"/>
  <c r="W46" i="52"/>
  <c r="W50" i="52"/>
  <c r="W49" i="52"/>
  <c r="W47" i="52"/>
  <c r="X49" i="52" l="1"/>
  <c r="X48" i="52"/>
  <c r="X47" i="52"/>
  <c r="X46" i="52"/>
  <c r="X50" i="52"/>
  <c r="X51" i="52"/>
  <c r="Y46" i="52" l="1"/>
  <c r="Y50" i="52"/>
  <c r="Y47" i="52"/>
  <c r="Y48" i="52"/>
  <c r="Y51" i="52"/>
  <c r="Y49" i="52"/>
  <c r="Z49" i="52" l="1"/>
  <c r="Z47" i="52"/>
  <c r="Z48" i="52"/>
  <c r="Z51" i="52"/>
  <c r="Z46" i="52"/>
  <c r="Z50" i="52"/>
  <c r="AA48" i="52" l="1"/>
  <c r="AA49" i="52"/>
  <c r="AA51" i="52"/>
  <c r="AA46" i="52"/>
  <c r="AA47" i="52"/>
  <c r="AA50" i="52"/>
  <c r="AB48" i="52" l="1"/>
  <c r="AB51" i="52"/>
  <c r="AB46" i="52"/>
  <c r="AB49" i="52"/>
  <c r="AB47" i="52"/>
  <c r="AB50" i="52"/>
  <c r="AC48" i="52" l="1"/>
  <c r="AC51" i="52"/>
  <c r="AC47" i="52"/>
  <c r="AC50" i="52"/>
  <c r="AC46" i="52"/>
  <c r="AC49" i="52"/>
  <c r="AD51" i="52" l="1"/>
  <c r="AD48" i="52"/>
  <c r="AD50" i="52"/>
  <c r="AD47" i="52"/>
  <c r="AD49" i="52"/>
  <c r="AD46" i="52"/>
  <c r="AE50" i="52" l="1"/>
  <c r="AE46" i="52"/>
  <c r="AE47" i="52"/>
  <c r="AE48" i="52"/>
  <c r="AE49" i="52"/>
  <c r="AE51" i="52"/>
  <c r="AF51" i="52" l="1"/>
  <c r="AF49" i="52"/>
  <c r="AF47" i="52"/>
  <c r="AF50" i="52"/>
  <c r="AF48" i="52"/>
  <c r="AF46" i="52"/>
  <c r="AG46" i="52" l="1"/>
  <c r="AG47" i="52"/>
  <c r="AG51" i="52"/>
  <c r="AG50" i="52"/>
  <c r="AG48" i="52"/>
  <c r="AG49" i="52"/>
  <c r="AH47" i="52" l="1"/>
  <c r="AH50" i="52"/>
  <c r="AH48" i="52"/>
  <c r="AH46" i="52"/>
  <c r="AH49" i="52"/>
  <c r="AH51" i="52"/>
  <c r="AI46" i="52" l="1"/>
  <c r="AI48" i="52"/>
  <c r="AI50" i="52"/>
  <c r="AI49" i="52"/>
  <c r="AI51" i="52"/>
  <c r="AI47" i="52"/>
  <c r="AJ49" i="52" l="1"/>
  <c r="AJ51" i="52"/>
  <c r="AJ46" i="52"/>
  <c r="AJ48" i="52"/>
  <c r="AJ50" i="52"/>
  <c r="AJ47" i="52"/>
  <c r="AK50" i="52" l="1"/>
  <c r="AK46" i="52"/>
  <c r="AK47" i="52"/>
  <c r="AK49" i="52"/>
  <c r="AK51" i="52"/>
  <c r="AK48" i="52"/>
  <c r="AL49" i="52" l="1"/>
  <c r="AL51" i="52"/>
  <c r="AL50" i="52"/>
  <c r="AL48" i="52"/>
  <c r="AL46" i="52"/>
  <c r="AL47" i="52"/>
  <c r="AM48" i="52" l="1"/>
  <c r="AM49" i="52"/>
  <c r="AM46" i="52"/>
  <c r="AM50" i="52"/>
  <c r="AM51" i="52"/>
  <c r="AM47" i="52"/>
  <c r="AN47" i="52" l="1"/>
  <c r="AN50" i="52"/>
  <c r="AN46" i="52"/>
  <c r="AN49" i="52"/>
  <c r="AN51" i="52"/>
  <c r="AN48" i="52"/>
  <c r="AO50" i="52" l="1"/>
  <c r="AO51" i="52"/>
  <c r="AO48" i="52"/>
  <c r="AO46" i="52"/>
  <c r="AO49" i="52"/>
  <c r="AO47" i="52"/>
  <c r="AP48" i="52" l="1"/>
  <c r="AP46" i="52"/>
  <c r="AP47" i="52"/>
  <c r="AP51" i="52"/>
  <c r="AP50" i="52"/>
  <c r="AP49" i="52"/>
  <c r="AQ48" i="52" l="1"/>
  <c r="AQ51" i="52"/>
  <c r="AQ49" i="52"/>
  <c r="AQ46" i="52"/>
  <c r="AQ47" i="52"/>
  <c r="AQ50" i="52"/>
  <c r="AR51" i="52" l="1"/>
  <c r="AR50" i="52"/>
  <c r="AR47" i="52"/>
  <c r="AR46" i="52"/>
  <c r="AR49" i="52"/>
  <c r="AR48" i="52"/>
  <c r="AS51" i="52" l="1"/>
  <c r="AS48" i="52"/>
  <c r="AS49" i="52"/>
  <c r="AS50" i="52"/>
  <c r="AS47" i="52"/>
  <c r="AS46" i="52"/>
  <c r="AT51" i="52" l="1"/>
  <c r="AT48" i="52"/>
  <c r="AT46" i="52"/>
  <c r="AT50" i="52"/>
  <c r="AT47" i="52"/>
  <c r="AT49" i="52"/>
  <c r="AU50" i="52" l="1"/>
  <c r="AU51" i="52"/>
  <c r="AU48" i="52"/>
  <c r="AU46" i="52"/>
  <c r="AU49" i="52"/>
  <c r="AU47" i="52"/>
  <c r="AV46" i="52" l="1"/>
  <c r="AV49" i="52"/>
  <c r="AV47" i="52"/>
  <c r="AV51" i="52"/>
  <c r="AV48" i="52"/>
  <c r="AV50" i="52"/>
  <c r="AW51" i="52" l="1"/>
  <c r="AW47" i="52"/>
  <c r="AW48" i="52"/>
  <c r="AW50" i="52"/>
  <c r="AW46" i="52"/>
  <c r="AW49" i="52"/>
  <c r="AX46" i="52" l="1"/>
  <c r="AX50" i="52"/>
  <c r="AX51" i="52"/>
  <c r="AX47" i="52"/>
  <c r="AX49" i="52"/>
  <c r="AX48" i="52"/>
  <c r="AY47" i="52" l="1"/>
  <c r="AY48" i="52"/>
  <c r="AY49" i="52"/>
  <c r="AY51" i="52"/>
  <c r="AY50" i="52"/>
  <c r="AY46" i="52"/>
  <c r="AZ49" i="52" l="1"/>
  <c r="AZ51" i="52"/>
  <c r="AZ46" i="52"/>
  <c r="AZ48" i="52"/>
  <c r="AZ50" i="52"/>
  <c r="AZ47" i="52"/>
  <c r="BA46" i="52" l="1"/>
  <c r="BA47" i="52"/>
  <c r="BA48" i="52"/>
  <c r="BA49" i="52"/>
  <c r="BA51" i="52"/>
  <c r="BA50" i="52"/>
  <c r="BB48" i="52" l="1"/>
  <c r="BB51" i="52"/>
  <c r="BB47" i="52"/>
  <c r="BB49" i="52"/>
  <c r="BB50" i="52"/>
  <c r="BB46" i="52"/>
  <c r="BC49" i="52" l="1"/>
  <c r="BC50" i="52"/>
  <c r="BC46" i="52"/>
  <c r="BC47" i="52"/>
  <c r="BC51" i="52"/>
  <c r="BC48" i="52"/>
  <c r="BD48" i="52" l="1"/>
  <c r="BD51" i="52"/>
  <c r="BD47" i="52"/>
  <c r="BD50" i="52"/>
  <c r="BD46" i="52"/>
  <c r="BD49" i="52"/>
  <c r="BE49" i="52" l="1"/>
  <c r="BE51" i="52"/>
  <c r="BE50" i="52"/>
  <c r="BE46" i="52"/>
  <c r="BE48" i="52"/>
  <c r="BE47" i="52"/>
  <c r="BF49" i="52" l="1"/>
  <c r="BF48" i="52"/>
  <c r="BF50" i="52"/>
  <c r="BF46" i="52"/>
  <c r="BF51" i="52"/>
  <c r="BF47" i="52"/>
  <c r="BG47" i="52" l="1"/>
  <c r="BG51" i="52"/>
  <c r="BG46" i="52"/>
  <c r="BG50" i="52"/>
  <c r="BG48" i="52"/>
  <c r="BG49" i="52"/>
  <c r="AX57" i="52" l="1"/>
  <c r="W57" i="52"/>
  <c r="AL57" i="52"/>
  <c r="V57" i="52"/>
  <c r="J57" i="52"/>
  <c r="R57" i="52"/>
  <c r="AQ57" i="52"/>
  <c r="AU57" i="52"/>
  <c r="BC57" i="52"/>
  <c r="AO57" i="52"/>
  <c r="AM57" i="52"/>
  <c r="AB57" i="52"/>
  <c r="AK57" i="52"/>
  <c r="U57" i="52"/>
  <c r="AG57" i="52"/>
  <c r="X57" i="52"/>
  <c r="AF57" i="52"/>
  <c r="Z57" i="52"/>
  <c r="AS57" i="52"/>
  <c r="M57" i="52"/>
  <c r="AZ57" i="52"/>
  <c r="BA57" i="52"/>
  <c r="AH57" i="52"/>
  <c r="BG57" i="52"/>
  <c r="BE57" i="52"/>
  <c r="K57" i="52"/>
  <c r="AY57" i="52"/>
  <c r="AI57" i="52"/>
  <c r="L57" i="52"/>
  <c r="AT57" i="52"/>
  <c r="O57" i="52"/>
  <c r="AR57" i="52"/>
  <c r="AE57" i="52"/>
  <c r="Q57" i="52"/>
  <c r="S57" i="52"/>
  <c r="AD57" i="52"/>
  <c r="AW57" i="52"/>
  <c r="AA57" i="52"/>
  <c r="BF57" i="52"/>
  <c r="T57" i="52"/>
  <c r="AJ57" i="52"/>
  <c r="AN57" i="52"/>
  <c r="N57" i="52"/>
  <c r="AV57" i="52"/>
  <c r="BB57" i="52"/>
  <c r="AP57" i="52"/>
  <c r="AC57" i="52"/>
  <c r="BD57" i="52"/>
  <c r="Y57" i="52"/>
  <c r="P57" i="52"/>
  <c r="AB56" i="52"/>
  <c r="X56" i="52"/>
  <c r="BC56" i="52"/>
  <c r="AJ56" i="52"/>
  <c r="BG56" i="52"/>
  <c r="AQ56" i="52"/>
  <c r="AS56" i="52"/>
  <c r="AW56" i="52"/>
  <c r="AH56" i="52"/>
  <c r="BA56" i="52"/>
  <c r="AL56" i="52"/>
  <c r="Y56" i="52"/>
  <c r="BF56" i="52"/>
  <c r="AR56" i="52"/>
  <c r="Z56" i="52"/>
  <c r="AV56" i="52"/>
  <c r="AO56" i="52"/>
  <c r="N56" i="52"/>
  <c r="U56" i="52"/>
  <c r="O56" i="52"/>
  <c r="AE56" i="52"/>
  <c r="BD56" i="52"/>
  <c r="W56" i="52"/>
  <c r="AD56" i="52"/>
  <c r="AX56" i="52"/>
  <c r="BB56" i="52"/>
  <c r="AA56" i="52"/>
  <c r="AF56" i="52"/>
  <c r="AG56" i="52"/>
  <c r="BE56" i="52"/>
  <c r="AP56" i="52"/>
  <c r="S56" i="52"/>
  <c r="L56" i="52"/>
  <c r="AN56" i="52"/>
  <c r="AK56" i="52"/>
  <c r="M56" i="52"/>
  <c r="AC56" i="52"/>
  <c r="T56" i="52"/>
  <c r="AM56" i="52"/>
  <c r="J56" i="52"/>
  <c r="P56" i="52"/>
  <c r="V56" i="52"/>
  <c r="AI56" i="52"/>
  <c r="AU56" i="52"/>
  <c r="AY56" i="52"/>
  <c r="K56" i="52"/>
  <c r="R56" i="52"/>
  <c r="AT56" i="52"/>
  <c r="Q56" i="52"/>
  <c r="AZ56" i="52"/>
  <c r="M58" i="52"/>
  <c r="AP58" i="52"/>
  <c r="AN58" i="52"/>
  <c r="V58" i="52"/>
  <c r="BG58" i="52"/>
  <c r="BC58" i="52"/>
  <c r="AU58" i="52"/>
  <c r="AX58" i="52"/>
  <c r="BB58" i="52"/>
  <c r="AZ58" i="52"/>
  <c r="BE58" i="52"/>
  <c r="R58" i="52"/>
  <c r="AM58" i="52"/>
  <c r="AG58" i="52"/>
  <c r="BF58" i="52"/>
  <c r="AK58" i="52"/>
  <c r="S58" i="52"/>
  <c r="AJ58" i="52"/>
  <c r="AO58" i="52"/>
  <c r="Q58" i="52"/>
  <c r="J58" i="52"/>
  <c r="AT58" i="52"/>
  <c r="L58" i="52"/>
  <c r="W58" i="52"/>
  <c r="AR58" i="52"/>
  <c r="AC58" i="52"/>
  <c r="AI58" i="52"/>
  <c r="O58" i="52"/>
  <c r="AV58" i="52"/>
  <c r="BD58" i="52"/>
  <c r="AF58" i="52"/>
  <c r="AW58" i="52"/>
  <c r="AD58" i="52"/>
  <c r="U58" i="52"/>
  <c r="Y58" i="52"/>
  <c r="AB58" i="52"/>
  <c r="BA58" i="52"/>
  <c r="Z58" i="52"/>
  <c r="AY58" i="52"/>
  <c r="AH58" i="52"/>
  <c r="AQ58" i="52"/>
  <c r="K58" i="52"/>
  <c r="AE58" i="52"/>
  <c r="AA58" i="52"/>
  <c r="N58" i="52"/>
  <c r="AL58" i="52"/>
  <c r="X58" i="52"/>
  <c r="P58" i="52"/>
  <c r="T58" i="52"/>
  <c r="AS58" i="52"/>
  <c r="X53" i="52"/>
  <c r="AQ53" i="52"/>
  <c r="AR53" i="52"/>
  <c r="AV53" i="52"/>
  <c r="AY53" i="52"/>
  <c r="BC53" i="52"/>
  <c r="W53" i="52"/>
  <c r="AE53" i="52"/>
  <c r="AD53" i="52"/>
  <c r="AU53" i="52"/>
  <c r="AW53" i="52"/>
  <c r="L53" i="52"/>
  <c r="BF53" i="52"/>
  <c r="AS53" i="52"/>
  <c r="O53" i="52"/>
  <c r="BG53" i="52"/>
  <c r="AI53" i="52"/>
  <c r="AB53" i="52"/>
  <c r="P53" i="52"/>
  <c r="Y53" i="52"/>
  <c r="AA53" i="52"/>
  <c r="BD53" i="52"/>
  <c r="BE53" i="52"/>
  <c r="AF53" i="52"/>
  <c r="V53" i="52"/>
  <c r="M53" i="52"/>
  <c r="U53" i="52"/>
  <c r="BA53" i="52"/>
  <c r="AJ53" i="52"/>
  <c r="AP53" i="52"/>
  <c r="AM53" i="52"/>
  <c r="AO53" i="52"/>
  <c r="Q53" i="52"/>
  <c r="AG53" i="52"/>
  <c r="AK53" i="52"/>
  <c r="AX53" i="52"/>
  <c r="J53" i="52"/>
  <c r="AN53" i="52"/>
  <c r="R53" i="52"/>
  <c r="Z53" i="52"/>
  <c r="AZ53" i="52"/>
  <c r="AT53" i="52"/>
  <c r="K53" i="52"/>
  <c r="T53" i="52"/>
  <c r="AH53" i="52"/>
  <c r="S53" i="52"/>
  <c r="N53" i="52"/>
  <c r="AC53" i="52"/>
  <c r="BB53" i="52"/>
  <c r="AL53" i="52"/>
  <c r="V55" i="52"/>
  <c r="BD55" i="52"/>
  <c r="AN55" i="52"/>
  <c r="AF55" i="52"/>
  <c r="AB55" i="52"/>
  <c r="AP55" i="52"/>
  <c r="AZ55" i="52"/>
  <c r="R55" i="52"/>
  <c r="AA55" i="52"/>
  <c r="W55" i="52"/>
  <c r="AK55" i="52"/>
  <c r="AC55" i="52"/>
  <c r="AW55" i="52"/>
  <c r="AY55" i="52"/>
  <c r="K55" i="52"/>
  <c r="AJ55" i="52"/>
  <c r="BF55" i="52"/>
  <c r="Y55" i="52"/>
  <c r="L55" i="52"/>
  <c r="Q55" i="52"/>
  <c r="BE55" i="52"/>
  <c r="AT55" i="52"/>
  <c r="AH55" i="52"/>
  <c r="BA55" i="52"/>
  <c r="AL55" i="52"/>
  <c r="BB55" i="52"/>
  <c r="Z55" i="52"/>
  <c r="AV55" i="52"/>
  <c r="T55" i="52"/>
  <c r="AR55" i="52"/>
  <c r="AG55" i="52"/>
  <c r="O55" i="52"/>
  <c r="AQ55" i="52"/>
  <c r="AX55" i="52"/>
  <c r="N55" i="52"/>
  <c r="BG55" i="52"/>
  <c r="AS55" i="52"/>
  <c r="M55" i="52"/>
  <c r="P55" i="52"/>
  <c r="AO55" i="52"/>
  <c r="AI55" i="52"/>
  <c r="X55" i="52"/>
  <c r="U55" i="52"/>
  <c r="AU55" i="52"/>
  <c r="AE55" i="52"/>
  <c r="BC55" i="52"/>
  <c r="AM55" i="52"/>
  <c r="AD55" i="52"/>
  <c r="S55" i="52"/>
  <c r="J55" i="52"/>
  <c r="AZ54" i="52"/>
  <c r="L54" i="52"/>
  <c r="Z54" i="52"/>
  <c r="AV54" i="52"/>
  <c r="AX54" i="52"/>
  <c r="M54" i="52"/>
  <c r="R54" i="52"/>
  <c r="BF54" i="52"/>
  <c r="Y54" i="52"/>
  <c r="BD54" i="52"/>
  <c r="AP54" i="52"/>
  <c r="AL54" i="52"/>
  <c r="AB54" i="52"/>
  <c r="AO54" i="52"/>
  <c r="AR54" i="52"/>
  <c r="AH54" i="52"/>
  <c r="BB54" i="52"/>
  <c r="AF54" i="52"/>
  <c r="AA54" i="52"/>
  <c r="AW54" i="52"/>
  <c r="K54" i="52"/>
  <c r="AG54" i="52"/>
  <c r="N54" i="52"/>
  <c r="T54" i="52"/>
  <c r="AE54" i="52"/>
  <c r="BA54" i="52"/>
  <c r="AU54" i="52"/>
  <c r="Q54" i="52"/>
  <c r="AJ54" i="52"/>
  <c r="AT54" i="52"/>
  <c r="S54" i="52"/>
  <c r="J54" i="52"/>
  <c r="AN54" i="52"/>
  <c r="W54" i="52"/>
  <c r="O54" i="52"/>
  <c r="BG54" i="52"/>
  <c r="AK54" i="52"/>
  <c r="U54" i="52"/>
  <c r="AD54" i="52"/>
  <c r="BE54" i="52"/>
  <c r="AC54" i="52"/>
  <c r="BC54" i="52"/>
  <c r="AI54" i="52"/>
  <c r="AM54" i="52"/>
  <c r="V54" i="52"/>
  <c r="AS54" i="52"/>
  <c r="AY54" i="52"/>
  <c r="X54" i="52"/>
  <c r="AQ54" i="52"/>
  <c r="P54" i="52"/>
  <c r="AA128" i="52" l="1"/>
  <c r="AM128" i="52"/>
  <c r="T128" i="52"/>
  <c r="AO128" i="52"/>
  <c r="AC128" i="52"/>
  <c r="AR128" i="52"/>
  <c r="AF128" i="52"/>
  <c r="AQ128" i="52"/>
  <c r="BC128" i="52"/>
  <c r="AI128" i="52"/>
  <c r="BA128" i="52"/>
  <c r="R128" i="52"/>
  <c r="AK128" i="52"/>
  <c r="W128" i="52"/>
  <c r="AB128" i="52"/>
  <c r="AJ128" i="52"/>
  <c r="BG128" i="52"/>
  <c r="AE128" i="52"/>
  <c r="AZ128" i="52"/>
  <c r="Y128" i="52"/>
  <c r="AU128" i="52"/>
  <c r="AH128" i="52"/>
  <c r="N128" i="52"/>
  <c r="N134" i="52" s="1"/>
  <c r="BE128" i="52"/>
  <c r="AT128" i="52"/>
  <c r="AV128" i="52"/>
  <c r="BD128" i="52"/>
  <c r="AD128" i="52"/>
  <c r="U128" i="52"/>
  <c r="AY128" i="52"/>
  <c r="AP128" i="52"/>
  <c r="BB128" i="52"/>
  <c r="AG128" i="52"/>
  <c r="Z128" i="52"/>
  <c r="M128" i="52"/>
  <c r="AW128" i="52"/>
  <c r="O128" i="52"/>
  <c r="O134" i="52" s="1"/>
  <c r="L128" i="52"/>
  <c r="L134" i="52" s="1"/>
  <c r="S128" i="52"/>
  <c r="AL128" i="52"/>
  <c r="AN128" i="52"/>
  <c r="V128" i="52"/>
  <c r="BF128" i="52"/>
  <c r="Q128" i="52"/>
  <c r="P128" i="52"/>
  <c r="P134" i="52" s="1"/>
  <c r="AX128" i="52"/>
  <c r="X128" i="52"/>
  <c r="AS128" i="52"/>
  <c r="K128" i="52"/>
  <c r="K134" i="52" s="1"/>
  <c r="J128" i="52"/>
  <c r="J134" i="52" s="1"/>
  <c r="M134" i="52"/>
  <c r="T134" i="52" l="1"/>
  <c r="F5" i="53"/>
  <c r="Q134" i="52"/>
  <c r="AN134" i="52"/>
  <c r="AV134" i="52" l="1"/>
  <c r="R134" i="52"/>
  <c r="AM134" i="52"/>
  <c r="AS134" i="52"/>
  <c r="F9" i="53"/>
  <c r="BE134" i="52"/>
  <c r="AW134" i="52"/>
  <c r="BF134" i="52"/>
  <c r="AQ134" i="52"/>
  <c r="S134" i="52"/>
  <c r="AI134" i="52"/>
  <c r="AH134" i="52"/>
  <c r="BD134" i="52"/>
  <c r="AJ134" i="52"/>
  <c r="U134" i="52"/>
  <c r="AU134" i="52"/>
  <c r="BC134" i="52"/>
  <c r="AC134" i="52"/>
  <c r="BB134" i="52"/>
  <c r="AT134" i="52"/>
  <c r="AP134" i="52"/>
  <c r="AE134" i="52"/>
  <c r="AX134" i="52"/>
  <c r="AZ134" i="52"/>
  <c r="AF134" i="52"/>
  <c r="AL134" i="52"/>
  <c r="AD134" i="52"/>
  <c r="AO134" i="52"/>
  <c r="AK134" i="52"/>
  <c r="AY134" i="52"/>
  <c r="AB134" i="52"/>
  <c r="BG134" i="52"/>
  <c r="Z134" i="52"/>
  <c r="AG134" i="52"/>
  <c r="AR134" i="52"/>
  <c r="BA134" i="52"/>
  <c r="AA134" i="52"/>
  <c r="V134" i="52" l="1"/>
  <c r="X134" i="52"/>
  <c r="Y134" i="52"/>
  <c r="W134" i="52" l="1"/>
</calcChain>
</file>

<file path=xl/sharedStrings.xml><?xml version="1.0" encoding="utf-8"?>
<sst xmlns="http://schemas.openxmlformats.org/spreadsheetml/2006/main" count="663" uniqueCount="319">
  <si>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</si>
  <si>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</si>
  <si>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</si>
  <si>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</si>
  <si>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</si>
  <si>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</si>
  <si>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</si>
  <si>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</si>
  <si>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</si>
  <si>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</si>
  <si>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</si>
  <si>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</si>
  <si>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</si>
  <si>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</si>
  <si>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</si>
  <si>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</si>
  <si>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</si>
  <si>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</si>
  <si>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</si>
  <si>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</si>
  <si>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</si>
  <si>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</si>
  <si>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</si>
  <si>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</si>
  <si>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</si>
  <si>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</si>
  <si>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</si>
  <si>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</si>
  <si>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</si>
  <si>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</si>
  <si>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</si>
  <si>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Style Guidelines</t>
  </si>
  <si>
    <t>Name</t>
  </si>
  <si>
    <t>Note</t>
  </si>
  <si>
    <t>H1</t>
  </si>
  <si>
    <t>H2</t>
  </si>
  <si>
    <t>H3</t>
  </si>
  <si>
    <t>H4</t>
  </si>
  <si>
    <t>Heading level 1</t>
  </si>
  <si>
    <t>Heading level 2</t>
  </si>
  <si>
    <t>Heading level 3</t>
  </si>
  <si>
    <t>Heading level 4</t>
  </si>
  <si>
    <t>NB These styles change most aspects of a cells formatting (all except Number and Alignment)</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</si>
  <si>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</si>
  <si>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</si>
  <si>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</si>
  <si>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</si>
  <si>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</si>
  <si>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</si>
  <si>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</si>
  <si>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</si>
  <si>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</si>
  <si>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</si>
  <si>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</si>
  <si>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</si>
  <si>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</si>
  <si>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</si>
  <si>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An input to the model that has, none the less, been calculated from other inputs (e.g. interpolated input values)</t>
  </si>
  <si>
    <t>Positive</t>
  </si>
  <si>
    <t>Negative</t>
  </si>
  <si>
    <t>Zero</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</si>
  <si>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</si>
  <si>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</si>
  <si>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</si>
  <si>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</si>
  <si>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</si>
  <si>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</si>
  <si>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</si>
  <si>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</si>
  <si>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</si>
  <si>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</si>
  <si>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</si>
  <si>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</si>
  <si>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</si>
  <si>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</si>
  <si>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</si>
  <si>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</si>
  <si>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</si>
  <si>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</si>
  <si>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</si>
  <si>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</si>
  <si>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</si>
  <si>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</si>
  <si>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</si>
  <si>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</si>
  <si>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</si>
  <si>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r>
      <t>Consider using F</t>
    </r>
    <r>
      <rPr>
        <u/>
        <sz val="9"/>
        <rFont val="Arial"/>
        <family val="2"/>
      </rPr>
      <t>o</t>
    </r>
    <r>
      <rPr>
        <sz val="9"/>
        <rFont val="Arial"/>
        <family val="2"/>
      </rPr>
      <t>rmat Con</t>
    </r>
    <r>
      <rPr>
        <u/>
        <sz val="9"/>
        <rFont val="Arial"/>
        <family val="2"/>
      </rPr>
      <t>d</t>
    </r>
    <r>
      <rPr>
        <sz val="9"/>
        <rFont val="Arial"/>
        <family val="2"/>
      </rPr>
      <t>itional Formatting to highlight unacceptable results of cross check calculations (e.g. non-zero)</t>
    </r>
  </si>
  <si>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</si>
  <si>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</si>
  <si>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</si>
  <si>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</si>
  <si>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</si>
  <si>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</si>
  <si>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</si>
  <si>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</si>
  <si>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</si>
  <si>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</si>
  <si>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r>
      <t xml:space="preserve">NB Consider using </t>
    </r>
    <r>
      <rPr>
        <u/>
        <sz val="8"/>
        <rFont val="Arial"/>
        <family val="2"/>
      </rPr>
      <t>F</t>
    </r>
    <r>
      <rPr>
        <sz val="8"/>
        <rFont val="Arial"/>
        <family val="2"/>
      </rPr>
      <t>ile Page Set</t>
    </r>
    <r>
      <rPr>
        <u/>
        <sz val="8"/>
        <rFont val="Arial"/>
        <family val="2"/>
      </rPr>
      <t>u</t>
    </r>
    <r>
      <rPr>
        <sz val="8"/>
        <rFont val="Arial"/>
        <family val="2"/>
      </rPr>
      <t xml:space="preserve">p </t>
    </r>
    <r>
      <rPr>
        <u/>
        <sz val="8"/>
        <rFont val="Arial"/>
        <family val="2"/>
      </rPr>
      <t>S</t>
    </r>
    <r>
      <rPr>
        <sz val="8"/>
        <rFont val="Arial"/>
        <family val="2"/>
      </rPr>
      <t xml:space="preserve">heet </t>
    </r>
    <r>
      <rPr>
        <u/>
        <sz val="8"/>
        <rFont val="Arial"/>
        <family val="2"/>
      </rPr>
      <t>R</t>
    </r>
    <r>
      <rPr>
        <sz val="8"/>
        <rFont val="Arial"/>
        <family val="2"/>
      </rPr>
      <t>ows to repeat at top: $1:$1 to include row 1 at the top of all printed pages (as is done on this worksheet)</t>
    </r>
  </si>
  <si>
    <t>A simple table</t>
  </si>
  <si>
    <t>A more complex table</t>
  </si>
  <si>
    <t>NB Use Window Unfreeze Panes (on each worksheet) to have row 1 scroll with the rest of the worksheet</t>
  </si>
  <si>
    <t>Number of subscribers (simple year average)</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</si>
  <si>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</si>
  <si>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</si>
  <si>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</si>
  <si>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</si>
  <si>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</si>
  <si>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</si>
  <si>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</si>
  <si>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An input to this part of the model, which is linked to a source on this or another worksheet within this workbook</t>
  </si>
  <si>
    <t>Column label (left aligned)</t>
  </si>
  <si>
    <t>Column label (not bold)</t>
  </si>
  <si>
    <t>Subscribers.Year End.By Service</t>
  </si>
  <si>
    <t>Service</t>
  </si>
  <si>
    <t>Units</t>
  </si>
  <si>
    <t>Subscribers</t>
  </si>
  <si>
    <t>From above</t>
  </si>
  <si>
    <t>From Cable_modem.xls</t>
  </si>
  <si>
    <t>Linear interpolation</t>
  </si>
  <si>
    <t>Column label (no wrap)</t>
  </si>
  <si>
    <t>Costos por actividad</t>
  </si>
  <si>
    <t>Costos anualizados</t>
  </si>
  <si>
    <t>Promedio de usuarios fijos</t>
  </si>
  <si>
    <t>Período</t>
  </si>
  <si>
    <t>Unidades</t>
  </si>
  <si>
    <t>Año promedio</t>
  </si>
  <si>
    <t>#</t>
  </si>
  <si>
    <t>Ingresos</t>
  </si>
  <si>
    <t>Datos de entrada</t>
  </si>
  <si>
    <t>Fuente</t>
  </si>
  <si>
    <t>Ingreso promedio por usuario</t>
  </si>
  <si>
    <t>Acceso, renta y servicio medido</t>
  </si>
  <si>
    <t>Larga distancia nacional</t>
  </si>
  <si>
    <t>Larga distancia internacional</t>
  </si>
  <si>
    <t>millones MXN</t>
  </si>
  <si>
    <t>Crecimiento</t>
  </si>
  <si>
    <t>Costo por unidad</t>
  </si>
  <si>
    <t>Operador Hipotetico</t>
  </si>
  <si>
    <t>Año</t>
  </si>
  <si>
    <t>MXN</t>
  </si>
  <si>
    <t>%</t>
  </si>
  <si>
    <t>Billing</t>
  </si>
  <si>
    <t>Sobre</t>
  </si>
  <si>
    <t>Franqueo postal</t>
  </si>
  <si>
    <t>Cantidad</t>
  </si>
  <si>
    <t>Concepto</t>
  </si>
  <si>
    <t>Impresión y Envío</t>
  </si>
  <si>
    <t>Costo</t>
  </si>
  <si>
    <t>Capacidad</t>
  </si>
  <si>
    <t>Notas</t>
  </si>
  <si>
    <t>Cobranza</t>
  </si>
  <si>
    <t>Tiempo dedicado a cobranza</t>
  </si>
  <si>
    <t>MXN/mes</t>
  </si>
  <si>
    <t>CRM - relacion con el cliente</t>
  </si>
  <si>
    <t>Costo del sistema de billing</t>
  </si>
  <si>
    <t>Capex</t>
  </si>
  <si>
    <t>Opex</t>
  </si>
  <si>
    <t>Tendencia del costo</t>
  </si>
  <si>
    <t>Costo total</t>
  </si>
  <si>
    <t>CRM</t>
  </si>
  <si>
    <t>Sistema CRM</t>
  </si>
  <si>
    <t>Vida util</t>
  </si>
  <si>
    <t>Usuarios</t>
  </si>
  <si>
    <t>Costo por equipo</t>
  </si>
  <si>
    <t>Numero de equipos</t>
  </si>
  <si>
    <t>Compra de equipos</t>
  </si>
  <si>
    <t>Indice del capex</t>
  </si>
  <si>
    <t>Output ponderado</t>
  </si>
  <si>
    <t>Costo por unidad producida</t>
  </si>
  <si>
    <t>Tasa de descuento real</t>
  </si>
  <si>
    <t>WACC</t>
  </si>
  <si>
    <t>Indice del opex</t>
  </si>
  <si>
    <t>Hoja de papel</t>
  </si>
  <si>
    <t>Otros costos unitarios - materia prima y pagos a terceros</t>
  </si>
  <si>
    <t>Tiendas propias para realizar pagos</t>
  </si>
  <si>
    <t>Indice</t>
  </si>
  <si>
    <t>Recibos enviados anualmente</t>
  </si>
  <si>
    <t>Costo de facturacion</t>
  </si>
  <si>
    <t>Costo de cobranza</t>
  </si>
  <si>
    <t>Costo de envio</t>
  </si>
  <si>
    <t>Recibo promedio</t>
  </si>
  <si>
    <t>Ingreso promedio por recibo</t>
  </si>
  <si>
    <t>Costo total de facturacion y cobranza por factura envíada</t>
  </si>
  <si>
    <t>AoP</t>
  </si>
  <si>
    <t>Resultados</t>
  </si>
  <si>
    <t>Unidad</t>
  </si>
  <si>
    <t>recibo_promedio</t>
  </si>
  <si>
    <t>Tiendas</t>
  </si>
  <si>
    <t>Costo mensual</t>
  </si>
  <si>
    <t>Coste por recibo</t>
  </si>
  <si>
    <t>Link</t>
  </si>
  <si>
    <t>Folios</t>
  </si>
  <si>
    <t>Precio/folio</t>
  </si>
  <si>
    <t>Average</t>
  </si>
  <si>
    <t>Sobres</t>
  </si>
  <si>
    <t>Precio - MXN</t>
  </si>
  <si>
    <t>https://www.abasteo.mx/Esselte-Sobre-Correspondencia-73213-Paquete-de-500-Piezas-Tamano-Oficio-Blanco.html</t>
  </si>
  <si>
    <t>Servicio local</t>
  </si>
  <si>
    <t>Fuente: http://www.correosdemexico.gob.mx/Tarifas/TCorreos/Documents/MasA.pdf</t>
  </si>
  <si>
    <t>Fuente: http://www.banxico.org.mx/sistemas-de-pago/servicios/tarifas-y-comisiones/tasas-de-descuento-que-pagan-los-comercios-por-ace/tasas-de-descuento-para-tarjetas-de-credito-por-gi/tasas-descuento-por-giro-cred.html</t>
  </si>
  <si>
    <t>Fuente: http://www.banxico.org.mx/sistemas-de-pago/servicios/tarifas-y-comisiones/tasas-de-descuento-que-pagan-los-comercios-por-ace/tasas-de-descuento-para-tarjetas-de-debito-por-gir/tasas-descuento-por-giro-debi.html</t>
  </si>
  <si>
    <t>Tendencia de costos</t>
  </si>
  <si>
    <t>% sobre el capex</t>
  </si>
  <si>
    <t>Efectivo</t>
  </si>
  <si>
    <t>Transferencia bancaria</t>
  </si>
  <si>
    <t>Tarjeta bancaria</t>
  </si>
  <si>
    <t>Banco</t>
  </si>
  <si>
    <t>Internet</t>
  </si>
  <si>
    <t>Tarjetas bancarias (crédito / débito)</t>
  </si>
  <si>
    <t>Tarjeta de crédito</t>
  </si>
  <si>
    <t>Tarjeta de débito</t>
  </si>
  <si>
    <t>Comisión promedio para  telecomunicaciones</t>
  </si>
  <si>
    <t>Uso promedio de tarjeta bancaria (% transacciones por tipo de tarjeta)</t>
  </si>
  <si>
    <t>Fuente: http://www.condusef.gob.mx/gbmx/?p=estadisticas</t>
  </si>
  <si>
    <t>Comisión media</t>
  </si>
  <si>
    <t>Comisión efectivo</t>
  </si>
  <si>
    <t>Comisión electrónica</t>
  </si>
  <si>
    <t>Comisión tienda</t>
  </si>
  <si>
    <t>Método para realizar pagos</t>
  </si>
  <si>
    <t>Compras autorizadas</t>
  </si>
  <si>
    <t>Total (%)</t>
  </si>
  <si>
    <t>Folios de papel</t>
  </si>
  <si>
    <t>Decuento por gran volumen</t>
  </si>
  <si>
    <t>Equipo de impresión</t>
  </si>
  <si>
    <t>-Alimentador automático de originales</t>
  </si>
  <si>
    <t>-Finalizador</t>
  </si>
  <si>
    <t>-Controlador de impresión</t>
  </si>
  <si>
    <t>-Cajón de gran capacidad</t>
  </si>
  <si>
    <t>Color</t>
  </si>
  <si>
    <t>Blanco y negro</t>
  </si>
  <si>
    <t>Nota: El precio del equipo / costo de renting incluye los siguientes accesorios:</t>
  </si>
  <si>
    <t>Equipo de sobreteo</t>
  </si>
  <si>
    <t>Electricidad</t>
  </si>
  <si>
    <t>Costo mensual en caso de renting</t>
  </si>
  <si>
    <t>% sobre el costo de renting</t>
  </si>
  <si>
    <t>Nota: Calculado teniendo en cuenta un consumo de unos 4.6 KWh y un costo por KWh entre 0.98MXN y 1.7MXN dependiendo de la franja horaria</t>
  </si>
  <si>
    <t>http://www.dineroenimagen.com/2017-01-02/81887</t>
  </si>
  <si>
    <t>Costo por impresión en caso de contrato de mantenimiento</t>
  </si>
  <si>
    <t>Personal para gestión del equipo de impresión</t>
  </si>
  <si>
    <t>Costo mensual por FTE</t>
  </si>
  <si>
    <t>FTE por equipo de impresión</t>
  </si>
  <si>
    <t>MXN / mes</t>
  </si>
  <si>
    <t>MXN / copia</t>
  </si>
  <si>
    <t>Costo anual equipo de impresión (inluyendo luz)</t>
  </si>
  <si>
    <t>Costo anual maquina sobreteo  (inluyendo luz)</t>
  </si>
  <si>
    <t>MXN / año</t>
  </si>
  <si>
    <t>Precio por envío</t>
  </si>
  <si>
    <t>Spare 1</t>
  </si>
  <si>
    <t>Spare 2</t>
  </si>
  <si>
    <t>Vida útil</t>
  </si>
  <si>
    <t>Años</t>
  </si>
  <si>
    <t>Factor de utilización</t>
  </si>
  <si>
    <t>recibos_ano</t>
  </si>
  <si>
    <t>Output (asumiendo 12 recibos anuales)</t>
  </si>
  <si>
    <t>discount_rate_divider</t>
  </si>
  <si>
    <t>Opex as % of capex</t>
  </si>
  <si>
    <t>tiempo_cobranza</t>
  </si>
  <si>
    <t>comision_media</t>
  </si>
  <si>
    <t>Comisiones de pago</t>
  </si>
  <si>
    <t>Comision media</t>
  </si>
  <si>
    <t>Nota: Clientes Jumbo con entre 5 y 13 millones de piezas mensuales</t>
  </si>
  <si>
    <t>Costo anual por FTEs por equipo de impresión</t>
  </si>
  <si>
    <t>FTE_por_equipo</t>
  </si>
  <si>
    <t>costo_por_FTE</t>
  </si>
  <si>
    <t>capacidad_billing</t>
  </si>
  <si>
    <t>capacidad_CRM</t>
  </si>
  <si>
    <t>costo_billing</t>
  </si>
  <si>
    <t>factor_utilizacion_billing</t>
  </si>
  <si>
    <t>opex_billing</t>
  </si>
  <si>
    <t>costo_CRM</t>
  </si>
  <si>
    <t>factor_utilizacion_CRM</t>
  </si>
  <si>
    <t>opex_CRM</t>
  </si>
  <si>
    <t>franqueo</t>
  </si>
  <si>
    <t>vida_billing</t>
  </si>
  <si>
    <t>vida_CRM</t>
  </si>
  <si>
    <t>promedio_usuarios_fijos</t>
  </si>
  <si>
    <t>Copias A4 por mes</t>
  </si>
  <si>
    <t>capacidad_equipo_impresion</t>
  </si>
  <si>
    <t>capacidad_equipo_sobreteo</t>
  </si>
  <si>
    <t>vida_equipo_sobreteo</t>
  </si>
  <si>
    <t>vida_equipo_impresion</t>
  </si>
  <si>
    <t>factor_utilizacion_equipo_impresion</t>
  </si>
  <si>
    <t>factor_utilizacion_equipo_sobreteo</t>
  </si>
  <si>
    <t>costo_anual_equipo_impresion</t>
  </si>
  <si>
    <t>costo_anual_equipo_sobreteo</t>
  </si>
  <si>
    <t>Costo por copia</t>
  </si>
  <si>
    <t>costo_por_copia_color</t>
  </si>
  <si>
    <t>CCPP nominal</t>
  </si>
  <si>
    <t>Multiplicador CCPP nominal</t>
  </si>
  <si>
    <t>Divisor CCPP nominal</t>
  </si>
  <si>
    <t>Nota: El renting y precio por copia incluyen portes de envío, reparaciones, verificaciones y sustituciones de todas las piezas necesarias para el correcto funcionamiento del equipo, así como la mano de obra y desplazamiento del Servicio Técnico Oficial, además de todos los consumibles necesarios para que la máquina sea operativa (TONER, aceite, etc.), a excepción del papel.</t>
  </si>
  <si>
    <t>precio.folio</t>
  </si>
  <si>
    <t>precio.sobre</t>
  </si>
  <si>
    <t>Folios por recibo</t>
  </si>
  <si>
    <t>folios_por_recibo</t>
  </si>
  <si>
    <t>Otras tiendas</t>
  </si>
  <si>
    <t>IFT (Información estadística UPR) y modelo de mercado para servicios de interconexión</t>
  </si>
  <si>
    <t>Equipo de ensobrado</t>
  </si>
  <si>
    <t>Cálculos →</t>
  </si>
  <si>
    <t>Costo de facturación</t>
  </si>
  <si>
    <t>Costo de envío</t>
  </si>
  <si>
    <t>Q2 2017</t>
  </si>
  <si>
    <t>Q3 2017</t>
  </si>
  <si>
    <t>Q4 2017</t>
  </si>
  <si>
    <t>Q1 2018</t>
  </si>
  <si>
    <t>Modelo de mercado AEP</t>
  </si>
  <si>
    <t>https://www.cyberpuerta.mx/Impresion-Copiado/Papeles-para-Impresoras/Papel/Xerox-Papel-Bond-Ecologico-75g-m-5000-Hojas-de-Tamano-Carta-Blanco.html?nosto=shop_api_detail1_2</t>
  </si>
  <si>
    <t>https://www.costco.com.mx/Negocios-y-Papeleria/Papel-para-Oficina/Folders-y-Sobres/Ampad-sobre-para-correspondencia-10-cierre-engomado/p/647319</t>
  </si>
  <si>
    <t>https://pedidos.com/articulos/ESS-SOB-73221/sobre-correspondencia-ampad-73221-de-papel-color-blanco-carta-solapa-engomada-1-paquete-con-500-sobres.htm</t>
  </si>
  <si>
    <t>https://www.officemax.com.mx/papel-copiadora-92-5000-hojas-omx/p</t>
  </si>
  <si>
    <t>https://articulo.mercadolibre.com.mx/MLM-566428754-caja-de-papel-bond-xerox-tamano-carta-envio-gratis--_JM?quantity=1</t>
  </si>
  <si>
    <t>https://www.costco.com.mx/Negocios-y-Papeleria/Papel-para-Oficina/Papel/Xerox-pallet-papel-tamano-carta-40-cajas/p/646188</t>
  </si>
  <si>
    <t>comision_media_2020</t>
  </si>
  <si>
    <t>Reportes anuales AEP</t>
  </si>
  <si>
    <t>Ingresos AEP</t>
  </si>
  <si>
    <t>costo_tienda</t>
  </si>
  <si>
    <t>tiendas</t>
  </si>
  <si>
    <t>total_tiendas</t>
  </si>
  <si>
    <t>Comisión por tipo de pago (excluyendo el coste de las tiendas)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</si>
</sst>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0.00_-;\-* #,##0.00_-;_-* &quot;-&quot;??_-;_-@_-"/>
    <numFmt numFmtId="164" formatCode="#,##0_);[Red]\-#,##0_);0_);@_)"/>
    <numFmt numFmtId="165" formatCode="#,##0.00_);[Red]\-#,##0.00_);0.00_);@_)"/>
    <numFmt numFmtId="166" formatCode="#,##0%;[Red]\-#,##0%;0%;@_)"/>
    <numFmt numFmtId="167" formatCode="#,##0.00%;[Red]\-#,##0.00%;0.00%;@_)"/>
    <numFmt numFmtId="168" formatCode="dd\ mmm\ yy_)"/>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USD]\ * _(#,##0_);[Red][$USD]\ * \(#,##0\);[$USD]\ * _(&quot;-&quot;?_);@_)"/>
    <numFmt numFmtId="178" formatCode="[$USD]\ * _(#,##0.00_);[Red][$USD]\ * \(#,##0.00\);[$USD]\ * _(&quot;-&quot;?_);@_)"/>
    <numFmt numFmtId="179" formatCode="\£\ * _(#,##0_);[Red]\£\ * \(#,##0\);\£\ * _(&quot;-&quot;?_);@_)"/>
    <numFmt numFmtId="180" formatCode="\£\ * _(#,##0.00_);[Red]\£\ * \(#,##0.00\);\£\ * _(&quot;-&quot;?_);@_)"/>
    <numFmt numFmtId="181" formatCode="[$GBP]\ * _(#,##0_);[Red][$GBP]\ * \(#,##0\);[$GBP]\ * _(&quot;-&quot;?_);@_)"/>
    <numFmt numFmtId="182" formatCode="[$GBP]\ * _(#,##0.00_);[Red][$GBP]\ * \(#,##0.00\);[$GBP]\ * _(&quot;-&quot;?_);@_)"/>
    <numFmt numFmtId="183" formatCode="mmm\ yy_)"/>
    <numFmt numFmtId="184" formatCode="yyyy_)"/>
    <numFmt numFmtId="185" formatCode="0.0%"/>
    <numFmt numFmtId="186" formatCode="0.0%;[Red]\-0.0%"/>
    <numFmt numFmtId="187" formatCode="0%;[Red]\-0%"/>
    <numFmt numFmtId="188" formatCode="#,##0.00_ ;[Red]\-#,##0.00\ "/>
    <numFmt numFmtId="189" formatCode="_-[$€-2]* #,##0.00_-;\-[$€-2]* #,##0.00_-;_-[$€-2]* &quot;-&quot;??_-"/>
    <numFmt numFmtId="190" formatCode="#,##0.0_);[Red]\-#,##0.0_);0.0_);@_)"/>
    <numFmt numFmtId="191" formatCode="#,##0.0%;[Red]\-#,##0.0%;0.0%;@_)"/>
    <numFmt numFmtId="192" formatCode="#,##0.000_);[Red]\-#,##0.000_);0.000_);@_)"/>
    <numFmt numFmtId="193" formatCode="#,##0.0000000000000_ ;[Red]\-#,##0.0000000000000\ "/>
  </numFmts>
  <fonts count="27"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u/>
      <sz val="8"/>
      <name val="Arial"/>
      <family val="2"/>
    </font>
    <font>
      <i/>
      <sz val="9"/>
      <color indexed="16"/>
      <name val="Arial"/>
      <family val="2"/>
    </font>
    <font>
      <sz val="14"/>
      <color indexed="10"/>
      <name val="Arial"/>
      <family val="2"/>
    </font>
    <font>
      <sz val="14"/>
      <name val="Arial"/>
      <family val="2"/>
    </font>
    <font>
      <sz val="10"/>
      <name val="Arial"/>
      <family val="2"/>
    </font>
    <font>
      <b/>
      <sz val="11"/>
      <name val="Arial"/>
      <family val="2"/>
    </font>
    <font>
      <b/>
      <sz val="10"/>
      <name val="Arial"/>
      <family val="2"/>
    </font>
    <font>
      <sz val="9"/>
      <color indexed="10"/>
      <name val="Arial"/>
      <family val="2"/>
    </font>
    <font>
      <sz val="9"/>
      <color rgb="FFFF0000"/>
      <name val="Arial"/>
      <family val="2"/>
    </font>
    <font>
      <sz val="9"/>
      <color rgb="FF000000"/>
      <name val="Tahoma"/>
      <family val="2"/>
    </font>
    <font>
      <u/>
      <sz val="9"/>
      <color theme="10"/>
      <name val="Arial"/>
      <family val="2"/>
    </font>
    <font>
      <sz val="9"/>
      <color theme="1"/>
      <name val="Arial"/>
      <family val="2"/>
      <scheme val="minor"/>
    </font>
    <font>
      <i/>
      <sz val="9"/>
      <name val="Arial"/>
      <family val="2"/>
    </font>
  </fonts>
  <fills count="1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rgb="FFFFFF00"/>
        <bgColor indexed="64"/>
      </patternFill>
    </fill>
    <fill>
      <patternFill patternType="solid">
        <fgColor theme="6" tint="0.59999389629810485"/>
        <bgColor indexed="65"/>
      </patternFill>
    </fill>
    <fill>
      <patternFill patternType="solid">
        <fgColor theme="3" tint="0.8999908444471571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theme="0" tint="-0.249977111117893"/>
        <bgColor indexed="64"/>
      </patternFill>
    </fill>
  </fills>
  <borders count="18">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style="dotted">
        <color indexed="57"/>
      </left>
      <right style="dotted">
        <color indexed="57"/>
      </right>
      <top style="dotted">
        <color indexed="57"/>
      </top>
      <bottom/>
      <diagonal/>
    </border>
    <border>
      <left/>
      <right/>
      <top style="thick">
        <color theme="8" tint="0.59996337778862885"/>
      </top>
      <bottom/>
      <diagonal/>
    </border>
    <border>
      <left style="dotted">
        <color indexed="57"/>
      </left>
      <right style="dotted">
        <color indexed="57"/>
      </right>
      <top style="thick">
        <color theme="8" tint="0.59996337778862885"/>
      </top>
      <bottom style="dotted">
        <color indexed="57"/>
      </bottom>
      <diagonal/>
    </border>
    <border>
      <left style="thin">
        <color indexed="57"/>
      </left>
      <right style="thin">
        <color indexed="57"/>
      </right>
      <top style="thick">
        <color theme="8" tint="0.59996337778862885"/>
      </top>
      <bottom style="thin">
        <color indexed="57"/>
      </bottom>
      <diagonal/>
    </border>
    <border>
      <left style="thick">
        <color theme="8" tint="0.59996337778862885"/>
      </left>
      <right style="dotted">
        <color indexed="57"/>
      </right>
      <top style="dotted">
        <color indexed="57"/>
      </top>
      <bottom style="dotted">
        <color indexed="57"/>
      </bottom>
      <diagonal/>
    </border>
    <border>
      <left style="thin">
        <color indexed="57"/>
      </left>
      <right/>
      <top style="thin">
        <color indexed="57"/>
      </top>
      <bottom style="thin">
        <color indexed="57"/>
      </bottom>
      <diagonal/>
    </border>
    <border>
      <left style="dotted">
        <color indexed="57"/>
      </left>
      <right/>
      <top style="dotted">
        <color indexed="57"/>
      </top>
      <bottom/>
      <diagonal/>
    </border>
    <border>
      <left style="thin">
        <color indexed="57"/>
      </left>
      <right/>
      <top style="thick">
        <color theme="8" tint="0.59996337778862885"/>
      </top>
      <bottom style="thin">
        <color indexed="57"/>
      </bottom>
      <diagonal/>
    </border>
    <border>
      <left style="thick">
        <color theme="8" tint="0.59996337778862885"/>
      </left>
      <right style="dotted">
        <color indexed="57"/>
      </right>
      <top style="dotted">
        <color indexed="57"/>
      </top>
      <bottom/>
      <diagonal/>
    </border>
    <border>
      <left style="thick">
        <color theme="8" tint="0.59996337778862885"/>
      </left>
      <right/>
      <top style="thick">
        <color theme="8" tint="0.59996337778862885"/>
      </top>
      <bottom/>
      <diagonal/>
    </border>
    <border>
      <left style="thin">
        <color indexed="57"/>
      </left>
      <right style="thin">
        <color indexed="57"/>
      </right>
      <top/>
      <bottom style="thin">
        <color indexed="57"/>
      </bottom>
      <diagonal/>
    </border>
  </borders>
  <cellStyleXfs count="79">
    <xf numFmtId="0" fontId="0" fillId="0" borderId="0">
      <alignment vertical="center"/>
    </xf>
    <xf numFmtId="0" fontId="6" fillId="0" borderId="0" applyNumberFormat="0" applyAlignment="0">
      <alignment vertical="center"/>
    </xf>
    <xf numFmtId="165" fontId="12" fillId="0" borderId="0" applyNumberFormat="0" applyAlignment="0">
      <alignment vertical="center"/>
    </xf>
    <xf numFmtId="0" fontId="9" fillId="2" borderId="0" applyNumberFormat="0">
      <alignment horizontal="center" vertical="top" wrapText="1"/>
    </xf>
    <xf numFmtId="0" fontId="9" fillId="2" borderId="0" applyNumberFormat="0">
      <alignment horizontal="left" vertical="top" wrapText="1"/>
    </xf>
    <xf numFmtId="0" fontId="9" fillId="2" borderId="0" applyNumberFormat="0">
      <alignment horizontal="centerContinuous" vertical="top"/>
    </xf>
    <xf numFmtId="0" fontId="6" fillId="2" borderId="0" applyNumberFormat="0">
      <alignment horizontal="center" vertical="top" wrapText="1"/>
    </xf>
    <xf numFmtId="164" fontId="6" fillId="0" borderId="0" applyFont="0" applyFill="0" applyBorder="0" applyAlignment="0" applyProtection="0">
      <alignment vertical="center"/>
    </xf>
    <xf numFmtId="169" fontId="6" fillId="0" borderId="0" applyFont="0" applyFill="0" applyBorder="0" applyAlignment="0" applyProtection="0">
      <alignment vertical="center"/>
    </xf>
    <xf numFmtId="170" fontId="6" fillId="0" borderId="0" applyFont="0" applyFill="0" applyBorder="0" applyAlignment="0" applyProtection="0">
      <alignment vertical="center"/>
    </xf>
    <xf numFmtId="175" fontId="6" fillId="0" borderId="0" applyFont="0" applyFill="0" applyBorder="0" applyAlignment="0" applyProtection="0">
      <alignment vertical="center"/>
    </xf>
    <xf numFmtId="176" fontId="6" fillId="0" borderId="0" applyFont="0" applyFill="0" applyBorder="0" applyAlignment="0" applyProtection="0">
      <alignment vertical="center"/>
    </xf>
    <xf numFmtId="173" fontId="6" fillId="0" borderId="0" applyFont="0" applyFill="0" applyBorder="0" applyAlignment="0" applyProtection="0">
      <alignment vertical="center"/>
    </xf>
    <xf numFmtId="174" fontId="6" fillId="0" borderId="0" applyFont="0" applyFill="0" applyBorder="0" applyAlignment="0" applyProtection="0">
      <alignment vertical="center"/>
    </xf>
    <xf numFmtId="171" fontId="6" fillId="0" borderId="0" applyFont="0" applyFill="0" applyBorder="0" applyAlignment="0" applyProtection="0">
      <alignment vertical="center"/>
    </xf>
    <xf numFmtId="172" fontId="6" fillId="0" borderId="0" applyFont="0" applyFill="0" applyBorder="0" applyAlignment="0" applyProtection="0">
      <alignment vertical="center"/>
    </xf>
    <xf numFmtId="181" fontId="6" fillId="0" borderId="0" applyFont="0" applyFill="0" applyBorder="0" applyAlignment="0" applyProtection="0">
      <alignment vertical="center"/>
    </xf>
    <xf numFmtId="182" fontId="6" fillId="0" borderId="0" applyFont="0" applyFill="0" applyBorder="0" applyAlignment="0" applyProtection="0">
      <alignment vertical="center"/>
    </xf>
    <xf numFmtId="179" fontId="6" fillId="0" borderId="0" applyFont="0" applyFill="0" applyBorder="0" applyAlignment="0" applyProtection="0">
      <alignment vertical="center"/>
    </xf>
    <xf numFmtId="180" fontId="6" fillId="0" borderId="0" applyFont="0" applyFill="0" applyBorder="0" applyAlignment="0" applyProtection="0">
      <alignment vertical="center"/>
    </xf>
    <xf numFmtId="177" fontId="6" fillId="0" borderId="0" applyFont="0" applyFill="0" applyBorder="0" applyAlignment="0" applyProtection="0">
      <alignment vertical="center"/>
    </xf>
    <xf numFmtId="178" fontId="6" fillId="0" borderId="0" applyFont="0" applyFill="0" applyBorder="0" applyAlignment="0" applyProtection="0">
      <alignment vertical="center"/>
    </xf>
    <xf numFmtId="168" fontId="6" fillId="0" borderId="0" applyFont="0" applyFill="0" applyBorder="0" applyAlignment="0" applyProtection="0">
      <alignment vertical="center"/>
    </xf>
    <xf numFmtId="183" fontId="6" fillId="0" borderId="0" applyFont="0" applyFill="0" applyBorder="0" applyAlignment="0" applyProtection="0">
      <alignment vertical="center"/>
    </xf>
    <xf numFmtId="184" fontId="6" fillId="0" borderId="0" applyFont="0" applyFill="0" applyBorder="0" applyAlignment="0" applyProtection="0">
      <alignment vertical="center"/>
    </xf>
    <xf numFmtId="0" fontId="10" fillId="2" borderId="0" applyNumberFormat="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horizontal="left" vertical="center"/>
    </xf>
    <xf numFmtId="0" fontId="9" fillId="0" borderId="0" applyNumberFormat="0" applyFill="0" applyBorder="0" applyAlignment="0" applyProtection="0">
      <alignment vertical="center"/>
    </xf>
    <xf numFmtId="0" fontId="6" fillId="3" borderId="0" applyNumberFormat="0" applyFont="0" applyBorder="0" applyAlignment="0" applyProtection="0">
      <alignment vertical="center"/>
    </xf>
    <xf numFmtId="0" fontId="6" fillId="0" borderId="1" applyNumberFormat="0" applyAlignment="0">
      <alignment vertical="center"/>
    </xf>
    <xf numFmtId="0" fontId="6" fillId="0" borderId="2" applyNumberFormat="0" applyAlignment="0">
      <alignment vertical="center"/>
      <protection locked="0"/>
    </xf>
    <xf numFmtId="164" fontId="6" fillId="4" borderId="2" applyNumberFormat="0" applyAlignment="0">
      <alignment vertical="center"/>
      <protection locked="0"/>
    </xf>
    <xf numFmtId="0" fontId="6" fillId="5" borderId="0" applyNumberFormat="0" applyAlignment="0">
      <alignment vertical="center"/>
    </xf>
    <xf numFmtId="0" fontId="6" fillId="6" borderId="0" applyNumberFormat="0" applyAlignment="0">
      <alignment vertical="center"/>
    </xf>
    <xf numFmtId="0" fontId="6" fillId="0" borderId="3" applyNumberFormat="0" applyAlignment="0">
      <alignment vertical="center"/>
      <protection locked="0"/>
    </xf>
    <xf numFmtId="0" fontId="15" fillId="0" borderId="0" applyNumberFormat="0" applyAlignment="0">
      <alignment vertical="center"/>
    </xf>
    <xf numFmtId="0" fontId="11" fillId="0" borderId="0" applyNumberFormat="0" applyFill="0" applyBorder="0" applyAlignment="0" applyProtection="0">
      <alignment vertical="center"/>
    </xf>
    <xf numFmtId="164" fontId="6" fillId="0" borderId="0" applyFont="0" applyFill="0" applyBorder="0" applyAlignment="0" applyProtection="0">
      <alignment vertical="center"/>
    </xf>
    <xf numFmtId="165" fontId="6" fillId="0" borderId="0" applyFont="0" applyFill="0" applyBorder="0" applyAlignment="0" applyProtection="0">
      <alignment vertical="center"/>
    </xf>
    <xf numFmtId="0" fontId="6" fillId="7" borderId="0" applyNumberFormat="0" applyFont="0" applyBorder="0" applyAlignment="0" applyProtection="0">
      <alignment vertical="center"/>
    </xf>
    <xf numFmtId="166" fontId="6" fillId="0" borderId="0" applyFont="0" applyFill="0" applyBorder="0" applyAlignment="0" applyProtection="0">
      <alignment horizontal="right" vertical="center"/>
    </xf>
    <xf numFmtId="167" fontId="6" fillId="0" borderId="0" applyFont="0" applyFill="0" applyBorder="0" applyAlignment="0" applyProtection="0">
      <alignment vertical="center"/>
    </xf>
    <xf numFmtId="0" fontId="9" fillId="0" borderId="0" applyNumberFormat="0" applyFill="0" applyBorder="0">
      <alignment horizontal="left" vertical="center" wrapText="1"/>
    </xf>
    <xf numFmtId="0" fontId="6" fillId="0" borderId="0" applyNumberFormat="0" applyFill="0" applyBorder="0">
      <alignment horizontal="left" vertical="center" wrapText="1" indent="1"/>
    </xf>
    <xf numFmtId="164" fontId="9" fillId="0" borderId="4" applyNumberFormat="0" applyFill="0" applyAlignment="0" applyProtection="0">
      <alignment vertical="center"/>
    </xf>
    <xf numFmtId="164" fontId="6" fillId="0" borderId="5" applyNumberFormat="0" applyFont="0" applyFill="0" applyAlignment="0" applyProtection="0">
      <alignment vertical="center"/>
    </xf>
    <xf numFmtId="0" fontId="6" fillId="8" borderId="0" applyNumberFormat="0" applyFont="0" applyBorder="0" applyAlignment="0" applyProtection="0">
      <alignment vertical="center"/>
    </xf>
    <xf numFmtId="0" fontId="6" fillId="0" borderId="0" applyNumberFormat="0" applyFont="0" applyFill="0" applyAlignment="0" applyProtection="0">
      <alignment vertical="center"/>
    </xf>
    <xf numFmtId="164" fontId="6" fillId="0" borderId="0" applyNumberFormat="0" applyFont="0" applyBorder="0" applyAlignment="0" applyProtection="0">
      <alignment vertical="center"/>
    </xf>
    <xf numFmtId="49" fontId="6" fillId="0" borderId="0" applyFont="0" applyFill="0" applyBorder="0" applyAlignment="0" applyProtection="0">
      <alignment horizontal="center" vertical="center"/>
    </xf>
    <xf numFmtId="164" fontId="9" fillId="0" borderId="0" applyNumberFormat="0" applyFill="0" applyBorder="0" applyAlignment="0" applyProtection="0">
      <alignment vertical="center"/>
    </xf>
    <xf numFmtId="164" fontId="9" fillId="2" borderId="0" applyNumberFormat="0" applyAlignment="0" applyProtection="0">
      <alignment vertical="center"/>
    </xf>
    <xf numFmtId="0" fontId="6" fillId="0" borderId="0" applyNumberFormat="0" applyFont="0" applyBorder="0" applyAlignment="0" applyProtection="0">
      <alignment vertical="center"/>
    </xf>
    <xf numFmtId="0" fontId="6" fillId="0" borderId="0" applyNumberFormat="0" applyFont="0" applyAlignment="0" applyProtection="0">
      <alignment vertical="center"/>
    </xf>
    <xf numFmtId="9" fontId="6" fillId="0" borderId="0" applyFont="0" applyFill="0" applyBorder="0" applyAlignment="0" applyProtection="0"/>
    <xf numFmtId="0" fontId="6" fillId="0" borderId="0">
      <alignment vertical="center"/>
    </xf>
    <xf numFmtId="0" fontId="24" fillId="0" borderId="0" applyNumberFormat="0" applyFill="0" applyBorder="0" applyAlignment="0" applyProtection="0">
      <alignment vertical="center"/>
    </xf>
    <xf numFmtId="169" fontId="6" fillId="0" borderId="0">
      <alignment vertical="center"/>
    </xf>
    <xf numFmtId="189" fontId="4" fillId="0" borderId="0"/>
    <xf numFmtId="0" fontId="4" fillId="0" borderId="0"/>
    <xf numFmtId="43" fontId="4" fillId="0" borderId="0" applyFont="0" applyFill="0" applyBorder="0" applyAlignment="0" applyProtection="0"/>
    <xf numFmtId="0" fontId="3" fillId="10" borderId="0" applyNumberFormat="0" applyBorder="0" applyAlignment="0" applyProtection="0"/>
    <xf numFmtId="189" fontId="2" fillId="0" borderId="0"/>
    <xf numFmtId="0" fontId="2" fillId="0" borderId="0"/>
    <xf numFmtId="43" fontId="2" fillId="0" borderId="0" applyFont="0" applyFill="0" applyBorder="0" applyAlignment="0" applyProtection="0"/>
    <xf numFmtId="0" fontId="6" fillId="0" borderId="3" applyNumberFormat="0" applyAlignment="0">
      <alignment vertical="center"/>
      <protection locked="0"/>
    </xf>
    <xf numFmtId="3" fontId="6" fillId="0" borderId="0" applyBorder="0"/>
    <xf numFmtId="0" fontId="6" fillId="0" borderId="0" applyNumberFormat="0" applyAlignment="0">
      <alignment vertical="center"/>
    </xf>
    <xf numFmtId="0" fontId="11" fillId="0" borderId="0" applyNumberFormat="0" applyFill="0" applyBorder="0" applyAlignment="0" applyProtection="0">
      <alignment vertical="center"/>
    </xf>
    <xf numFmtId="0" fontId="6" fillId="7" borderId="0" applyNumberFormat="0" applyFont="0" applyBorder="0" applyAlignment="0" applyProtection="0">
      <alignment vertical="center"/>
    </xf>
    <xf numFmtId="164" fontId="9" fillId="0" borderId="0" applyNumberFormat="0" applyFill="0" applyBorder="0" applyAlignment="0" applyProtection="0">
      <alignment vertical="center"/>
    </xf>
    <xf numFmtId="189" fontId="1" fillId="0" borderId="0"/>
    <xf numFmtId="0" fontId="1" fillId="0" borderId="0"/>
    <xf numFmtId="43" fontId="1" fillId="0" borderId="0" applyFont="0" applyFill="0" applyBorder="0" applyAlignment="0" applyProtection="0"/>
    <xf numFmtId="189" fontId="1" fillId="0" borderId="0"/>
    <xf numFmtId="0" fontId="1" fillId="0" borderId="0"/>
    <xf numFmtId="43" fontId="1" fillId="0" borderId="0" applyFont="0" applyFill="0" applyBorder="0" applyAlignment="0" applyProtection="0"/>
  </cellStyleXfs>
  <cellXfs count="202">
    <xf numFmtId="0" fontId="0" fillId="0" borderId="0" xfId="0">
      <alignment vertical="center"/>
    </xf>
    <xf numFmtId="0" fontId="9" fillId="2" borderId="0" xfId="3">
      <alignment horizontal="center" vertical="top" wrapText="1"/>
    </xf>
    <xf numFmtId="164" fontId="0" fillId="0" borderId="0" xfId="39" applyFont="1">
      <alignment vertical="center"/>
    </xf>
    <xf numFmtId="0" fontId="6" fillId="0" borderId="0" xfId="45">
      <alignment horizontal="left" vertical="center" wrapText="1" indent="1"/>
    </xf>
    <xf numFmtId="0" fontId="9" fillId="0" borderId="0" xfId="44">
      <alignment horizontal="left" vertical="center" wrapText="1"/>
    </xf>
    <xf numFmtId="0" fontId="9" fillId="2" borderId="0" xfId="53" applyNumberFormat="1" applyAlignment="1">
      <alignment horizontal="left" vertical="center" wrapText="1"/>
    </xf>
    <xf numFmtId="0" fontId="9" fillId="0" borderId="4" xfId="46" applyNumberFormat="1" applyAlignment="1">
      <alignment horizontal="left" vertical="center" wrapText="1" indent="1"/>
    </xf>
    <xf numFmtId="0" fontId="8" fillId="0" borderId="0" xfId="27">
      <alignment vertical="center"/>
    </xf>
    <xf numFmtId="164" fontId="6" fillId="0" borderId="3" xfId="36" applyNumberFormat="1">
      <alignment vertical="center"/>
      <protection locked="0"/>
    </xf>
    <xf numFmtId="164" fontId="6" fillId="0" borderId="1" xfId="31" applyNumberFormat="1">
      <alignment vertical="center"/>
    </xf>
    <xf numFmtId="164" fontId="6" fillId="0" borderId="2" xfId="32" applyNumberFormat="1">
      <alignment vertical="center"/>
      <protection locked="0"/>
    </xf>
    <xf numFmtId="164" fontId="6" fillId="5" borderId="0" xfId="34" applyNumberFormat="1">
      <alignment vertical="center"/>
    </xf>
    <xf numFmtId="164" fontId="6" fillId="0" borderId="0" xfId="1" applyNumberFormat="1">
      <alignment vertical="center"/>
    </xf>
    <xf numFmtId="164" fontId="6" fillId="7" borderId="0" xfId="41" applyNumberFormat="1">
      <alignment vertical="center"/>
    </xf>
    <xf numFmtId="164" fontId="6" fillId="3" borderId="0" xfId="30" applyNumberFormat="1">
      <alignment vertical="center"/>
    </xf>
    <xf numFmtId="165" fontId="0" fillId="0" borderId="0" xfId="40" applyFont="1">
      <alignment vertical="center"/>
    </xf>
    <xf numFmtId="169" fontId="0" fillId="0" borderId="0" xfId="8" applyFont="1">
      <alignment vertical="center"/>
    </xf>
    <xf numFmtId="170" fontId="0" fillId="0" borderId="0" xfId="9" applyFont="1">
      <alignment vertical="center"/>
    </xf>
    <xf numFmtId="171" fontId="0" fillId="0" borderId="0" xfId="14" applyFont="1">
      <alignment vertical="center"/>
    </xf>
    <xf numFmtId="172" fontId="0" fillId="0" borderId="0" xfId="15" applyFont="1">
      <alignment vertical="center"/>
    </xf>
    <xf numFmtId="173" fontId="0" fillId="0" borderId="0" xfId="12" applyFont="1">
      <alignment vertical="center"/>
    </xf>
    <xf numFmtId="174" fontId="0" fillId="0" borderId="0" xfId="13" applyFont="1">
      <alignment vertical="center"/>
    </xf>
    <xf numFmtId="168" fontId="0" fillId="0" borderId="0" xfId="22" applyFont="1">
      <alignment vertical="center"/>
    </xf>
    <xf numFmtId="0" fontId="11" fillId="0" borderId="0" xfId="38">
      <alignment vertical="center"/>
    </xf>
    <xf numFmtId="175" fontId="0" fillId="0" borderId="0" xfId="10" applyFont="1">
      <alignment vertical="center"/>
    </xf>
    <xf numFmtId="176" fontId="0" fillId="0" borderId="0" xfId="11" applyFont="1">
      <alignment vertical="center"/>
    </xf>
    <xf numFmtId="177" fontId="0" fillId="0" borderId="0" xfId="20" applyFont="1">
      <alignment vertical="center"/>
    </xf>
    <xf numFmtId="178" fontId="0" fillId="0" borderId="0" xfId="21" applyFont="1">
      <alignment vertical="center"/>
    </xf>
    <xf numFmtId="179" fontId="0" fillId="0" borderId="0" xfId="18" applyFont="1">
      <alignment vertical="center"/>
    </xf>
    <xf numFmtId="180" fontId="0" fillId="0" borderId="0" xfId="19" applyFont="1">
      <alignment vertical="center"/>
    </xf>
    <xf numFmtId="181" fontId="0" fillId="0" borderId="0" xfId="16" applyFont="1">
      <alignment vertical="center"/>
    </xf>
    <xf numFmtId="182" fontId="0" fillId="0" borderId="0" xfId="17" applyFont="1">
      <alignment vertical="center"/>
    </xf>
    <xf numFmtId="184" fontId="0" fillId="0" borderId="0" xfId="24" applyFont="1">
      <alignment vertical="center"/>
    </xf>
    <xf numFmtId="0" fontId="9" fillId="0" borderId="0" xfId="29">
      <alignment vertical="center"/>
    </xf>
    <xf numFmtId="0" fontId="5" fillId="0" borderId="0" xfId="28" applyAlignment="1">
      <alignment vertical="center"/>
    </xf>
    <xf numFmtId="0" fontId="9" fillId="0" borderId="4" xfId="46" applyNumberFormat="1">
      <alignment vertical="center"/>
    </xf>
    <xf numFmtId="0" fontId="9" fillId="2" borderId="0" xfId="53" applyNumberFormat="1">
      <alignment vertical="center"/>
    </xf>
    <xf numFmtId="0" fontId="0" fillId="8" borderId="0" xfId="48" applyFont="1">
      <alignment vertical="center"/>
    </xf>
    <xf numFmtId="0" fontId="0" fillId="0" borderId="5" xfId="47" applyNumberFormat="1" applyFont="1">
      <alignment vertical="center"/>
    </xf>
    <xf numFmtId="164" fontId="15" fillId="0" borderId="0" xfId="37" applyNumberFormat="1">
      <alignment vertical="center"/>
    </xf>
    <xf numFmtId="164" fontId="11" fillId="0" borderId="0" xfId="38" applyNumberFormat="1">
      <alignment vertical="center"/>
    </xf>
    <xf numFmtId="0" fontId="7" fillId="0" borderId="0" xfId="26">
      <alignment vertical="center"/>
    </xf>
    <xf numFmtId="0" fontId="15" fillId="0" borderId="0" xfId="37">
      <alignment vertical="center"/>
    </xf>
    <xf numFmtId="0" fontId="0" fillId="3" borderId="0" xfId="30" applyFont="1">
      <alignment vertical="center"/>
    </xf>
    <xf numFmtId="0" fontId="9" fillId="3" borderId="0" xfId="29" applyFill="1">
      <alignment vertical="center"/>
    </xf>
    <xf numFmtId="0" fontId="11" fillId="0" borderId="0" xfId="38" applyFont="1">
      <alignment vertical="center"/>
    </xf>
    <xf numFmtId="164" fontId="0" fillId="8" borderId="0" xfId="48" applyNumberFormat="1" applyFont="1">
      <alignment vertical="center"/>
    </xf>
    <xf numFmtId="166" fontId="0" fillId="8" borderId="0" xfId="48" applyNumberFormat="1" applyFont="1">
      <alignment vertical="center"/>
    </xf>
    <xf numFmtId="166" fontId="0" fillId="0" borderId="0" xfId="50" applyNumberFormat="1" applyFont="1">
      <alignment vertical="center"/>
    </xf>
    <xf numFmtId="167" fontId="0" fillId="0" borderId="0" xfId="50" applyNumberFormat="1" applyFont="1">
      <alignment vertical="center"/>
    </xf>
    <xf numFmtId="0" fontId="0" fillId="0" borderId="0" xfId="54" applyFont="1">
      <alignment vertical="center"/>
    </xf>
    <xf numFmtId="164" fontId="6" fillId="0" borderId="0" xfId="54" applyNumberFormat="1">
      <alignment vertical="center"/>
    </xf>
    <xf numFmtId="0" fontId="0" fillId="0" borderId="0" xfId="50" applyNumberFormat="1" applyFont="1">
      <alignment vertical="center"/>
    </xf>
    <xf numFmtId="164" fontId="6" fillId="4" borderId="2" xfId="33">
      <alignment vertical="center"/>
      <protection locked="0"/>
    </xf>
    <xf numFmtId="0" fontId="9" fillId="0" borderId="0" xfId="44" applyAlignment="1">
      <alignment horizontal="left" vertical="center" wrapText="1"/>
    </xf>
    <xf numFmtId="0" fontId="0" fillId="0" borderId="0" xfId="0" applyBorder="1">
      <alignment vertical="center"/>
    </xf>
    <xf numFmtId="164" fontId="9" fillId="2" borderId="0" xfId="53">
      <alignment vertical="center"/>
    </xf>
    <xf numFmtId="0" fontId="9" fillId="8" borderId="5" xfId="48" applyFont="1" applyBorder="1">
      <alignment vertical="center"/>
    </xf>
    <xf numFmtId="164" fontId="9" fillId="7" borderId="0" xfId="41" applyNumberFormat="1" applyFont="1">
      <alignment vertical="center"/>
    </xf>
    <xf numFmtId="0" fontId="9" fillId="7" borderId="0" xfId="41" applyFont="1" applyAlignment="1">
      <alignment horizontal="left" vertical="center" wrapText="1"/>
    </xf>
    <xf numFmtId="164" fontId="6" fillId="6" borderId="0" xfId="35" applyNumberFormat="1" applyFill="1">
      <alignment vertical="center"/>
    </xf>
    <xf numFmtId="165" fontId="12" fillId="0" borderId="0" xfId="2">
      <alignment vertical="center"/>
    </xf>
    <xf numFmtId="0" fontId="9" fillId="2" borderId="0" xfId="4">
      <alignment horizontal="left" vertical="top" wrapText="1"/>
    </xf>
    <xf numFmtId="0" fontId="6" fillId="2" borderId="0" xfId="6">
      <alignment horizontal="center" vertical="top" wrapText="1"/>
    </xf>
    <xf numFmtId="164" fontId="6" fillId="6" borderId="0" xfId="35" applyNumberFormat="1">
      <alignment vertical="center"/>
    </xf>
    <xf numFmtId="164" fontId="9" fillId="0" borderId="0" xfId="52">
      <alignment vertical="center"/>
    </xf>
    <xf numFmtId="0" fontId="9" fillId="2" borderId="0" xfId="5">
      <alignment horizontal="centerContinuous" vertical="top"/>
    </xf>
    <xf numFmtId="183" fontId="0" fillId="0" borderId="0" xfId="23" applyFont="1">
      <alignment vertical="center"/>
    </xf>
    <xf numFmtId="0" fontId="9" fillId="7" borderId="0" xfId="41" applyFont="1">
      <alignment vertical="center"/>
    </xf>
    <xf numFmtId="0" fontId="0" fillId="0" borderId="0" xfId="0" applyAlignment="1">
      <alignment horizontal="center" vertical="center"/>
    </xf>
    <xf numFmtId="0" fontId="10" fillId="0" borderId="0" xfId="25" applyFill="1" applyAlignment="1">
      <alignment horizontal="center" vertical="center"/>
    </xf>
    <xf numFmtId="0" fontId="10" fillId="0" borderId="0" xfId="25" applyFill="1" applyBorder="1">
      <alignment vertical="center"/>
    </xf>
    <xf numFmtId="0" fontId="10" fillId="0" borderId="0" xfId="25" applyFill="1">
      <alignment vertical="center"/>
    </xf>
    <xf numFmtId="0" fontId="10" fillId="0" borderId="0" xfId="25" applyFont="1" applyFill="1">
      <alignment vertical="center"/>
    </xf>
    <xf numFmtId="0" fontId="0" fillId="0" borderId="0" xfId="0" applyNumberFormat="1" applyAlignment="1">
      <alignment vertical="center"/>
    </xf>
    <xf numFmtId="0" fontId="9" fillId="0" borderId="0" xfId="29" applyNumberFormat="1" applyFont="1">
      <alignment vertical="center"/>
    </xf>
    <xf numFmtId="0" fontId="9" fillId="2" borderId="0" xfId="3" applyNumberFormat="1">
      <alignment horizontal="center" vertical="top" wrapText="1"/>
    </xf>
    <xf numFmtId="164" fontId="8" fillId="8" borderId="6" xfId="7" applyFont="1" applyFill="1" applyBorder="1">
      <alignment vertical="center"/>
    </xf>
    <xf numFmtId="0" fontId="8" fillId="8" borderId="6" xfId="0" applyFont="1" applyFill="1" applyBorder="1">
      <alignment vertical="center"/>
    </xf>
    <xf numFmtId="0" fontId="16" fillId="8" borderId="6" xfId="0" applyFont="1" applyFill="1" applyBorder="1">
      <alignment vertical="center"/>
    </xf>
    <xf numFmtId="164" fontId="0" fillId="0" borderId="0" xfId="7" applyFont="1" applyAlignment="1">
      <alignment vertical="center"/>
    </xf>
    <xf numFmtId="0" fontId="0" fillId="0" borderId="0" xfId="0" applyAlignment="1">
      <alignment vertical="center"/>
    </xf>
    <xf numFmtId="0" fontId="17" fillId="8" borderId="6" xfId="0" applyFont="1" applyFill="1" applyBorder="1" applyAlignment="1"/>
    <xf numFmtId="0" fontId="6" fillId="0" borderId="0" xfId="57" applyFont="1">
      <alignment vertical="center"/>
    </xf>
    <xf numFmtId="0" fontId="20" fillId="0" borderId="0" xfId="28" applyFont="1" applyAlignment="1">
      <alignment vertical="center"/>
    </xf>
    <xf numFmtId="0" fontId="18" fillId="0" borderId="0" xfId="0" applyFont="1">
      <alignment vertical="center"/>
    </xf>
    <xf numFmtId="0" fontId="18" fillId="0" borderId="0" xfId="0" applyFont="1" applyAlignment="1">
      <alignment vertical="center"/>
    </xf>
    <xf numFmtId="9" fontId="0" fillId="0" borderId="0" xfId="56" applyFont="1" applyAlignment="1">
      <alignment vertical="center"/>
    </xf>
    <xf numFmtId="185" fontId="6" fillId="5" borderId="0" xfId="34" applyNumberFormat="1">
      <alignment vertical="center"/>
    </xf>
    <xf numFmtId="0" fontId="6" fillId="4" borderId="2" xfId="33" applyNumberFormat="1">
      <alignment vertical="center"/>
      <protection locked="0"/>
    </xf>
    <xf numFmtId="164" fontId="0" fillId="0" borderId="0" xfId="7" applyFont="1">
      <alignment vertical="center"/>
    </xf>
    <xf numFmtId="0" fontId="9" fillId="0" borderId="0" xfId="0" applyFont="1">
      <alignment vertical="center"/>
    </xf>
    <xf numFmtId="0" fontId="20" fillId="0" borderId="0" xfId="0" applyFont="1">
      <alignment vertical="center"/>
    </xf>
    <xf numFmtId="0" fontId="19" fillId="0" borderId="0" xfId="0" applyFont="1">
      <alignment vertical="center"/>
    </xf>
    <xf numFmtId="2" fontId="0" fillId="0" borderId="0" xfId="0" applyNumberFormat="1">
      <alignment vertical="center"/>
    </xf>
    <xf numFmtId="0" fontId="22" fillId="0" borderId="0" xfId="0" applyFont="1">
      <alignment vertical="center"/>
    </xf>
    <xf numFmtId="0" fontId="23" fillId="0" borderId="0" xfId="0" applyFont="1">
      <alignment vertical="center"/>
    </xf>
    <xf numFmtId="185" fontId="6" fillId="4" borderId="2" xfId="56" applyNumberFormat="1" applyFill="1" applyBorder="1" applyAlignment="1" applyProtection="1">
      <alignment vertical="center"/>
      <protection locked="0"/>
    </xf>
    <xf numFmtId="164" fontId="6" fillId="4" borderId="2" xfId="7" applyFill="1" applyBorder="1" applyProtection="1">
      <alignment vertical="center"/>
      <protection locked="0"/>
    </xf>
    <xf numFmtId="186" fontId="6" fillId="5" borderId="0" xfId="34" applyNumberFormat="1" applyAlignment="1"/>
    <xf numFmtId="164" fontId="12" fillId="0" borderId="0" xfId="7" applyFont="1">
      <alignment vertical="center"/>
    </xf>
    <xf numFmtId="0" fontId="9" fillId="0" borderId="0" xfId="0" applyFont="1" applyAlignment="1">
      <alignment vertical="center"/>
    </xf>
    <xf numFmtId="165" fontId="6" fillId="0" borderId="0" xfId="1" applyNumberFormat="1">
      <alignment vertical="center"/>
    </xf>
    <xf numFmtId="9" fontId="21" fillId="0" borderId="0" xfId="56" applyFont="1" applyAlignment="1">
      <alignment vertical="center"/>
    </xf>
    <xf numFmtId="165" fontId="0" fillId="0" borderId="0" xfId="7" applyNumberFormat="1" applyFont="1">
      <alignment vertical="center"/>
    </xf>
    <xf numFmtId="10" fontId="6" fillId="5" borderId="0" xfId="56" applyNumberFormat="1" applyFill="1" applyAlignment="1"/>
    <xf numFmtId="164" fontId="6" fillId="11" borderId="1" xfId="31" applyNumberFormat="1" applyFill="1">
      <alignment vertical="center"/>
    </xf>
    <xf numFmtId="165" fontId="6" fillId="9" borderId="2" xfId="32" applyNumberFormat="1" applyFill="1" applyAlignment="1">
      <protection locked="0"/>
    </xf>
    <xf numFmtId="164" fontId="25" fillId="10" borderId="0" xfId="63" applyNumberFormat="1" applyFont="1" applyAlignment="1">
      <alignment vertical="center"/>
    </xf>
    <xf numFmtId="165" fontId="6" fillId="9" borderId="2" xfId="32" applyNumberFormat="1" applyFill="1">
      <alignment vertical="center"/>
      <protection locked="0"/>
    </xf>
    <xf numFmtId="185" fontId="6" fillId="9" borderId="2" xfId="32" applyNumberFormat="1" applyFill="1">
      <alignment vertical="center"/>
      <protection locked="0"/>
    </xf>
    <xf numFmtId="164" fontId="6" fillId="12" borderId="1" xfId="31" applyNumberFormat="1" applyFill="1">
      <alignment vertical="center"/>
    </xf>
    <xf numFmtId="165" fontId="6" fillId="0" borderId="1" xfId="31" applyNumberFormat="1" applyAlignment="1"/>
    <xf numFmtId="164" fontId="6" fillId="4" borderId="2" xfId="39" applyFill="1" applyBorder="1" applyAlignment="1" applyProtection="1">
      <alignment vertical="center"/>
      <protection locked="0"/>
    </xf>
    <xf numFmtId="165" fontId="6" fillId="0" borderId="1" xfId="31" applyNumberFormat="1">
      <alignment vertical="center"/>
    </xf>
    <xf numFmtId="164" fontId="6" fillId="13" borderId="1" xfId="31" applyNumberFormat="1" applyFill="1">
      <alignment vertical="center"/>
    </xf>
    <xf numFmtId="188" fontId="0" fillId="7" borderId="0" xfId="41" applyNumberFormat="1" applyFont="1">
      <alignment vertical="center"/>
    </xf>
    <xf numFmtId="0" fontId="9" fillId="11" borderId="0" xfId="0" applyFont="1" applyFill="1">
      <alignment vertical="center"/>
    </xf>
    <xf numFmtId="165" fontId="9" fillId="7" borderId="0" xfId="39" applyNumberFormat="1" applyFont="1" applyFill="1">
      <alignment vertical="center"/>
    </xf>
    <xf numFmtId="165" fontId="6" fillId="5" borderId="0" xfId="39" applyNumberFormat="1" applyFill="1">
      <alignment vertical="center"/>
    </xf>
    <xf numFmtId="0" fontId="18" fillId="0" borderId="0" xfId="28" applyFont="1" applyAlignment="1">
      <alignment vertical="center"/>
    </xf>
    <xf numFmtId="0" fontId="0" fillId="0" borderId="0" xfId="0" applyFont="1" applyAlignment="1">
      <alignment vertical="center"/>
    </xf>
    <xf numFmtId="186" fontId="6" fillId="0" borderId="2" xfId="32" applyNumberFormat="1" applyAlignment="1">
      <protection locked="0"/>
    </xf>
    <xf numFmtId="186" fontId="6" fillId="9" borderId="2" xfId="32" applyNumberFormat="1" applyFill="1" applyAlignment="1">
      <protection locked="0"/>
    </xf>
    <xf numFmtId="0" fontId="24" fillId="0" borderId="0" xfId="58">
      <alignment vertical="center"/>
    </xf>
    <xf numFmtId="164" fontId="6" fillId="0" borderId="2" xfId="39" applyBorder="1" applyProtection="1">
      <alignment vertical="center"/>
      <protection locked="0"/>
    </xf>
    <xf numFmtId="165" fontId="6" fillId="0" borderId="1" xfId="39" applyNumberFormat="1" applyBorder="1">
      <alignment vertical="center"/>
    </xf>
    <xf numFmtId="165" fontId="6" fillId="0" borderId="2" xfId="39" applyNumberFormat="1" applyBorder="1" applyProtection="1">
      <alignment vertical="center"/>
      <protection locked="0"/>
    </xf>
    <xf numFmtId="165" fontId="6" fillId="9" borderId="1" xfId="31" applyNumberFormat="1" applyFill="1">
      <alignment vertical="center"/>
    </xf>
    <xf numFmtId="166" fontId="6" fillId="0" borderId="2" xfId="42" applyBorder="1" applyAlignment="1" applyProtection="1">
      <alignment vertical="center"/>
      <protection locked="0"/>
    </xf>
    <xf numFmtId="10" fontId="6" fillId="0" borderId="2" xfId="32" applyNumberFormat="1">
      <alignment vertical="center"/>
      <protection locked="0"/>
    </xf>
    <xf numFmtId="166" fontId="6" fillId="4" borderId="2" xfId="56" applyNumberFormat="1" applyFill="1" applyBorder="1" applyAlignment="1" applyProtection="1">
      <alignment vertical="center"/>
      <protection locked="0"/>
    </xf>
    <xf numFmtId="166" fontId="0" fillId="15" borderId="0" xfId="42" applyFont="1" applyFill="1" applyAlignment="1">
      <alignment vertical="center"/>
    </xf>
    <xf numFmtId="166" fontId="6" fillId="0" borderId="1" xfId="31" applyNumberFormat="1" applyAlignment="1">
      <alignment vertical="center"/>
    </xf>
    <xf numFmtId="166" fontId="6" fillId="0" borderId="7" xfId="42" applyBorder="1" applyAlignment="1">
      <alignment vertical="center"/>
    </xf>
    <xf numFmtId="166" fontId="6" fillId="0" borderId="9" xfId="42" applyNumberFormat="1" applyBorder="1" applyAlignment="1">
      <alignment vertical="center"/>
    </xf>
    <xf numFmtId="166" fontId="6" fillId="4" borderId="10" xfId="56" applyNumberFormat="1" applyFill="1" applyBorder="1" applyAlignment="1" applyProtection="1">
      <alignment vertical="center"/>
      <protection locked="0"/>
    </xf>
    <xf numFmtId="166" fontId="6" fillId="4" borderId="12" xfId="56" applyNumberFormat="1" applyFill="1" applyBorder="1" applyAlignment="1" applyProtection="1">
      <alignment vertical="center"/>
      <protection locked="0"/>
    </xf>
    <xf numFmtId="166" fontId="6" fillId="0" borderId="13" xfId="42" applyBorder="1" applyAlignment="1">
      <alignment vertical="center"/>
    </xf>
    <xf numFmtId="166" fontId="6" fillId="4" borderId="14" xfId="56" applyNumberFormat="1" applyFill="1" applyBorder="1" applyAlignment="1" applyProtection="1">
      <alignment vertical="center"/>
      <protection locked="0"/>
    </xf>
    <xf numFmtId="166" fontId="6" fillId="0" borderId="11" xfId="31" applyNumberFormat="1" applyBorder="1">
      <alignment vertical="center"/>
    </xf>
    <xf numFmtId="166" fontId="6" fillId="0" borderId="15" xfId="31" applyNumberFormat="1" applyBorder="1">
      <alignment vertical="center"/>
    </xf>
    <xf numFmtId="0" fontId="6" fillId="2" borderId="0" xfId="3" applyNumberFormat="1" applyFont="1" applyAlignment="1">
      <alignment horizontal="left" vertical="top" wrapText="1"/>
    </xf>
    <xf numFmtId="0" fontId="6" fillId="2" borderId="0" xfId="3" applyNumberFormat="1" applyFont="1">
      <alignment horizontal="center" vertical="top" wrapText="1"/>
    </xf>
    <xf numFmtId="0" fontId="9" fillId="0" borderId="8" xfId="0" applyFont="1" applyBorder="1">
      <alignment vertical="center"/>
    </xf>
    <xf numFmtId="166" fontId="12" fillId="0" borderId="16" xfId="2" applyNumberFormat="1" applyBorder="1">
      <alignment vertical="center"/>
    </xf>
    <xf numFmtId="0" fontId="9" fillId="0" borderId="0" xfId="0" applyFont="1" applyAlignment="1">
      <alignment horizontal="center" vertical="center"/>
    </xf>
    <xf numFmtId="0" fontId="0" fillId="0" borderId="0" xfId="0" applyAlignment="1">
      <alignment horizontal="left" vertical="center" indent="1"/>
    </xf>
    <xf numFmtId="167" fontId="6" fillId="0" borderId="1" xfId="31" applyNumberFormat="1" applyAlignment="1">
      <alignment vertical="center"/>
    </xf>
    <xf numFmtId="167" fontId="6" fillId="5" borderId="0" xfId="34" applyNumberFormat="1" applyAlignment="1">
      <alignment vertical="center"/>
    </xf>
    <xf numFmtId="164" fontId="6" fillId="0" borderId="1" xfId="39" applyBorder="1">
      <alignment vertical="center"/>
    </xf>
    <xf numFmtId="164" fontId="6" fillId="14" borderId="1" xfId="39" applyFill="1" applyBorder="1">
      <alignment vertical="center"/>
    </xf>
    <xf numFmtId="10" fontId="6" fillId="5" borderId="0" xfId="34" applyNumberFormat="1">
      <alignment vertical="center"/>
    </xf>
    <xf numFmtId="166" fontId="6" fillId="0" borderId="3" xfId="42" applyBorder="1" applyAlignment="1" applyProtection="1">
      <alignment vertical="center"/>
      <protection locked="0"/>
    </xf>
    <xf numFmtId="188" fontId="9" fillId="7" borderId="0" xfId="41" applyNumberFormat="1" applyFont="1">
      <alignment vertical="center"/>
    </xf>
    <xf numFmtId="0" fontId="22" fillId="0" borderId="0" xfId="0" quotePrefix="1" applyFont="1" applyAlignment="1">
      <alignment horizontal="left" vertical="center" indent="1"/>
    </xf>
    <xf numFmtId="0" fontId="22" fillId="0" borderId="0" xfId="0" quotePrefix="1" applyFont="1" applyAlignment="1">
      <alignment horizontal="left" vertical="center"/>
    </xf>
    <xf numFmtId="0" fontId="0" fillId="0" borderId="0" xfId="0" applyAlignment="1">
      <alignment horizontal="left" vertical="center" indent="2"/>
    </xf>
    <xf numFmtId="167" fontId="6" fillId="0" borderId="1" xfId="42" applyNumberFormat="1" applyBorder="1" applyAlignment="1">
      <alignment vertical="center"/>
    </xf>
    <xf numFmtId="164" fontId="6" fillId="5" borderId="0" xfId="39" applyFill="1">
      <alignment vertical="center"/>
    </xf>
    <xf numFmtId="164" fontId="6" fillId="0" borderId="2" xfId="39" applyBorder="1" applyAlignment="1" applyProtection="1">
      <alignment vertical="center"/>
      <protection locked="0"/>
    </xf>
    <xf numFmtId="164" fontId="6" fillId="9" borderId="2" xfId="32" applyNumberFormat="1" applyFill="1" applyAlignment="1">
      <alignment vertical="center"/>
      <protection locked="0"/>
    </xf>
    <xf numFmtId="0" fontId="0" fillId="16" borderId="0" xfId="0" applyFill="1">
      <alignment vertical="center"/>
    </xf>
    <xf numFmtId="167" fontId="6" fillId="0" borderId="2" xfId="32" applyNumberFormat="1" applyAlignment="1">
      <alignment vertical="center"/>
      <protection locked="0"/>
    </xf>
    <xf numFmtId="164" fontId="6" fillId="4" borderId="2" xfId="39" applyFill="1" applyBorder="1" applyProtection="1">
      <alignment vertical="center"/>
      <protection locked="0"/>
    </xf>
    <xf numFmtId="165" fontId="6" fillId="0" borderId="1" xfId="39" applyNumberFormat="1" applyBorder="1" applyAlignment="1">
      <alignment vertical="center"/>
    </xf>
    <xf numFmtId="186" fontId="6" fillId="5" borderId="0" xfId="34" applyNumberFormat="1">
      <alignment vertical="center"/>
    </xf>
    <xf numFmtId="165" fontId="6" fillId="5" borderId="0" xfId="39" applyNumberFormat="1" applyFill="1" applyAlignment="1">
      <alignment vertical="center"/>
    </xf>
    <xf numFmtId="164" fontId="6" fillId="9" borderId="2" xfId="32" applyNumberFormat="1" applyFill="1">
      <alignment vertical="center"/>
      <protection locked="0"/>
    </xf>
    <xf numFmtId="0" fontId="26" fillId="0" borderId="0" xfId="0" applyFont="1" applyAlignment="1">
      <alignment vertical="center"/>
    </xf>
    <xf numFmtId="164" fontId="6" fillId="0" borderId="7" xfId="31" applyNumberFormat="1" applyBorder="1">
      <alignment vertical="center"/>
    </xf>
    <xf numFmtId="164" fontId="6" fillId="15" borderId="0" xfId="31" applyNumberFormat="1" applyFill="1" applyBorder="1">
      <alignment vertical="center"/>
    </xf>
    <xf numFmtId="164" fontId="6" fillId="15" borderId="0" xfId="1" applyNumberFormat="1" applyFill="1" applyBorder="1">
      <alignment vertical="center"/>
    </xf>
    <xf numFmtId="186" fontId="6" fillId="3" borderId="17" xfId="33" applyNumberFormat="1" applyFont="1" applyFill="1" applyBorder="1" applyAlignment="1">
      <protection locked="0"/>
    </xf>
    <xf numFmtId="164" fontId="6" fillId="15" borderId="0" xfId="32" applyNumberFormat="1" applyFill="1" applyBorder="1">
      <alignment vertical="center"/>
      <protection locked="0"/>
    </xf>
    <xf numFmtId="0" fontId="6" fillId="5" borderId="0" xfId="34" applyNumberFormat="1" applyAlignment="1">
      <alignment vertical="center"/>
    </xf>
    <xf numFmtId="164" fontId="6" fillId="0" borderId="0" xfId="39" applyBorder="1">
      <alignment vertical="center"/>
    </xf>
    <xf numFmtId="164" fontId="6" fillId="15" borderId="1" xfId="31" applyNumberFormat="1" applyFill="1">
      <alignment vertical="center"/>
    </xf>
    <xf numFmtId="165" fontId="6" fillId="15" borderId="1" xfId="31" applyNumberFormat="1" applyFill="1">
      <alignment vertical="center"/>
    </xf>
    <xf numFmtId="0" fontId="5" fillId="0" borderId="0" xfId="0" applyNumberFormat="1" applyFont="1" applyAlignment="1">
      <alignment vertical="center"/>
    </xf>
    <xf numFmtId="187" fontId="6" fillId="5" borderId="0" xfId="34" applyNumberFormat="1" applyAlignment="1">
      <alignment horizontal="center"/>
    </xf>
    <xf numFmtId="167" fontId="0" fillId="0" borderId="0" xfId="42" applyNumberFormat="1" applyFont="1" applyAlignment="1">
      <alignment vertical="center"/>
    </xf>
    <xf numFmtId="0" fontId="15" fillId="0" borderId="0" xfId="37" applyFill="1" applyBorder="1">
      <alignment vertical="center"/>
    </xf>
    <xf numFmtId="190" fontId="6" fillId="0" borderId="3" xfId="39" applyNumberFormat="1" applyBorder="1" applyProtection="1">
      <alignment vertical="center"/>
      <protection locked="0"/>
    </xf>
    <xf numFmtId="0" fontId="6" fillId="2" borderId="0" xfId="3" applyNumberFormat="1" applyFont="1" applyAlignment="1">
      <alignment horizontal="left" vertical="top"/>
    </xf>
    <xf numFmtId="0" fontId="22" fillId="0" borderId="0" xfId="38" applyFont="1">
      <alignment vertical="center"/>
    </xf>
    <xf numFmtId="9" fontId="15" fillId="0" borderId="0" xfId="37" applyNumberFormat="1" applyAlignment="1">
      <alignment vertical="center"/>
    </xf>
    <xf numFmtId="166" fontId="0" fillId="0" borderId="0" xfId="42" applyFont="1" applyAlignment="1">
      <alignment vertical="center"/>
    </xf>
    <xf numFmtId="191" fontId="6" fillId="0" borderId="1" xfId="42" applyNumberFormat="1" applyBorder="1" applyAlignment="1">
      <alignment vertical="center"/>
    </xf>
    <xf numFmtId="191" fontId="6" fillId="12" borderId="1" xfId="42" applyNumberFormat="1" applyFill="1" applyBorder="1" applyAlignment="1">
      <alignment vertical="center"/>
    </xf>
    <xf numFmtId="192" fontId="0" fillId="0" borderId="0" xfId="39" applyNumberFormat="1" applyFont="1">
      <alignment vertical="center"/>
    </xf>
    <xf numFmtId="165" fontId="0" fillId="0" borderId="0" xfId="0" applyNumberFormat="1">
      <alignment vertical="center"/>
    </xf>
    <xf numFmtId="165" fontId="0" fillId="0" borderId="0" xfId="39" applyNumberFormat="1" applyFont="1">
      <alignment vertical="center"/>
    </xf>
    <xf numFmtId="192" fontId="0" fillId="0" borderId="0" xfId="39" applyNumberFormat="1" applyFont="1">
      <alignment vertical="center"/>
    </xf>
    <xf numFmtId="192" fontId="0" fillId="0" borderId="0" xfId="39" applyNumberFormat="1" applyFont="1" applyAlignment="1">
      <alignment vertical="center"/>
    </xf>
    <xf numFmtId="193" fontId="0" fillId="0" borderId="0" xfId="0" applyNumberFormat="1">
      <alignment vertical="center"/>
    </xf>
    <xf numFmtId="10" fontId="6" fillId="0" borderId="2" xfId="56" applyNumberFormat="1" applyFill="1" applyBorder="1" applyAlignment="1" applyProtection="1">
      <alignment vertical="center"/>
      <protection locked="0"/>
    </xf>
    <xf numFmtId="164" fontId="6" fillId="0" borderId="2" xfId="32" applyNumberFormat="1" applyFill="1">
      <alignment vertical="center"/>
      <protection locked="0"/>
    </xf>
    <xf numFmtId="164" fontId="6" fillId="0" borderId="1" xfId="31" applyNumberFormat="1" applyFill="1">
      <alignment vertical="center"/>
    </xf>
    <xf numFmtId="0" fontId="0" fillId="2" borderId="0" xfId="3" applyNumberFormat="1" applyFont="1" applyAlignment="1">
      <alignment horizontal="left" vertical="top"/>
    </xf>
    <xf numFmtId="0" fontId="22" fillId="0" borderId="0" xfId="0" applyFont="1" applyAlignment="1">
      <alignment horizontal="left" vertical="center" wrapText="1"/>
    </xf>
    <xf numFmtId="0" fontId="6" fillId="2" borderId="0" xfId="3" applyNumberFormat="1" applyFont="1" applyAlignment="1">
      <alignment horizontal="center" vertical="top" wrapText="1"/>
    </xf>
  </cellXfs>
  <cellStyles count="79">
    <cellStyle name="_x000a_shell=progma" xfId="57"/>
    <cellStyle name="40% - Énfasis3" xfId="63" builtinId="39"/>
    <cellStyle name="Calculation 2" xfId="69"/>
    <cellStyle name="Cálculo" xfId="1" builtinId="22" customBuiltin="1"/>
    <cellStyle name="Checksum" xfId="2"/>
    <cellStyle name="Column label" xfId="3"/>
    <cellStyle name="Column label (left aligned)" xfId="4"/>
    <cellStyle name="Column label (no wrap)" xfId="5"/>
    <cellStyle name="Column label (not bold)" xfId="6"/>
    <cellStyle name="Comma 2" xfId="62"/>
    <cellStyle name="Comma 2 2" xfId="66"/>
    <cellStyle name="Comma 2 2 2" xfId="78"/>
    <cellStyle name="Comma 2 3" xfId="75"/>
    <cellStyle name="Currency (0dp)" xfId="59"/>
    <cellStyle name="Currency (2dp)" xfId="9"/>
    <cellStyle name="Currency Dollar" xfId="10"/>
    <cellStyle name="Currency Dollar (2dp)" xfId="11"/>
    <cellStyle name="Currency EUR" xfId="12"/>
    <cellStyle name="Currency EUR (2dp)" xfId="13"/>
    <cellStyle name="Currency Euro" xfId="14"/>
    <cellStyle name="Currency Euro (2dp)" xfId="15"/>
    <cellStyle name="Currency GBP" xfId="16"/>
    <cellStyle name="Currency GBP (2dp)" xfId="17"/>
    <cellStyle name="Currency Pound" xfId="18"/>
    <cellStyle name="Currency Pound (2dp)" xfId="19"/>
    <cellStyle name="Currency USD" xfId="20"/>
    <cellStyle name="Currency USD (2dp)" xfId="21"/>
    <cellStyle name="Date" xfId="22"/>
    <cellStyle name="Date (Month)" xfId="23"/>
    <cellStyle name="Date (Year)" xfId="24"/>
    <cellStyle name="H0" xfId="25"/>
    <cellStyle name="H1" xfId="26"/>
    <cellStyle name="H2" xfId="27"/>
    <cellStyle name="H3" xfId="28"/>
    <cellStyle name="H4" xfId="29"/>
    <cellStyle name="Highlight" xfId="30"/>
    <cellStyle name="Hipervínculo" xfId="58" builtinId="8"/>
    <cellStyle name="Input calculation" xfId="31"/>
    <cellStyle name="Input data" xfId="32"/>
    <cellStyle name="Input estimate" xfId="33"/>
    <cellStyle name="Input link" xfId="34"/>
    <cellStyle name="Input link (different workbook)" xfId="35"/>
    <cellStyle name="Input parameter" xfId="36"/>
    <cellStyle name="Input parameter 2" xfId="67"/>
    <cellStyle name="Millares" xfId="7" builtinId="3"/>
    <cellStyle name="Moneda" xfId="8" builtinId="4"/>
    <cellStyle name="Name" xfId="37"/>
    <cellStyle name="Normal" xfId="0" builtinId="0"/>
    <cellStyle name="Normal 21" xfId="61"/>
    <cellStyle name="Normal 21 2" xfId="65"/>
    <cellStyle name="Normal 21 2 2" xfId="77"/>
    <cellStyle name="Normal 21 3" xfId="74"/>
    <cellStyle name="Normal 5" xfId="60"/>
    <cellStyle name="Normal 5 2" xfId="64"/>
    <cellStyle name="Normal 5 2 2" xfId="76"/>
    <cellStyle name="Normal 5 3" xfId="73"/>
    <cellStyle name="Notas" xfId="38" builtinId="10" customBuiltin="1"/>
    <cellStyle name="Note 2" xfId="70"/>
    <cellStyle name="Number" xfId="39"/>
    <cellStyle name="Number (2dp)" xfId="40"/>
    <cellStyle name="Number 2" xfId="68"/>
    <cellStyle name="Output 2" xfId="71"/>
    <cellStyle name="Percentage" xfId="42"/>
    <cellStyle name="Percentage (2dp)" xfId="43"/>
    <cellStyle name="Porcentaje" xfId="56" builtinId="5"/>
    <cellStyle name="Row label" xfId="44"/>
    <cellStyle name="Row label (indent)" xfId="45"/>
    <cellStyle name="Salida" xfId="41" builtinId="21" customBuiltin="1"/>
    <cellStyle name="Sub-total row" xfId="46"/>
    <cellStyle name="Table finish row" xfId="47"/>
    <cellStyle name="Table shading" xfId="48"/>
    <cellStyle name="Table unfinish row" xfId="49"/>
    <cellStyle name="Table unshading" xfId="50"/>
    <cellStyle name="Text" xfId="51"/>
    <cellStyle name="Total" xfId="52" builtinId="25" customBuiltin="1"/>
    <cellStyle name="Total 2" xfId="72"/>
    <cellStyle name="Total row" xfId="53"/>
    <cellStyle name="Unhighlight" xfId="54"/>
    <cellStyle name="Untotal row" xfId="55"/>
  </cellStyles>
  <dxfs count="1">
    <dxf>
      <font>
        <b/>
        <i/>
        <condense val="0"/>
        <extend val="0"/>
        <color indexed="13"/>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FFFFCC"/>
      <color rgb="FF00EA6A"/>
      <color rgb="FF81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theme/theme1.xml><?xml version="1.0" encoding="utf-8"?>
<a:theme xmlns:a="http://schemas.openxmlformats.org/drawingml/2006/main" name="AnalysysMason1">
  <a:themeElements>
    <a:clrScheme name="AnalysysMason1">
      <a:dk1>
        <a:sysClr val="windowText" lastClr="000000"/>
      </a:dk1>
      <a:lt1>
        <a:sysClr val="window" lastClr="FFFFFF"/>
      </a:lt1>
      <a:dk2>
        <a:srgbClr val="003352"/>
      </a:dk2>
      <a:lt2>
        <a:srgbClr val="61586C"/>
      </a:lt2>
      <a:accent1>
        <a:srgbClr val="B8CAD8"/>
      </a:accent1>
      <a:accent2>
        <a:srgbClr val="3F6075"/>
      </a:accent2>
      <a:accent3>
        <a:srgbClr val="7C9637"/>
      </a:accent3>
      <a:accent4>
        <a:srgbClr val="E3CAB3"/>
      </a:accent4>
      <a:accent5>
        <a:srgbClr val="A71930"/>
      </a:accent5>
      <a:accent6>
        <a:srgbClr val="8C8299"/>
      </a:accent6>
      <a:hlink>
        <a:srgbClr val="0000FF"/>
      </a:hlink>
      <a:folHlink>
        <a:srgbClr val="800080"/>
      </a:folHlink>
    </a:clrScheme>
    <a:fontScheme name="Default Desig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bg2"/>
        </a:solidFill>
        <a:ln w="12700" cap="flat" cmpd="sng" algn="ctr">
          <a:solidFill>
            <a:schemeClr val="bg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54000" tIns="46800" rIns="54000" bIns="46800" numCol="1" anchor="ctr" anchorCtr="0" compatLnSpc="1">
        <a:prstTxWarp prst="textNoShape">
          <a:avLst/>
        </a:prstTxWarp>
      </a:bodyPr>
      <a:lstStyle>
        <a:defPPr marL="0" marR="0" indent="0" algn="l" defTabSz="914400" rtl="0" eaLnBrk="1" fontAlgn="base" latinLnBrk="0" hangingPunct="1">
          <a:lnSpc>
            <a:spcPct val="100000"/>
          </a:lnSpc>
          <a:spcBef>
            <a:spcPct val="50000"/>
          </a:spcBef>
          <a:spcAft>
            <a:spcPct val="0"/>
          </a:spcAft>
          <a:buClrTx/>
          <a:buSzTx/>
          <a:buFontTx/>
          <a:buNone/>
          <a:tabLst/>
          <a:defRPr kumimoji="0" lang="en-GB" sz="1600" b="0" i="0" u="none" strike="noStrike" cap="none" normalizeH="0" baseline="0" smtClean="0">
            <a:ln>
              <a:noFill/>
            </a:ln>
            <a:solidFill>
              <a:schemeClr val="bg1"/>
            </a:solidFill>
            <a:effectLst/>
            <a:latin typeface="Arial" charset="0"/>
          </a:defRPr>
        </a:defPPr>
      </a:lstStyle>
    </a:spDef>
    <a:lnDef>
      <a:spPr bwMode="auto">
        <a:xfrm>
          <a:off x="0" y="0"/>
          <a:ext cx="1" cy="1"/>
        </a:xfrm>
        <a:custGeom>
          <a:avLst/>
          <a:gdLst/>
          <a:ahLst/>
          <a:cxnLst/>
          <a:rect l="0" t="0" r="0" b="0"/>
          <a:pathLst/>
        </a:custGeom>
        <a:solidFill>
          <a:schemeClr val="bg2"/>
        </a:solidFill>
        <a:ln w="12700" cap="flat" cmpd="sng" algn="ctr">
          <a:solidFill>
            <a:schemeClr val="bg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54000" tIns="46800" rIns="54000" bIns="46800" numCol="1" anchor="ctr" anchorCtr="0" compatLnSpc="1">
        <a:prstTxWarp prst="textNoShape">
          <a:avLst/>
        </a:prstTxWarp>
      </a:bodyPr>
      <a:lstStyle>
        <a:defPPr marL="0" marR="0" indent="0" algn="l" defTabSz="914400" rtl="0" eaLnBrk="1" fontAlgn="base" latinLnBrk="0" hangingPunct="1">
          <a:lnSpc>
            <a:spcPct val="100000"/>
          </a:lnSpc>
          <a:spcBef>
            <a:spcPct val="50000"/>
          </a:spcBef>
          <a:spcAft>
            <a:spcPct val="0"/>
          </a:spcAft>
          <a:buClrTx/>
          <a:buSzTx/>
          <a:buFontTx/>
          <a:buNone/>
          <a:tabLst/>
          <a:defRPr kumimoji="0" lang="en-GB" sz="1600" b="0" i="0" u="none" strike="noStrike" cap="none" normalizeH="0" baseline="0" smtClean="0">
            <a:ln>
              <a:noFill/>
            </a:ln>
            <a:solidFill>
              <a:schemeClr val="bg1"/>
            </a:solidFill>
            <a:effectLst/>
            <a:latin typeface="Arial" charset="0"/>
          </a:defRPr>
        </a:defPPr>
      </a:lstStyle>
    </a:lnDef>
  </a:objectDefaults>
  <a:extraClrSchemeLst>
    <a:extraClrScheme>
      <a:clrScheme name="Default Design 1">
        <a:dk1>
          <a:srgbClr val="000000"/>
        </a:dk1>
        <a:lt1>
          <a:srgbClr val="FFFFFF"/>
        </a:lt1>
        <a:dk2>
          <a:srgbClr val="3333FF"/>
        </a:dk2>
        <a:lt2>
          <a:srgbClr val="00FFFF"/>
        </a:lt2>
        <a:accent1>
          <a:srgbClr val="00CCCC"/>
        </a:accent1>
        <a:accent2>
          <a:srgbClr val="CC99FF"/>
        </a:accent2>
        <a:accent3>
          <a:srgbClr val="ADADFF"/>
        </a:accent3>
        <a:accent4>
          <a:srgbClr val="DADADA"/>
        </a:accent4>
        <a:accent5>
          <a:srgbClr val="AAE2E2"/>
        </a:accent5>
        <a:accent6>
          <a:srgbClr val="B98AE7"/>
        </a:accent6>
        <a:hlink>
          <a:srgbClr val="6600CC"/>
        </a:hlink>
        <a:folHlink>
          <a:srgbClr val="6699FF"/>
        </a:folHlink>
      </a:clrScheme>
      <a:clrMap bg1="dk2" tx1="lt1" bg2="dk1" tx2="lt2" accent1="accent1" accent2="accent2" accent3="accent3" accent4="accent4" accent5="accent5" accent6="accent6" hlink="hlink" folHlink="folHlink"/>
    </a:extraClrScheme>
    <a:extraClrScheme>
      <a:clrScheme name="Default Design 2">
        <a:dk1>
          <a:srgbClr val="000000"/>
        </a:dk1>
        <a:lt1>
          <a:srgbClr val="CCECFF"/>
        </a:lt1>
        <a:dk2>
          <a:srgbClr val="330099"/>
        </a:dk2>
        <a:lt2>
          <a:srgbClr val="0099CC"/>
        </a:lt2>
        <a:accent1>
          <a:srgbClr val="009999"/>
        </a:accent1>
        <a:accent2>
          <a:srgbClr val="FF99CC"/>
        </a:accent2>
        <a:accent3>
          <a:srgbClr val="E2F4FF"/>
        </a:accent3>
        <a:accent4>
          <a:srgbClr val="000000"/>
        </a:accent4>
        <a:accent5>
          <a:srgbClr val="AACACA"/>
        </a:accent5>
        <a:accent6>
          <a:srgbClr val="E78AB9"/>
        </a:accent6>
        <a:hlink>
          <a:srgbClr val="6600CC"/>
        </a:hlink>
        <a:folHlink>
          <a:srgbClr val="3366FF"/>
        </a:folHlink>
      </a:clrScheme>
      <a:clrMap bg1="lt1" tx1="dk1" bg2="lt2" tx2="dk2" accent1="accent1" accent2="accent2" accent3="accent3" accent4="accent4" accent5="accent5" accent6="accent6" hlink="hlink" folHlink="folHlink"/>
    </a:extraClrScheme>
    <a:extraClrScheme>
      <a:clrScheme name="Default Design 3">
        <a:dk1>
          <a:srgbClr val="000000"/>
        </a:dk1>
        <a:lt1>
          <a:srgbClr val="FFFFFF"/>
        </a:lt1>
        <a:dk2>
          <a:srgbClr val="000000"/>
        </a:dk2>
        <a:lt2>
          <a:srgbClr val="CBCBCB"/>
        </a:lt2>
        <a:accent1>
          <a:srgbClr val="B2B2B2"/>
        </a:accent1>
        <a:accent2>
          <a:srgbClr val="868686"/>
        </a:accent2>
        <a:accent3>
          <a:srgbClr val="FFFFFF"/>
        </a:accent3>
        <a:accent4>
          <a:srgbClr val="000000"/>
        </a:accent4>
        <a:accent5>
          <a:srgbClr val="D5D5D5"/>
        </a:accent5>
        <a:accent6>
          <a:srgbClr val="797979"/>
        </a:accent6>
        <a:hlink>
          <a:srgbClr val="5F5F5F"/>
        </a:hlink>
        <a:folHlink>
          <a:srgbClr val="DDDDDD"/>
        </a:folHlink>
      </a:clrScheme>
      <a:clrMap bg1="lt1" tx1="dk1" bg2="lt2" tx2="dk2" accent1="accent1" accent2="accent2" accent3="accent3" accent4="accent4" accent5="accent5" accent6="accent6" hlink="hlink" folHlink="folHlink"/>
    </a:extraClrScheme>
    <a:extraClrScheme>
      <a:clrScheme name="Default Design 4">
        <a:dk1>
          <a:srgbClr val="B5C7D9"/>
        </a:dk1>
        <a:lt1>
          <a:srgbClr val="FFE6CC"/>
        </a:lt1>
        <a:dk2>
          <a:srgbClr val="45688B"/>
        </a:dk2>
        <a:lt2>
          <a:srgbClr val="FFE6CC"/>
        </a:lt2>
        <a:accent1>
          <a:srgbClr val="7A9BBC"/>
        </a:accent1>
        <a:accent2>
          <a:srgbClr val="FF0000"/>
        </a:accent2>
        <a:accent3>
          <a:srgbClr val="B0B9C4"/>
        </a:accent3>
        <a:accent4>
          <a:srgbClr val="DAC4AE"/>
        </a:accent4>
        <a:accent5>
          <a:srgbClr val="BECBDA"/>
        </a:accent5>
        <a:accent6>
          <a:srgbClr val="E70000"/>
        </a:accent6>
        <a:hlink>
          <a:srgbClr val="FF9797"/>
        </a:hlink>
        <a:folHlink>
          <a:srgbClr val="6699FF"/>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dineroenimagen.com/2017-01-02/81887" TargetMode="External"/><Relationship Id="rId3" Type="http://schemas.openxmlformats.org/officeDocument/2006/relationships/hyperlink" Target="https://articulo.mercadolibre.com.mx/MLM-566428754-caja-de-papel-bond-xerox-tamano-carta-envio-gratis--_JM?quantity=1" TargetMode="External"/><Relationship Id="rId7" Type="http://schemas.openxmlformats.org/officeDocument/2006/relationships/hyperlink" Target="http://www.banxico.org.mx/sistemas-de-pago/servicios/tarifas-y-comisiones/tasas-de-descuento-que-pagan-los-comercios-por-ace/tasas-de-descuento-para-tarjetas-de-credito-por-gi/tasas-descuento-por-giro-cred.html" TargetMode="External"/><Relationship Id="rId2" Type="http://schemas.openxmlformats.org/officeDocument/2006/relationships/hyperlink" Target="https://www.cyberpuerta.mx/Impresion-Copiado/Papeles-para-Impresoras/Papel/Xerox-Papel-Bond-Ecologico-75g-m-5000-Hojas-de-Tamano-Carta-Blanco.html?nosto=shop_api_detail1_2" TargetMode="External"/><Relationship Id="rId1" Type="http://schemas.openxmlformats.org/officeDocument/2006/relationships/hyperlink" Target="https://www.officemax.com.mx/papel-copiadora-92-5000-hojas-omx/p" TargetMode="External"/><Relationship Id="rId6" Type="http://schemas.openxmlformats.org/officeDocument/2006/relationships/hyperlink" Target="https://www.abasteo.mx/Esselte-Sobre-Correspondencia-73213-Paquete-de-500-Piezas-Tamano-Oficio-Blanco.html" TargetMode="External"/><Relationship Id="rId5" Type="http://schemas.openxmlformats.org/officeDocument/2006/relationships/hyperlink" Target="https://pedidos.com/articulos/ESS-SOB-73221/sobre-correspondencia-ampad-73221-de-papel-color-blanco-carta-solapa-engomada-1-paquete-con-500-sobres.htm" TargetMode="External"/><Relationship Id="rId10" Type="http://schemas.openxmlformats.org/officeDocument/2006/relationships/printerSettings" Target="../printerSettings/printerSettings5.bin"/><Relationship Id="rId4" Type="http://schemas.openxmlformats.org/officeDocument/2006/relationships/hyperlink" Target="https://www.costco.com.mx/Negocios-y-Papeleria/Papel-para-Oficina/Papel/Xerox-pallet-papel-tamano-carta-40-cajas/p/646188" TargetMode="External"/><Relationship Id="rId9" Type="http://schemas.openxmlformats.org/officeDocument/2006/relationships/hyperlink" Target="https://www.costco.com.mx/Negocios-y-Papeleria/Papel-para-Oficina/Folders-y-Sobres/Ampad-sobre-para-correspondencia-10-cierre-engomado/p/6473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3">
    <tabColor rgb="FFFF0000"/>
    <outlinePr summaryBelow="0"/>
    <pageSetUpPr autoPageBreaks="0" fitToPage="1"/>
  </sheetPr>
  <dimension ref="A1:M141"/>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2.7109375" customWidth="1"/>
    <col min="2" max="2" width="26.7109375" customWidth="1"/>
  </cols>
  <sheetData>
    <row r="1" spans="1:13" s="69" customFormat="1" ht="33.75" customHeight="1" x14ac:dyDescent="0.2">
      <c r="C1" s="71" t="s">
        <v>31</v>
      </c>
    </row>
    <row r="2" spans="1:13" s="55" customFormat="1" ht="12" customHeight="1" x14ac:dyDescent="0.2"/>
    <row r="3" spans="1:13" x14ac:dyDescent="0.2">
      <c r="A3" s="23" t="s">
        <v>100</v>
      </c>
    </row>
    <row r="4" spans="1:13" x14ac:dyDescent="0.2">
      <c r="A4" s="45" t="s">
        <v>97</v>
      </c>
    </row>
    <row r="6" spans="1:13" ht="18" x14ac:dyDescent="0.2">
      <c r="A6" s="7" t="s">
        <v>87</v>
      </c>
    </row>
    <row r="7" spans="1:13" x14ac:dyDescent="0.2">
      <c r="A7" s="44" t="s">
        <v>88</v>
      </c>
      <c r="B7" s="43"/>
      <c r="C7" s="43"/>
      <c r="D7" s="43"/>
      <c r="E7" s="43"/>
    </row>
    <row r="8" spans="1:13" x14ac:dyDescent="0.2">
      <c r="A8" s="23" t="s">
        <v>42</v>
      </c>
    </row>
    <row r="10" spans="1:13" x14ac:dyDescent="0.2">
      <c r="B10" s="54" t="s">
        <v>22</v>
      </c>
      <c r="C10" s="8">
        <v>100</v>
      </c>
      <c r="D10" s="23" t="s">
        <v>1</v>
      </c>
      <c r="E10" t="s">
        <v>54</v>
      </c>
    </row>
    <row r="12" spans="1:13" x14ac:dyDescent="0.2">
      <c r="B12" s="4" t="s">
        <v>22</v>
      </c>
      <c r="C12" s="8">
        <v>250</v>
      </c>
      <c r="D12" s="23" t="s">
        <v>1</v>
      </c>
      <c r="E12" s="50" t="s">
        <v>72</v>
      </c>
      <c r="F12" s="50"/>
      <c r="G12" s="50"/>
      <c r="H12" s="50"/>
      <c r="I12" s="50"/>
      <c r="J12" s="50"/>
      <c r="K12" s="50"/>
    </row>
    <row r="13" spans="1:13" hidden="1" x14ac:dyDescent="0.2">
      <c r="B13" s="3" t="s">
        <v>74</v>
      </c>
      <c r="C13" s="2">
        <v>100</v>
      </c>
    </row>
    <row r="14" spans="1:13" hidden="1" x14ac:dyDescent="0.2">
      <c r="B14" s="3" t="s">
        <v>75</v>
      </c>
      <c r="C14" s="2">
        <v>300</v>
      </c>
    </row>
    <row r="16" spans="1:13" x14ac:dyDescent="0.2">
      <c r="B16" s="4" t="s">
        <v>22</v>
      </c>
      <c r="C16" s="8">
        <v>300</v>
      </c>
      <c r="D16" s="23" t="s">
        <v>1</v>
      </c>
      <c r="E16" s="50" t="s">
        <v>76</v>
      </c>
      <c r="F16" s="50"/>
      <c r="G16" s="50"/>
      <c r="H16" s="50"/>
      <c r="I16" s="50"/>
      <c r="J16" s="50"/>
      <c r="K16" s="50"/>
      <c r="L16" s="50"/>
      <c r="M16" s="50"/>
    </row>
    <row r="17" spans="1:5" hidden="1" x14ac:dyDescent="0.2">
      <c r="B17" s="3" t="s">
        <v>73</v>
      </c>
      <c r="C17" s="2">
        <v>100</v>
      </c>
    </row>
    <row r="18" spans="1:5" hidden="1" x14ac:dyDescent="0.2">
      <c r="C18" s="2">
        <v>200</v>
      </c>
    </row>
    <row r="19" spans="1:5" hidden="1" x14ac:dyDescent="0.2">
      <c r="C19" s="2">
        <v>300</v>
      </c>
    </row>
    <row r="21" spans="1:5" x14ac:dyDescent="0.2">
      <c r="B21" s="4" t="s">
        <v>23</v>
      </c>
      <c r="C21" s="10">
        <v>100</v>
      </c>
      <c r="D21" s="23" t="s">
        <v>1</v>
      </c>
      <c r="E21" t="s">
        <v>53</v>
      </c>
    </row>
    <row r="23" spans="1:5" x14ac:dyDescent="0.2">
      <c r="B23" s="4" t="s">
        <v>82</v>
      </c>
      <c r="C23" s="53">
        <v>100</v>
      </c>
      <c r="D23" s="23" t="s">
        <v>1</v>
      </c>
      <c r="E23" t="s">
        <v>83</v>
      </c>
    </row>
    <row r="25" spans="1:5" x14ac:dyDescent="0.2">
      <c r="B25" s="4" t="s">
        <v>24</v>
      </c>
      <c r="C25" s="9">
        <v>100</v>
      </c>
      <c r="D25" s="23" t="s">
        <v>2</v>
      </c>
      <c r="E25" t="s">
        <v>57</v>
      </c>
    </row>
    <row r="27" spans="1:5" x14ac:dyDescent="0.2">
      <c r="B27" s="4" t="s">
        <v>25</v>
      </c>
      <c r="C27" s="11">
        <v>100</v>
      </c>
      <c r="D27" s="23" t="s">
        <v>2</v>
      </c>
      <c r="E27" t="s">
        <v>109</v>
      </c>
    </row>
    <row r="29" spans="1:5" x14ac:dyDescent="0.2">
      <c r="B29" s="4" t="s">
        <v>106</v>
      </c>
      <c r="C29" s="60">
        <v>100</v>
      </c>
      <c r="D29" s="23" t="s">
        <v>2</v>
      </c>
      <c r="E29" t="s">
        <v>107</v>
      </c>
    </row>
    <row r="31" spans="1:5" ht="18" x14ac:dyDescent="0.2">
      <c r="A31" s="7" t="s">
        <v>89</v>
      </c>
    </row>
    <row r="32" spans="1:5" x14ac:dyDescent="0.2">
      <c r="A32" s="44" t="s">
        <v>90</v>
      </c>
      <c r="B32" s="43"/>
      <c r="C32" s="43"/>
      <c r="D32" s="43"/>
      <c r="E32" s="43"/>
    </row>
    <row r="33" spans="1:11" x14ac:dyDescent="0.2">
      <c r="A33" s="23" t="s">
        <v>48</v>
      </c>
    </row>
    <row r="35" spans="1:11" x14ac:dyDescent="0.2">
      <c r="B35" s="4" t="s">
        <v>3</v>
      </c>
      <c r="C35" s="12">
        <v>100</v>
      </c>
      <c r="D35" s="23" t="s">
        <v>2</v>
      </c>
      <c r="E35" t="s">
        <v>52</v>
      </c>
    </row>
    <row r="36" spans="1:11" x14ac:dyDescent="0.2">
      <c r="C36" s="12"/>
    </row>
    <row r="37" spans="1:11" x14ac:dyDescent="0.2">
      <c r="B37" s="4" t="s">
        <v>96</v>
      </c>
      <c r="C37" s="65">
        <v>123.45</v>
      </c>
      <c r="E37" t="s">
        <v>56</v>
      </c>
    </row>
    <row r="39" spans="1:11" x14ac:dyDescent="0.2">
      <c r="B39" s="4" t="s">
        <v>108</v>
      </c>
      <c r="C39" s="61">
        <v>0</v>
      </c>
      <c r="D39" s="23" t="s">
        <v>2</v>
      </c>
      <c r="E39" t="s">
        <v>55</v>
      </c>
      <c r="F39" s="50"/>
      <c r="G39" s="50"/>
      <c r="H39" s="50"/>
      <c r="I39" s="50"/>
      <c r="J39" s="50"/>
      <c r="K39" s="50"/>
    </row>
    <row r="41" spans="1:11" x14ac:dyDescent="0.2">
      <c r="B41" s="4" t="s">
        <v>108</v>
      </c>
      <c r="C41" s="61">
        <v>0.1</v>
      </c>
      <c r="D41" s="23" t="s">
        <v>2</v>
      </c>
      <c r="E41" s="50" t="s">
        <v>86</v>
      </c>
      <c r="F41" s="50"/>
      <c r="G41" s="50"/>
      <c r="H41" s="50"/>
      <c r="I41" s="50"/>
      <c r="J41" s="50"/>
      <c r="K41" s="50"/>
    </row>
    <row r="43" spans="1:11" x14ac:dyDescent="0.2">
      <c r="B43" s="4" t="s">
        <v>4</v>
      </c>
      <c r="C43" s="13">
        <v>100</v>
      </c>
      <c r="E43" t="s">
        <v>13</v>
      </c>
    </row>
    <row r="45" spans="1:11" x14ac:dyDescent="0.2">
      <c r="B45" s="4" t="s">
        <v>32</v>
      </c>
      <c r="C45" s="39" t="s">
        <v>32</v>
      </c>
      <c r="D45" s="23" t="s">
        <v>2</v>
      </c>
      <c r="E45" t="s">
        <v>61</v>
      </c>
    </row>
    <row r="47" spans="1:11" x14ac:dyDescent="0.2">
      <c r="B47" s="4" t="s">
        <v>33</v>
      </c>
      <c r="C47" s="40" t="s">
        <v>33</v>
      </c>
      <c r="E47" t="s">
        <v>91</v>
      </c>
    </row>
    <row r="49" spans="1:10" x14ac:dyDescent="0.2">
      <c r="B49" s="4" t="s">
        <v>5</v>
      </c>
      <c r="C49" s="14">
        <v>100</v>
      </c>
      <c r="E49" t="s">
        <v>6</v>
      </c>
    </row>
    <row r="50" spans="1:10" x14ac:dyDescent="0.2">
      <c r="B50" s="4"/>
    </row>
    <row r="51" spans="1:10" x14ac:dyDescent="0.2">
      <c r="B51" s="4" t="s">
        <v>77</v>
      </c>
      <c r="C51" s="51">
        <v>100</v>
      </c>
      <c r="E51" t="s">
        <v>78</v>
      </c>
    </row>
    <row r="53" spans="1:10" ht="18" x14ac:dyDescent="0.2">
      <c r="A53" s="7" t="s">
        <v>44</v>
      </c>
    </row>
    <row r="54" spans="1:10" x14ac:dyDescent="0.2">
      <c r="A54" s="44" t="s">
        <v>50</v>
      </c>
      <c r="B54" s="43"/>
      <c r="C54" s="43"/>
      <c r="D54" s="43"/>
      <c r="E54" s="43"/>
    </row>
    <row r="55" spans="1:10" x14ac:dyDescent="0.2">
      <c r="A55" s="23" t="s">
        <v>79</v>
      </c>
    </row>
    <row r="56" spans="1:10" x14ac:dyDescent="0.2">
      <c r="A56" s="23" t="s">
        <v>81</v>
      </c>
    </row>
    <row r="58" spans="1:10" ht="24" x14ac:dyDescent="0.2">
      <c r="B58" s="1"/>
      <c r="C58" s="1" t="s">
        <v>8</v>
      </c>
      <c r="D58" s="1" t="s">
        <v>16</v>
      </c>
      <c r="E58" s="1" t="s">
        <v>10</v>
      </c>
      <c r="F58" s="1" t="s">
        <v>11</v>
      </c>
      <c r="G58" s="1" t="s">
        <v>9</v>
      </c>
      <c r="H58" s="1" t="s">
        <v>17</v>
      </c>
      <c r="I58" s="1" t="s">
        <v>14</v>
      </c>
      <c r="J58" s="1" t="s">
        <v>15</v>
      </c>
    </row>
    <row r="59" spans="1:10" x14ac:dyDescent="0.2">
      <c r="B59" s="4" t="s">
        <v>58</v>
      </c>
      <c r="C59" s="2">
        <v>1234.56</v>
      </c>
      <c r="D59" s="15">
        <v>123.45</v>
      </c>
      <c r="E59" s="48">
        <v>0.1234</v>
      </c>
      <c r="F59" s="49">
        <v>0.1234</v>
      </c>
      <c r="G59" s="16">
        <v>1234.56</v>
      </c>
      <c r="H59" s="17">
        <v>123.45</v>
      </c>
      <c r="I59" s="46">
        <v>1234.56</v>
      </c>
      <c r="J59" s="47">
        <v>0.1234</v>
      </c>
    </row>
    <row r="60" spans="1:10" x14ac:dyDescent="0.2">
      <c r="B60" s="4" t="s">
        <v>59</v>
      </c>
      <c r="C60" s="2">
        <v>-1234.56</v>
      </c>
      <c r="D60" s="15">
        <v>-123.45</v>
      </c>
      <c r="E60" s="48">
        <v>-0.1234</v>
      </c>
      <c r="F60" s="49">
        <v>-0.1234</v>
      </c>
      <c r="G60" s="16">
        <v>-1234.56</v>
      </c>
      <c r="H60" s="17">
        <v>-123.45</v>
      </c>
      <c r="I60" s="46">
        <v>-1234.56</v>
      </c>
      <c r="J60" s="47">
        <v>-0.1234</v>
      </c>
    </row>
    <row r="61" spans="1:10" x14ac:dyDescent="0.2">
      <c r="B61" s="4" t="s">
        <v>60</v>
      </c>
      <c r="C61" s="2">
        <v>0</v>
      </c>
      <c r="D61" s="15">
        <v>0</v>
      </c>
      <c r="E61" s="48">
        <v>0</v>
      </c>
      <c r="F61" s="49">
        <v>0</v>
      </c>
      <c r="G61" s="16">
        <v>0</v>
      </c>
      <c r="H61" s="17">
        <v>0</v>
      </c>
      <c r="I61" s="46">
        <v>0</v>
      </c>
      <c r="J61" s="47">
        <v>0</v>
      </c>
    </row>
    <row r="62" spans="1:10" ht="12.75" thickBot="1" x14ac:dyDescent="0.25">
      <c r="B62" s="4" t="s">
        <v>7</v>
      </c>
      <c r="C62" s="2" t="s">
        <v>7</v>
      </c>
      <c r="D62" s="15" t="s">
        <v>7</v>
      </c>
      <c r="E62" s="48" t="s">
        <v>7</v>
      </c>
      <c r="F62" s="49" t="s">
        <v>7</v>
      </c>
      <c r="G62" s="16" t="s">
        <v>7</v>
      </c>
      <c r="H62" s="17" t="s">
        <v>7</v>
      </c>
      <c r="I62" s="46" t="s">
        <v>7</v>
      </c>
      <c r="J62" s="47" t="s">
        <v>7</v>
      </c>
    </row>
    <row r="63" spans="1:10" x14ac:dyDescent="0.2">
      <c r="B63" s="38"/>
      <c r="C63" s="38"/>
      <c r="D63" s="38"/>
      <c r="E63" s="38"/>
      <c r="F63" s="38"/>
      <c r="G63" s="38"/>
      <c r="H63" s="38"/>
      <c r="I63" s="38"/>
      <c r="J63" s="38"/>
    </row>
    <row r="64" spans="1:10" ht="24" x14ac:dyDescent="0.2">
      <c r="B64" s="1"/>
      <c r="C64" s="1" t="s">
        <v>64</v>
      </c>
      <c r="D64" s="1" t="s">
        <v>65</v>
      </c>
      <c r="E64" s="1" t="s">
        <v>62</v>
      </c>
      <c r="F64" s="1" t="s">
        <v>63</v>
      </c>
    </row>
    <row r="65" spans="2:6" x14ac:dyDescent="0.2">
      <c r="B65" s="4" t="s">
        <v>58</v>
      </c>
      <c r="C65" s="20">
        <v>1234.56</v>
      </c>
      <c r="D65" s="21">
        <v>123.45</v>
      </c>
      <c r="E65" s="18">
        <v>1234.56</v>
      </c>
      <c r="F65" s="19">
        <v>123.45</v>
      </c>
    </row>
    <row r="66" spans="2:6" x14ac:dyDescent="0.2">
      <c r="B66" s="4" t="s">
        <v>59</v>
      </c>
      <c r="C66" s="20">
        <v>-1234.56</v>
      </c>
      <c r="D66" s="21">
        <v>-123.45</v>
      </c>
      <c r="E66" s="18">
        <v>-1234.56</v>
      </c>
      <c r="F66" s="19">
        <v>-123.45</v>
      </c>
    </row>
    <row r="67" spans="2:6" x14ac:dyDescent="0.2">
      <c r="B67" s="4" t="s">
        <v>60</v>
      </c>
      <c r="C67" s="20">
        <v>0</v>
      </c>
      <c r="D67" s="21">
        <v>0</v>
      </c>
      <c r="E67" s="18">
        <v>0</v>
      </c>
      <c r="F67" s="19">
        <v>0</v>
      </c>
    </row>
    <row r="68" spans="2:6" ht="12.75" thickBot="1" x14ac:dyDescent="0.25">
      <c r="B68" s="4" t="s">
        <v>7</v>
      </c>
      <c r="C68" s="20" t="s">
        <v>7</v>
      </c>
      <c r="D68" s="21" t="s">
        <v>7</v>
      </c>
      <c r="E68" s="18" t="s">
        <v>7</v>
      </c>
      <c r="F68" s="19" t="s">
        <v>7</v>
      </c>
    </row>
    <row r="69" spans="2:6" x14ac:dyDescent="0.2">
      <c r="B69" s="38"/>
      <c r="C69" s="38"/>
      <c r="D69" s="38"/>
      <c r="E69" s="38"/>
      <c r="F69" s="38"/>
    </row>
    <row r="70" spans="2:6" ht="24" x14ac:dyDescent="0.2">
      <c r="B70" s="1"/>
      <c r="C70" s="1" t="s">
        <v>66</v>
      </c>
      <c r="D70" s="1" t="s">
        <v>67</v>
      </c>
      <c r="E70" s="1" t="s">
        <v>19</v>
      </c>
      <c r="F70" s="1" t="s">
        <v>18</v>
      </c>
    </row>
    <row r="71" spans="2:6" x14ac:dyDescent="0.2">
      <c r="B71" s="4" t="s">
        <v>58</v>
      </c>
      <c r="C71" s="26">
        <v>1234.56</v>
      </c>
      <c r="D71" s="27">
        <v>123.45</v>
      </c>
      <c r="E71" s="24">
        <v>1234.56</v>
      </c>
      <c r="F71" s="25">
        <v>123.45</v>
      </c>
    </row>
    <row r="72" spans="2:6" x14ac:dyDescent="0.2">
      <c r="B72" s="4" t="s">
        <v>59</v>
      </c>
      <c r="C72" s="26">
        <v>-1234.56</v>
      </c>
      <c r="D72" s="27">
        <v>-123.45</v>
      </c>
      <c r="E72" s="24">
        <v>-1234.56</v>
      </c>
      <c r="F72" s="25">
        <v>-123.45</v>
      </c>
    </row>
    <row r="73" spans="2:6" x14ac:dyDescent="0.2">
      <c r="B73" s="4" t="s">
        <v>60</v>
      </c>
      <c r="C73" s="26">
        <v>0</v>
      </c>
      <c r="D73" s="27">
        <v>0</v>
      </c>
      <c r="E73" s="24">
        <v>0</v>
      </c>
      <c r="F73" s="25">
        <v>0</v>
      </c>
    </row>
    <row r="74" spans="2:6" ht="12.75" thickBot="1" x14ac:dyDescent="0.25">
      <c r="B74" s="4" t="s">
        <v>7</v>
      </c>
      <c r="C74" s="26" t="s">
        <v>7</v>
      </c>
      <c r="D74" s="27" t="s">
        <v>7</v>
      </c>
      <c r="E74" s="24" t="s">
        <v>7</v>
      </c>
      <c r="F74" s="25" t="s">
        <v>7</v>
      </c>
    </row>
    <row r="75" spans="2:6" x14ac:dyDescent="0.2">
      <c r="B75" s="38"/>
      <c r="C75" s="38"/>
      <c r="D75" s="38"/>
      <c r="E75" s="38"/>
      <c r="F75" s="38"/>
    </row>
    <row r="76" spans="2:6" ht="24" x14ac:dyDescent="0.2">
      <c r="B76" s="1"/>
      <c r="C76" s="1" t="s">
        <v>68</v>
      </c>
      <c r="D76" s="1" t="s">
        <v>69</v>
      </c>
      <c r="E76" s="1" t="s">
        <v>21</v>
      </c>
      <c r="F76" s="1" t="s">
        <v>20</v>
      </c>
    </row>
    <row r="77" spans="2:6" x14ac:dyDescent="0.2">
      <c r="B77" s="4" t="s">
        <v>58</v>
      </c>
      <c r="C77" s="30">
        <v>1234.56</v>
      </c>
      <c r="D77" s="31">
        <v>123.45</v>
      </c>
      <c r="E77" s="28">
        <v>1234.56</v>
      </c>
      <c r="F77" s="29">
        <v>123.45</v>
      </c>
    </row>
    <row r="78" spans="2:6" x14ac:dyDescent="0.2">
      <c r="B78" s="4" t="s">
        <v>59</v>
      </c>
      <c r="C78" s="30">
        <v>-1234.56</v>
      </c>
      <c r="D78" s="31">
        <v>-123.45</v>
      </c>
      <c r="E78" s="28">
        <v>-1234.56</v>
      </c>
      <c r="F78" s="29">
        <v>-123.45</v>
      </c>
    </row>
    <row r="79" spans="2:6" x14ac:dyDescent="0.2">
      <c r="B79" s="4" t="s">
        <v>60</v>
      </c>
      <c r="C79" s="30">
        <v>0</v>
      </c>
      <c r="D79" s="31">
        <v>0</v>
      </c>
      <c r="E79" s="28">
        <v>0</v>
      </c>
      <c r="F79" s="29">
        <v>0</v>
      </c>
    </row>
    <row r="80" spans="2:6" ht="12.75" thickBot="1" x14ac:dyDescent="0.25">
      <c r="B80" s="4" t="s">
        <v>7</v>
      </c>
      <c r="C80" s="30" t="s">
        <v>7</v>
      </c>
      <c r="D80" s="31" t="s">
        <v>7</v>
      </c>
      <c r="E80" s="28" t="s">
        <v>7</v>
      </c>
      <c r="F80" s="29" t="s">
        <v>7</v>
      </c>
    </row>
    <row r="81" spans="1:6" x14ac:dyDescent="0.2">
      <c r="B81" s="38"/>
      <c r="C81" s="38"/>
      <c r="D81" s="38"/>
      <c r="E81" s="38"/>
      <c r="F81" s="38"/>
    </row>
    <row r="82" spans="1:6" ht="24" x14ac:dyDescent="0.2">
      <c r="B82" s="1"/>
      <c r="C82" s="1" t="s">
        <v>12</v>
      </c>
      <c r="D82" s="1" t="s">
        <v>70</v>
      </c>
      <c r="E82" s="1" t="s">
        <v>71</v>
      </c>
    </row>
    <row r="83" spans="1:6" ht="12.75" thickBot="1" x14ac:dyDescent="0.25">
      <c r="B83" s="4" t="s">
        <v>12</v>
      </c>
      <c r="C83" s="22">
        <v>37591</v>
      </c>
      <c r="D83" s="67">
        <v>37591</v>
      </c>
      <c r="E83" s="32">
        <v>37591</v>
      </c>
    </row>
    <row r="84" spans="1:6" x14ac:dyDescent="0.2">
      <c r="B84" s="38"/>
      <c r="C84" s="38"/>
      <c r="D84" s="38"/>
      <c r="E84" s="38"/>
    </row>
    <row r="85" spans="1:6" ht="18" x14ac:dyDescent="0.2">
      <c r="A85" s="7" t="s">
        <v>85</v>
      </c>
    </row>
    <row r="86" spans="1:6" x14ac:dyDescent="0.2">
      <c r="A86" s="44" t="s">
        <v>84</v>
      </c>
      <c r="B86" s="43"/>
      <c r="C86" s="43"/>
      <c r="D86" s="43"/>
      <c r="E86" s="43"/>
    </row>
    <row r="87" spans="1:6" x14ac:dyDescent="0.2">
      <c r="A87" s="23" t="s">
        <v>43</v>
      </c>
    </row>
    <row r="89" spans="1:6" ht="23.25" x14ac:dyDescent="0.2">
      <c r="B89" s="41" t="s">
        <v>34</v>
      </c>
      <c r="C89" s="41" t="s">
        <v>46</v>
      </c>
      <c r="E89" t="s">
        <v>38</v>
      </c>
    </row>
    <row r="91" spans="1:6" ht="18" x14ac:dyDescent="0.2">
      <c r="B91" s="7" t="s">
        <v>35</v>
      </c>
      <c r="C91" s="7" t="s">
        <v>46</v>
      </c>
      <c r="E91" t="s">
        <v>39</v>
      </c>
    </row>
    <row r="93" spans="1:6" ht="15.75" x14ac:dyDescent="0.2">
      <c r="B93" s="34" t="s">
        <v>36</v>
      </c>
      <c r="C93" s="34" t="s">
        <v>46</v>
      </c>
      <c r="E93" t="s">
        <v>40</v>
      </c>
    </row>
    <row r="95" spans="1:6" x14ac:dyDescent="0.2">
      <c r="B95" s="33" t="s">
        <v>37</v>
      </c>
      <c r="C95" s="33" t="s">
        <v>46</v>
      </c>
      <c r="E95" t="s">
        <v>41</v>
      </c>
    </row>
    <row r="97" spans="1:7" ht="18" x14ac:dyDescent="0.2">
      <c r="A97" s="7" t="s">
        <v>45</v>
      </c>
    </row>
    <row r="98" spans="1:7" x14ac:dyDescent="0.2">
      <c r="A98" s="44" t="s">
        <v>51</v>
      </c>
      <c r="B98" s="43"/>
      <c r="C98" s="43"/>
      <c r="D98" s="43"/>
      <c r="E98" s="43"/>
    </row>
    <row r="99" spans="1:7" x14ac:dyDescent="0.2">
      <c r="A99" s="23" t="s">
        <v>48</v>
      </c>
    </row>
    <row r="101" spans="1:7" ht="15.75" x14ac:dyDescent="0.2">
      <c r="A101" s="34" t="s">
        <v>98</v>
      </c>
    </row>
    <row r="102" spans="1:7" x14ac:dyDescent="0.2">
      <c r="B102" s="62" t="s">
        <v>110</v>
      </c>
      <c r="C102" s="1" t="s">
        <v>105</v>
      </c>
      <c r="D102" s="1" t="s">
        <v>105</v>
      </c>
      <c r="E102" s="1" t="s">
        <v>105</v>
      </c>
      <c r="F102" s="1" t="s">
        <v>105</v>
      </c>
    </row>
    <row r="103" spans="1:7" x14ac:dyDescent="0.2">
      <c r="B103" s="4" t="s">
        <v>26</v>
      </c>
    </row>
    <row r="104" spans="1:7" x14ac:dyDescent="0.2">
      <c r="B104" s="4" t="s">
        <v>26</v>
      </c>
    </row>
    <row r="105" spans="1:7" ht="12.75" thickBot="1" x14ac:dyDescent="0.25">
      <c r="B105" s="4" t="s">
        <v>26</v>
      </c>
    </row>
    <row r="106" spans="1:7" x14ac:dyDescent="0.2">
      <c r="B106" s="38" t="s">
        <v>30</v>
      </c>
      <c r="C106" s="38"/>
      <c r="D106" s="38"/>
      <c r="E106" s="38"/>
      <c r="F106" s="38"/>
    </row>
    <row r="108" spans="1:7" ht="15.75" x14ac:dyDescent="0.2">
      <c r="A108" s="34" t="s">
        <v>99</v>
      </c>
    </row>
    <row r="109" spans="1:7" x14ac:dyDescent="0.2">
      <c r="B109" s="62"/>
      <c r="C109" s="66"/>
      <c r="D109" s="66" t="s">
        <v>119</v>
      </c>
      <c r="E109" s="66"/>
      <c r="F109" s="66" t="s">
        <v>119</v>
      </c>
      <c r="G109" s="66"/>
    </row>
    <row r="110" spans="1:7" ht="24" x14ac:dyDescent="0.2">
      <c r="B110" s="62" t="s">
        <v>110</v>
      </c>
      <c r="C110" s="63" t="s">
        <v>111</v>
      </c>
      <c r="D110" s="1" t="s">
        <v>105</v>
      </c>
      <c r="E110" s="1" t="s">
        <v>105</v>
      </c>
      <c r="F110" s="1" t="s">
        <v>105</v>
      </c>
      <c r="G110" s="1" t="s">
        <v>105</v>
      </c>
    </row>
    <row r="111" spans="1:7" x14ac:dyDescent="0.2">
      <c r="B111" s="4" t="s">
        <v>26</v>
      </c>
      <c r="D111" s="52" t="s">
        <v>80</v>
      </c>
      <c r="E111" s="52"/>
      <c r="F111" s="37" t="s">
        <v>47</v>
      </c>
      <c r="G111" s="37"/>
    </row>
    <row r="112" spans="1:7" ht="12.75" thickBot="1" x14ac:dyDescent="0.25">
      <c r="B112" s="3" t="s">
        <v>27</v>
      </c>
      <c r="D112" s="52"/>
      <c r="E112" s="52"/>
      <c r="F112" s="37"/>
      <c r="G112" s="37"/>
    </row>
    <row r="113" spans="1:9" ht="12.75" thickBot="1" x14ac:dyDescent="0.25">
      <c r="B113" s="6" t="s">
        <v>29</v>
      </c>
      <c r="C113" s="35"/>
      <c r="D113" s="35"/>
      <c r="E113" s="35"/>
      <c r="F113" s="57"/>
      <c r="G113" s="57"/>
    </row>
    <row r="114" spans="1:9" x14ac:dyDescent="0.2">
      <c r="B114" s="5" t="s">
        <v>28</v>
      </c>
      <c r="C114" s="36"/>
      <c r="D114" s="36"/>
      <c r="E114" s="36"/>
      <c r="F114" s="36"/>
      <c r="G114" s="36"/>
    </row>
    <row r="117" spans="1:9" ht="23.25" x14ac:dyDescent="0.2">
      <c r="A117" s="41" t="s">
        <v>49</v>
      </c>
    </row>
    <row r="118" spans="1:9" x14ac:dyDescent="0.2">
      <c r="A118" s="23" t="s">
        <v>103</v>
      </c>
    </row>
    <row r="120" spans="1:9" ht="15.75" x14ac:dyDescent="0.2">
      <c r="A120" s="34" t="s">
        <v>95</v>
      </c>
    </row>
    <row r="121" spans="1:9" x14ac:dyDescent="0.2">
      <c r="B121" s="62" t="s">
        <v>113</v>
      </c>
      <c r="C121" s="63" t="s">
        <v>114</v>
      </c>
      <c r="D121" s="63" t="s">
        <v>0</v>
      </c>
      <c r="E121" s="1">
        <v>2000</v>
      </c>
      <c r="F121" s="1">
        <v>2001</v>
      </c>
      <c r="G121" s="1">
        <v>2002</v>
      </c>
      <c r="H121" s="1">
        <v>2003</v>
      </c>
      <c r="I121" s="42" t="s">
        <v>112</v>
      </c>
    </row>
    <row r="122" spans="1:9" x14ac:dyDescent="0.2">
      <c r="B122" s="4" t="s">
        <v>94</v>
      </c>
      <c r="C122" t="s">
        <v>115</v>
      </c>
      <c r="D122" s="23" t="s">
        <v>118</v>
      </c>
      <c r="E122" s="10">
        <v>1000000</v>
      </c>
      <c r="F122" s="9">
        <f t="shared" ref="F122:G124" si="0">E122+($H122-$E122)/3</f>
        <v>1000000</v>
      </c>
      <c r="G122" s="9">
        <f t="shared" si="0"/>
        <v>1000000</v>
      </c>
      <c r="H122" s="8">
        <v>1000000</v>
      </c>
    </row>
    <row r="123" spans="1:9" x14ac:dyDescent="0.2">
      <c r="B123" s="4" t="s">
        <v>92</v>
      </c>
      <c r="C123" t="s">
        <v>115</v>
      </c>
      <c r="D123" s="23" t="s">
        <v>118</v>
      </c>
      <c r="E123" s="10">
        <v>100000</v>
      </c>
      <c r="F123" s="9">
        <f t="shared" si="0"/>
        <v>133333.33333333334</v>
      </c>
      <c r="G123" s="9">
        <f t="shared" si="0"/>
        <v>166666.66666666669</v>
      </c>
      <c r="H123" s="8">
        <v>200000</v>
      </c>
    </row>
    <row r="124" spans="1:9" x14ac:dyDescent="0.2">
      <c r="B124" s="4" t="s">
        <v>93</v>
      </c>
      <c r="C124" t="s">
        <v>115</v>
      </c>
      <c r="D124" s="23" t="s">
        <v>118</v>
      </c>
      <c r="E124" s="53">
        <v>50000</v>
      </c>
      <c r="F124" s="9">
        <f t="shared" si="0"/>
        <v>100000</v>
      </c>
      <c r="G124" s="9">
        <f t="shared" si="0"/>
        <v>150000</v>
      </c>
      <c r="H124" s="8">
        <v>200000</v>
      </c>
    </row>
    <row r="125" spans="1:9" x14ac:dyDescent="0.2">
      <c r="B125" s="5" t="s">
        <v>96</v>
      </c>
      <c r="C125" s="36" t="s">
        <v>115</v>
      </c>
      <c r="D125" s="36"/>
      <c r="E125" s="56">
        <f>SUM(E122:E124)</f>
        <v>1150000</v>
      </c>
      <c r="F125" s="56">
        <f>SUM(F122:F124)</f>
        <v>1233333.3333333333</v>
      </c>
      <c r="G125" s="56">
        <f>SUM(G122:G124)</f>
        <v>1316666.6666666667</v>
      </c>
      <c r="H125" s="56">
        <f>SUM(H122:H124)</f>
        <v>1400000</v>
      </c>
    </row>
    <row r="126" spans="1:9" x14ac:dyDescent="0.2">
      <c r="B126" s="55"/>
      <c r="D126" s="55"/>
      <c r="E126" s="55"/>
      <c r="F126" s="55"/>
      <c r="G126" s="55"/>
    </row>
    <row r="127" spans="1:9" ht="15.75" x14ac:dyDescent="0.2">
      <c r="A127" s="34" t="s">
        <v>95</v>
      </c>
    </row>
    <row r="128" spans="1:9" x14ac:dyDescent="0.2">
      <c r="B128" s="62" t="s">
        <v>113</v>
      </c>
      <c r="C128" s="63" t="s">
        <v>114</v>
      </c>
      <c r="D128" s="63" t="s">
        <v>0</v>
      </c>
      <c r="E128" s="1">
        <v>2000</v>
      </c>
      <c r="F128" s="1">
        <v>2001</v>
      </c>
      <c r="G128" s="1">
        <v>2002</v>
      </c>
      <c r="H128" s="1">
        <v>2003</v>
      </c>
    </row>
    <row r="129" spans="1:9" x14ac:dyDescent="0.2">
      <c r="B129" s="4" t="s">
        <v>94</v>
      </c>
      <c r="C129" t="s">
        <v>115</v>
      </c>
      <c r="D129" s="23" t="s">
        <v>116</v>
      </c>
      <c r="E129" s="11">
        <f t="array" ref="E129:H131">$E$122:$H$124</f>
        <v>1000000</v>
      </c>
      <c r="F129" s="11">
        <v>1000000</v>
      </c>
      <c r="G129" s="11">
        <v>1000000</v>
      </c>
      <c r="H129" s="11">
        <v>1000000</v>
      </c>
    </row>
    <row r="130" spans="1:9" x14ac:dyDescent="0.2">
      <c r="B130" s="4" t="s">
        <v>92</v>
      </c>
      <c r="C130" t="s">
        <v>115</v>
      </c>
      <c r="D130" s="23" t="s">
        <v>116</v>
      </c>
      <c r="E130" s="11">
        <v>100000</v>
      </c>
      <c r="F130" s="11">
        <v>133333.33333333334</v>
      </c>
      <c r="G130" s="11">
        <v>166666.66666666669</v>
      </c>
      <c r="H130" s="11">
        <v>200000</v>
      </c>
    </row>
    <row r="131" spans="1:9" x14ac:dyDescent="0.2">
      <c r="B131" s="4" t="s">
        <v>93</v>
      </c>
      <c r="C131" t="s">
        <v>115</v>
      </c>
      <c r="D131" s="23" t="s">
        <v>117</v>
      </c>
      <c r="E131" s="64">
        <v>50000</v>
      </c>
      <c r="F131" s="64">
        <v>100000</v>
      </c>
      <c r="G131" s="64">
        <v>150000</v>
      </c>
      <c r="H131" s="64">
        <v>200000</v>
      </c>
    </row>
    <row r="132" spans="1:9" x14ac:dyDescent="0.2">
      <c r="B132" s="5" t="s">
        <v>96</v>
      </c>
      <c r="C132" s="36" t="s">
        <v>115</v>
      </c>
      <c r="D132" s="36"/>
      <c r="E132" s="56">
        <f>SUM(E129:E131)</f>
        <v>1150000</v>
      </c>
      <c r="F132" s="56">
        <f>SUM(F129:F131)</f>
        <v>1233333.3333333333</v>
      </c>
      <c r="G132" s="56">
        <f>SUM(G129:G131)</f>
        <v>1316666.6666666667</v>
      </c>
      <c r="H132" s="56">
        <f>SUM(H129:H131)</f>
        <v>1400000</v>
      </c>
    </row>
    <row r="133" spans="1:9" x14ac:dyDescent="0.2">
      <c r="B133" s="55"/>
      <c r="C133" s="55"/>
      <c r="D133" s="55"/>
      <c r="E133" s="55"/>
      <c r="F133" s="55"/>
      <c r="G133" s="55"/>
    </row>
    <row r="135" spans="1:9" ht="15.75" x14ac:dyDescent="0.2">
      <c r="A135" s="34" t="s">
        <v>101</v>
      </c>
    </row>
    <row r="136" spans="1:9" x14ac:dyDescent="0.2">
      <c r="B136" s="62" t="s">
        <v>113</v>
      </c>
      <c r="C136" s="63" t="s">
        <v>114</v>
      </c>
      <c r="D136" s="63" t="s">
        <v>0</v>
      </c>
      <c r="E136" s="1">
        <v>2000</v>
      </c>
      <c r="F136" s="1">
        <v>2001</v>
      </c>
      <c r="G136" s="1">
        <v>2002</v>
      </c>
      <c r="H136" s="1">
        <v>2003</v>
      </c>
    </row>
    <row r="137" spans="1:9" x14ac:dyDescent="0.2">
      <c r="B137" s="4" t="s">
        <v>94</v>
      </c>
      <c r="C137" t="s">
        <v>115</v>
      </c>
      <c r="D137" s="23"/>
      <c r="E137" s="2"/>
      <c r="F137" s="12">
        <f t="shared" ref="F137:H139" si="1">(F129+E129)/2</f>
        <v>1000000</v>
      </c>
      <c r="G137" s="12">
        <f t="shared" si="1"/>
        <v>1000000</v>
      </c>
      <c r="H137" s="12">
        <f t="shared" si="1"/>
        <v>1000000</v>
      </c>
    </row>
    <row r="138" spans="1:9" x14ac:dyDescent="0.2">
      <c r="B138" s="4" t="s">
        <v>92</v>
      </c>
      <c r="C138" t="s">
        <v>115</v>
      </c>
      <c r="D138" s="23"/>
      <c r="E138" s="2"/>
      <c r="F138" s="12">
        <f t="shared" si="1"/>
        <v>116666.66666666667</v>
      </c>
      <c r="G138" s="12">
        <f t="shared" si="1"/>
        <v>150000</v>
      </c>
      <c r="H138" s="12">
        <f t="shared" si="1"/>
        <v>183333.33333333334</v>
      </c>
    </row>
    <row r="139" spans="1:9" x14ac:dyDescent="0.2">
      <c r="B139" s="4" t="s">
        <v>93</v>
      </c>
      <c r="C139" t="s">
        <v>115</v>
      </c>
      <c r="D139" s="23"/>
      <c r="E139" s="2"/>
      <c r="F139" s="12">
        <f t="shared" si="1"/>
        <v>75000</v>
      </c>
      <c r="G139" s="12">
        <f t="shared" si="1"/>
        <v>125000</v>
      </c>
      <c r="H139" s="12">
        <f t="shared" si="1"/>
        <v>175000</v>
      </c>
    </row>
    <row r="140" spans="1:9" x14ac:dyDescent="0.2">
      <c r="B140" s="59" t="s">
        <v>96</v>
      </c>
      <c r="C140" s="68" t="s">
        <v>115</v>
      </c>
      <c r="D140" s="68"/>
      <c r="E140" s="58"/>
      <c r="F140" s="58">
        <f>SUM(F137:F139)</f>
        <v>1191666.6666666667</v>
      </c>
      <c r="G140" s="58">
        <f>SUM(G137:G139)</f>
        <v>1275000</v>
      </c>
      <c r="H140" s="58">
        <f>SUM(H137:H139)</f>
        <v>1358333.3333333333</v>
      </c>
      <c r="I140" s="42" t="s">
        <v>102</v>
      </c>
    </row>
    <row r="141" spans="1:9" x14ac:dyDescent="0.2">
      <c r="B141" s="55"/>
      <c r="C141" s="55"/>
      <c r="D141" s="55"/>
      <c r="E141" s="55"/>
      <c r="F141" s="55"/>
    </row>
  </sheetData>
  <phoneticPr fontId="0" type="noConversion"/>
  <conditionalFormatting sqref="C41">
    <cfRule type="cellIs" dxfId="0" priority="1" stopIfTrue="1" operator="notEqual">
      <formula>0</formula>
    </cfRule>
  </conditionalFormatting>
  <dataValidations disablePrompts="1" count="2">
    <dataValidation type="list" showInputMessage="1" showErrorMessage="1" errorTitle="Input Parameter" error="Please select value from list" promptTitle="Input Parameter" prompt="Select from list" sqref="C16">
      <formula1>$C$17:$C$19</formula1>
    </dataValidation>
    <dataValidation type="decimal" showInputMessage="1" showErrorMessage="1" errorTitle="Input Parameter" error="Value must lie between 100 and 300" promptTitle="Input Parameter" prompt="Value must lie between 100 and 300" sqref="C12">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EA6A"/>
    <pageSetUpPr autoPageBreaks="0"/>
  </sheetPr>
  <dimension ref="A1:J10"/>
  <sheetViews>
    <sheetView showGridLines="0" tabSelected="1" defaultGridColor="0" colorId="22" zoomScaleNormal="100" workbookViewId="0">
      <pane ySplit="1" topLeftCell="A2" activePane="bottomLeft" state="frozen"/>
      <selection pane="bottomLeft"/>
    </sheetView>
  </sheetViews>
  <sheetFormatPr baseColWidth="10" defaultColWidth="0" defaultRowHeight="12" zeroHeight="1" x14ac:dyDescent="0.2"/>
  <cols>
    <col min="1" max="1" width="6.7109375" customWidth="1"/>
    <col min="2" max="7" width="12.7109375" customWidth="1"/>
    <col min="8" max="10" width="0" hidden="1" customWidth="1"/>
    <col min="11" max="16384" width="12.7109375" hidden="1"/>
  </cols>
  <sheetData>
    <row r="1" spans="2:7" s="71" customFormat="1" ht="33.75" customHeight="1" x14ac:dyDescent="0.2">
      <c r="D1" s="73" t="s">
        <v>184</v>
      </c>
    </row>
    <row r="2" spans="2:7" x14ac:dyDescent="0.2"/>
    <row r="3" spans="2:7" x14ac:dyDescent="0.2"/>
    <row r="4" spans="2:7" x14ac:dyDescent="0.2">
      <c r="B4" s="117"/>
      <c r="C4" s="117"/>
      <c r="D4" s="117"/>
      <c r="E4" s="117" t="s">
        <v>185</v>
      </c>
      <c r="F4" s="117">
        <v>2020</v>
      </c>
    </row>
    <row r="5" spans="2:7" ht="12.75" x14ac:dyDescent="0.2">
      <c r="B5" s="120" t="s">
        <v>299</v>
      </c>
      <c r="C5" s="42"/>
      <c r="D5" s="42"/>
      <c r="E5" s="83" t="s">
        <v>139</v>
      </c>
      <c r="F5" s="119">
        <f ca="1">'Costos anualizados'!T128</f>
        <v>3.231268865543901</v>
      </c>
      <c r="G5" s="187"/>
    </row>
    <row r="6" spans="2:7" ht="12.75" x14ac:dyDescent="0.2">
      <c r="B6" s="120" t="s">
        <v>300</v>
      </c>
      <c r="E6" t="s">
        <v>139</v>
      </c>
      <c r="F6" s="119">
        <f>'Costos anualizados'!T130</f>
        <v>2.274823</v>
      </c>
      <c r="G6" s="187"/>
    </row>
    <row r="7" spans="2:7" ht="12.75" x14ac:dyDescent="0.2">
      <c r="B7" s="120" t="s">
        <v>178</v>
      </c>
      <c r="E7" t="s">
        <v>139</v>
      </c>
      <c r="F7" s="119">
        <f>'Costos anualizados'!T132</f>
        <v>4.8474463658206242</v>
      </c>
      <c r="G7" s="187"/>
    </row>
    <row r="8" spans="2:7" x14ac:dyDescent="0.2">
      <c r="G8" s="187"/>
    </row>
    <row r="9" spans="2:7" x14ac:dyDescent="0.2">
      <c r="B9" s="91" t="s">
        <v>158</v>
      </c>
      <c r="E9" t="s">
        <v>139</v>
      </c>
      <c r="F9" s="118">
        <f ca="1">'Costos anualizados'!T134</f>
        <v>10.353538231364524</v>
      </c>
      <c r="G9" s="187"/>
    </row>
    <row r="10" spans="2:7" x14ac:dyDescent="0.2">
      <c r="F10" s="195"/>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1CFFF"/>
    <pageSetUpPr autoPageBreaks="0"/>
  </sheetPr>
  <dimension ref="A1:G4"/>
  <sheetViews>
    <sheetView showGridLines="0" defaultGridColor="0" colorId="22" zoomScale="80" zoomScaleNormal="80" workbookViewId="0">
      <pane ySplit="1" topLeftCell="A2" activePane="bottomLeft" state="frozen"/>
      <selection pane="bottomLeft"/>
    </sheetView>
  </sheetViews>
  <sheetFormatPr baseColWidth="10" defaultColWidth="0" defaultRowHeight="12" customHeight="1" zeroHeight="1" x14ac:dyDescent="0.2"/>
  <cols>
    <col min="1" max="1" width="6.7109375" customWidth="1"/>
    <col min="2" max="7" width="12.7109375" customWidth="1"/>
    <col min="8" max="16384" width="12.7109375" hidden="1"/>
  </cols>
  <sheetData>
    <row r="1" spans="3:4" s="71" customFormat="1" ht="33.75" customHeight="1" x14ac:dyDescent="0.2">
      <c r="D1" s="73" t="s">
        <v>298</v>
      </c>
    </row>
    <row r="2" spans="3:4" hidden="1" x14ac:dyDescent="0.2"/>
    <row r="3" spans="3:4" hidden="1" x14ac:dyDescent="0.2"/>
    <row r="4" spans="3:4" hidden="1" x14ac:dyDescent="0.2">
      <c r="C4" s="95"/>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89999084444715716"/>
    <pageSetUpPr autoPageBreaks="0"/>
  </sheetPr>
  <dimension ref="A1:EW32"/>
  <sheetViews>
    <sheetView showGridLines="0" defaultGridColor="0" colorId="22" zoomScale="80" zoomScaleNormal="80" workbookViewId="0">
      <pane xSplit="8" ySplit="4" topLeftCell="I5" activePane="bottomRight" state="frozen"/>
      <selection activeCell="J37" sqref="J37"/>
      <selection pane="topRight" activeCell="J37" sqref="J37"/>
      <selection pane="bottomLeft" activeCell="J37" sqref="J37"/>
      <selection pane="bottomRight"/>
    </sheetView>
  </sheetViews>
  <sheetFormatPr baseColWidth="10" defaultColWidth="12.7109375" defaultRowHeight="12" x14ac:dyDescent="0.2"/>
  <cols>
    <col min="1" max="1" width="6.7109375" customWidth="1"/>
    <col min="2" max="2" width="5" customWidth="1"/>
  </cols>
  <sheetData>
    <row r="1" spans="1:153" s="70" customFormat="1" ht="33.75" customHeight="1" x14ac:dyDescent="0.2">
      <c r="A1" s="70" t="s">
        <v>104</v>
      </c>
      <c r="D1" s="72" t="s">
        <v>128</v>
      </c>
    </row>
    <row r="4" spans="1:153" s="74" customFormat="1" x14ac:dyDescent="0.2">
      <c r="D4" s="75"/>
      <c r="E4" s="76" t="s">
        <v>129</v>
      </c>
      <c r="F4" s="76" t="s">
        <v>123</v>
      </c>
      <c r="G4" s="76" t="s">
        <v>124</v>
      </c>
      <c r="I4"/>
      <c r="J4" s="76">
        <v>2010</v>
      </c>
      <c r="K4" s="76">
        <f>J4+1</f>
        <v>2011</v>
      </c>
      <c r="L4" s="76">
        <f t="shared" ref="L4:BG4" si="0">K4+1</f>
        <v>2012</v>
      </c>
      <c r="M4" s="76">
        <f t="shared" si="0"/>
        <v>2013</v>
      </c>
      <c r="N4" s="76">
        <f t="shared" si="0"/>
        <v>2014</v>
      </c>
      <c r="O4" s="76">
        <f t="shared" si="0"/>
        <v>2015</v>
      </c>
      <c r="P4" s="76">
        <f t="shared" si="0"/>
        <v>2016</v>
      </c>
      <c r="Q4" s="76">
        <f t="shared" si="0"/>
        <v>2017</v>
      </c>
      <c r="R4" s="76">
        <f t="shared" si="0"/>
        <v>2018</v>
      </c>
      <c r="S4" s="76">
        <f t="shared" si="0"/>
        <v>2019</v>
      </c>
      <c r="T4" s="76">
        <f t="shared" si="0"/>
        <v>2020</v>
      </c>
      <c r="U4" s="76">
        <f t="shared" si="0"/>
        <v>2021</v>
      </c>
      <c r="V4" s="76">
        <f t="shared" si="0"/>
        <v>2022</v>
      </c>
      <c r="W4" s="76">
        <f t="shared" si="0"/>
        <v>2023</v>
      </c>
      <c r="X4" s="76">
        <f t="shared" si="0"/>
        <v>2024</v>
      </c>
      <c r="Y4" s="76">
        <f t="shared" si="0"/>
        <v>2025</v>
      </c>
      <c r="Z4" s="76">
        <f t="shared" si="0"/>
        <v>2026</v>
      </c>
      <c r="AA4" s="76">
        <f t="shared" si="0"/>
        <v>2027</v>
      </c>
      <c r="AB4" s="76">
        <f t="shared" si="0"/>
        <v>2028</v>
      </c>
      <c r="AC4" s="76">
        <f t="shared" si="0"/>
        <v>2029</v>
      </c>
      <c r="AD4" s="76">
        <f t="shared" si="0"/>
        <v>2030</v>
      </c>
      <c r="AE4" s="76">
        <f t="shared" si="0"/>
        <v>2031</v>
      </c>
      <c r="AF4" s="76">
        <f t="shared" si="0"/>
        <v>2032</v>
      </c>
      <c r="AG4" s="76">
        <f t="shared" si="0"/>
        <v>2033</v>
      </c>
      <c r="AH4" s="76">
        <f t="shared" si="0"/>
        <v>2034</v>
      </c>
      <c r="AI4" s="76">
        <f t="shared" si="0"/>
        <v>2035</v>
      </c>
      <c r="AJ4" s="76">
        <f t="shared" si="0"/>
        <v>2036</v>
      </c>
      <c r="AK4" s="76">
        <f t="shared" si="0"/>
        <v>2037</v>
      </c>
      <c r="AL4" s="76">
        <f t="shared" si="0"/>
        <v>2038</v>
      </c>
      <c r="AM4" s="76">
        <f t="shared" si="0"/>
        <v>2039</v>
      </c>
      <c r="AN4" s="76">
        <f t="shared" si="0"/>
        <v>2040</v>
      </c>
      <c r="AO4" s="76">
        <f t="shared" si="0"/>
        <v>2041</v>
      </c>
      <c r="AP4" s="76">
        <f t="shared" si="0"/>
        <v>2042</v>
      </c>
      <c r="AQ4" s="76">
        <f t="shared" si="0"/>
        <v>2043</v>
      </c>
      <c r="AR4" s="76">
        <f t="shared" si="0"/>
        <v>2044</v>
      </c>
      <c r="AS4" s="76">
        <f t="shared" si="0"/>
        <v>2045</v>
      </c>
      <c r="AT4" s="76">
        <f t="shared" si="0"/>
        <v>2046</v>
      </c>
      <c r="AU4" s="76">
        <f t="shared" si="0"/>
        <v>2047</v>
      </c>
      <c r="AV4" s="76">
        <f t="shared" si="0"/>
        <v>2048</v>
      </c>
      <c r="AW4" s="76">
        <f t="shared" si="0"/>
        <v>2049</v>
      </c>
      <c r="AX4" s="76">
        <f t="shared" si="0"/>
        <v>2050</v>
      </c>
      <c r="AY4" s="76">
        <f t="shared" si="0"/>
        <v>2051</v>
      </c>
      <c r="AZ4" s="76">
        <f t="shared" si="0"/>
        <v>2052</v>
      </c>
      <c r="BA4" s="76">
        <f t="shared" si="0"/>
        <v>2053</v>
      </c>
      <c r="BB4" s="76">
        <f t="shared" si="0"/>
        <v>2054</v>
      </c>
      <c r="BC4" s="76">
        <f t="shared" si="0"/>
        <v>2055</v>
      </c>
      <c r="BD4" s="76">
        <f t="shared" si="0"/>
        <v>2056</v>
      </c>
      <c r="BE4" s="76">
        <f t="shared" si="0"/>
        <v>2057</v>
      </c>
      <c r="BF4" s="76">
        <f t="shared" si="0"/>
        <v>2058</v>
      </c>
      <c r="BG4" s="76">
        <f t="shared" si="0"/>
        <v>2059</v>
      </c>
    </row>
    <row r="5" spans="1:153" x14ac:dyDescent="0.2">
      <c r="F5" s="81"/>
      <c r="G5" s="81"/>
    </row>
    <row r="6" spans="1:153" ht="18" x14ac:dyDescent="0.25">
      <c r="A6" s="77">
        <v>1</v>
      </c>
      <c r="B6" s="78" t="s">
        <v>137</v>
      </c>
      <c r="C6" s="79"/>
      <c r="D6" s="79"/>
      <c r="E6" s="79"/>
      <c r="F6" s="82"/>
      <c r="G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row>
    <row r="7" spans="1:153" s="81" customFormat="1" ht="12" customHeight="1" x14ac:dyDescent="0.2">
      <c r="A7" s="80"/>
      <c r="B7" s="80"/>
      <c r="C7" s="80"/>
      <c r="D7" s="80"/>
      <c r="E7" s="80"/>
      <c r="F7" s="80"/>
      <c r="G7" s="80"/>
      <c r="H7" s="80"/>
      <c r="I7" s="80"/>
      <c r="J7" s="80"/>
      <c r="K7" s="80"/>
      <c r="P7" s="185"/>
    </row>
    <row r="8" spans="1:153" s="81" customFormat="1" ht="12.75" x14ac:dyDescent="0.2">
      <c r="A8" s="80"/>
      <c r="B8" s="84" t="s">
        <v>122</v>
      </c>
      <c r="E8" s="81" t="s">
        <v>296</v>
      </c>
      <c r="F8" s="83" t="s">
        <v>125</v>
      </c>
      <c r="G8" s="83" t="s">
        <v>126</v>
      </c>
      <c r="J8" s="10">
        <v>15202560.5</v>
      </c>
      <c r="K8" s="10">
        <v>14699297</v>
      </c>
      <c r="L8" s="10">
        <v>14048310</v>
      </c>
      <c r="M8" s="10">
        <v>13436902</v>
      </c>
      <c r="N8" s="10">
        <v>12884581</v>
      </c>
      <c r="O8" s="10">
        <v>12670849</v>
      </c>
      <c r="P8" s="197">
        <v>11534511.136497103</v>
      </c>
      <c r="Q8" s="197">
        <v>11618341.89625</v>
      </c>
      <c r="R8" s="197">
        <v>11891996.283749999</v>
      </c>
      <c r="S8" s="197">
        <v>11979875.722260699</v>
      </c>
      <c r="T8" s="197">
        <v>11827723.868845981</v>
      </c>
      <c r="U8" s="197">
        <v>11905827.870309459</v>
      </c>
      <c r="V8" s="197">
        <v>11976772.716705067</v>
      </c>
      <c r="W8" s="197">
        <v>12040682.916218534</v>
      </c>
      <c r="X8" s="197">
        <v>12098918.238482473</v>
      </c>
      <c r="Y8" s="197">
        <v>12152104.601521119</v>
      </c>
      <c r="Z8" s="197">
        <v>12260579.493552245</v>
      </c>
      <c r="AA8" s="197">
        <v>12423737.170141714</v>
      </c>
      <c r="AB8" s="197">
        <v>12580901.88289552</v>
      </c>
      <c r="AC8" s="197">
        <v>12733225.184101477</v>
      </c>
      <c r="AD8" s="197">
        <v>12882965.575361853</v>
      </c>
      <c r="AE8" s="197">
        <v>13030941.398516338</v>
      </c>
      <c r="AF8" s="197">
        <v>13174554.25530033</v>
      </c>
      <c r="AG8" s="197">
        <v>13312209.864481604</v>
      </c>
      <c r="AH8" s="197">
        <v>13444575.070134511</v>
      </c>
      <c r="AI8" s="197">
        <v>13572167.419094283</v>
      </c>
      <c r="AJ8" s="197">
        <v>13694722.848216858</v>
      </c>
      <c r="AK8" s="197">
        <v>13811648.992776208</v>
      </c>
      <c r="AL8" s="197">
        <v>13922849.96061136</v>
      </c>
      <c r="AM8" s="197">
        <v>14028709.320366176</v>
      </c>
      <c r="AN8" s="197">
        <v>14129500.191196386</v>
      </c>
      <c r="AO8" s="197">
        <v>14224883.099617755</v>
      </c>
      <c r="AP8" s="197">
        <v>14314282.438757624</v>
      </c>
      <c r="AQ8" s="197">
        <v>14397555.174412964</v>
      </c>
      <c r="AR8" s="197">
        <v>14474999.13934144</v>
      </c>
      <c r="AS8" s="197">
        <v>14546877.127152761</v>
      </c>
      <c r="AT8" s="197">
        <v>14612974.501906764</v>
      </c>
      <c r="AU8" s="197">
        <v>14672867.577674232</v>
      </c>
      <c r="AV8" s="197">
        <v>14726476.373791348</v>
      </c>
      <c r="AW8" s="197">
        <v>14774095.506862098</v>
      </c>
      <c r="AX8" s="197">
        <v>14806950.040119721</v>
      </c>
      <c r="AY8" s="197">
        <v>14827945.239030335</v>
      </c>
      <c r="AZ8" s="197">
        <v>14848970.207635324</v>
      </c>
      <c r="BA8" s="197">
        <v>14870024.988145988</v>
      </c>
      <c r="BB8" s="197">
        <v>14891109.622833483</v>
      </c>
      <c r="BC8" s="197">
        <v>14912224.154028904</v>
      </c>
      <c r="BD8" s="197">
        <v>14933368.624123368</v>
      </c>
      <c r="BE8" s="197">
        <v>14954543.075568091</v>
      </c>
      <c r="BF8" s="197">
        <v>14975747.550874498</v>
      </c>
      <c r="BG8" s="197">
        <v>14996982.092614278</v>
      </c>
      <c r="BH8" s="42" t="s">
        <v>275</v>
      </c>
    </row>
    <row r="9" spans="1:153" ht="12.75" x14ac:dyDescent="0.2">
      <c r="B9" s="85"/>
      <c r="F9" s="81"/>
      <c r="G9" s="81"/>
      <c r="L9" s="81"/>
    </row>
    <row r="10" spans="1:153" ht="12.75" x14ac:dyDescent="0.2">
      <c r="B10" s="92" t="s">
        <v>127</v>
      </c>
      <c r="F10" s="83" t="s">
        <v>138</v>
      </c>
      <c r="G10" s="83" t="s">
        <v>134</v>
      </c>
      <c r="J10" s="9">
        <f t="shared" ref="J10:AO10" si="1">J8*J23/1000000</f>
        <v>60783</v>
      </c>
      <c r="K10" s="9">
        <f t="shared" si="1"/>
        <v>56468.19999999999</v>
      </c>
      <c r="L10" s="9">
        <f t="shared" si="1"/>
        <v>52153.400000000009</v>
      </c>
      <c r="M10" s="9">
        <f t="shared" si="1"/>
        <v>47838.6</v>
      </c>
      <c r="N10" s="9">
        <f t="shared" si="1"/>
        <v>45560.110999999997</v>
      </c>
      <c r="O10" s="9">
        <f t="shared" si="1"/>
        <v>37152.643999999993</v>
      </c>
      <c r="P10" s="9">
        <f t="shared" si="1"/>
        <v>33784.550000000003</v>
      </c>
      <c r="Q10" s="9">
        <f t="shared" si="1"/>
        <v>34000.952727017109</v>
      </c>
      <c r="R10" s="9">
        <f t="shared" si="1"/>
        <v>34779.450789952018</v>
      </c>
      <c r="S10" s="9">
        <f t="shared" si="1"/>
        <v>35021.464367470762</v>
      </c>
      <c r="T10" s="9">
        <f t="shared" si="1"/>
        <v>34569.268713946185</v>
      </c>
      <c r="U10" s="9">
        <f t="shared" si="1"/>
        <v>34797.545789414376</v>
      </c>
      <c r="V10" s="9">
        <f t="shared" si="1"/>
        <v>35004.898572258688</v>
      </c>
      <c r="W10" s="9">
        <f t="shared" si="1"/>
        <v>35191.69096655547</v>
      </c>
      <c r="X10" s="9">
        <f t="shared" si="1"/>
        <v>35361.897214715187</v>
      </c>
      <c r="Y10" s="9">
        <f t="shared" si="1"/>
        <v>35517.346707465302</v>
      </c>
      <c r="Z10" s="9">
        <f t="shared" si="1"/>
        <v>35834.389760965852</v>
      </c>
      <c r="AA10" s="9">
        <f t="shared" si="1"/>
        <v>36311.255946489568</v>
      </c>
      <c r="AB10" s="9">
        <f t="shared" si="1"/>
        <v>36770.606303987108</v>
      </c>
      <c r="AC10" s="9">
        <f t="shared" si="1"/>
        <v>37215.806512342817</v>
      </c>
      <c r="AD10" s="9">
        <f t="shared" si="1"/>
        <v>37653.457566781617</v>
      </c>
      <c r="AE10" s="9">
        <f t="shared" si="1"/>
        <v>38085.951261301212</v>
      </c>
      <c r="AF10" s="9">
        <f t="shared" si="1"/>
        <v>38505.693173776854</v>
      </c>
      <c r="AG10" s="9">
        <f t="shared" si="1"/>
        <v>38908.02364720832</v>
      </c>
      <c r="AH10" s="9">
        <f t="shared" si="1"/>
        <v>39294.891688205171</v>
      </c>
      <c r="AI10" s="9">
        <f t="shared" si="1"/>
        <v>39667.809947537535</v>
      </c>
      <c r="AJ10" s="9">
        <f t="shared" si="1"/>
        <v>40026.006639366853</v>
      </c>
      <c r="AK10" s="9">
        <f t="shared" si="1"/>
        <v>40367.750440268785</v>
      </c>
      <c r="AL10" s="9">
        <f t="shared" si="1"/>
        <v>40692.761083142308</v>
      </c>
      <c r="AM10" s="9">
        <f t="shared" si="1"/>
        <v>41002.159636391385</v>
      </c>
      <c r="AN10" s="9">
        <f t="shared" si="1"/>
        <v>41296.744354150964</v>
      </c>
      <c r="AO10" s="9">
        <f t="shared" si="1"/>
        <v>41575.523046357426</v>
      </c>
      <c r="AP10" s="9">
        <f t="shared" ref="AP10:BG10" si="2">AP8*AP23/1000000</f>
        <v>41836.813368303105</v>
      </c>
      <c r="AQ10" s="9">
        <f t="shared" si="2"/>
        <v>42080.19726932545</v>
      </c>
      <c r="AR10" s="9">
        <f t="shared" si="2"/>
        <v>42306.545234798126</v>
      </c>
      <c r="AS10" s="9">
        <f t="shared" si="2"/>
        <v>42516.62534005085</v>
      </c>
      <c r="AT10" s="9">
        <f t="shared" si="2"/>
        <v>42709.810261722552</v>
      </c>
      <c r="AU10" s="9">
        <f t="shared" si="2"/>
        <v>42884.861679329952</v>
      </c>
      <c r="AV10" s="9">
        <f t="shared" si="2"/>
        <v>43041.545830816191</v>
      </c>
      <c r="AW10" s="9">
        <f t="shared" si="2"/>
        <v>43180.723801599219</v>
      </c>
      <c r="AX10" s="9">
        <f t="shared" si="2"/>
        <v>43276.748801949929</v>
      </c>
      <c r="AY10" s="9">
        <f t="shared" si="2"/>
        <v>43338.112144626153</v>
      </c>
      <c r="AZ10" s="9">
        <f t="shared" si="2"/>
        <v>43399.562496144979</v>
      </c>
      <c r="BA10" s="9">
        <f t="shared" si="2"/>
        <v>43461.099979878723</v>
      </c>
      <c r="BB10" s="9">
        <f t="shared" si="2"/>
        <v>43522.724719374652</v>
      </c>
      <c r="BC10" s="9">
        <f t="shared" si="2"/>
        <v>43584.436838355206</v>
      </c>
      <c r="BD10" s="9">
        <f t="shared" si="2"/>
        <v>43646.236460718297</v>
      </c>
      <c r="BE10" s="9">
        <f t="shared" si="2"/>
        <v>43708.123710537438</v>
      </c>
      <c r="BF10" s="9">
        <f t="shared" si="2"/>
        <v>43770.098712062136</v>
      </c>
      <c r="BG10" s="9">
        <f t="shared" si="2"/>
        <v>43832.161589718031</v>
      </c>
    </row>
    <row r="11" spans="1:153" ht="12.75" x14ac:dyDescent="0.2">
      <c r="B11" s="92"/>
      <c r="F11" s="83"/>
      <c r="G11" s="83"/>
      <c r="L11" s="81"/>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row>
    <row r="12" spans="1:153" ht="12.75" x14ac:dyDescent="0.2">
      <c r="B12" s="92" t="s">
        <v>181</v>
      </c>
      <c r="F12" s="83"/>
      <c r="G12" s="83" t="s">
        <v>139</v>
      </c>
      <c r="J12" s="9">
        <f>J10*1000000/J8/Actividades!$F$3</f>
        <v>333.1840054180347</v>
      </c>
      <c r="K12" s="9">
        <f>K10*1000000/K8/Actividades!$F$3</f>
        <v>320.12982208151402</v>
      </c>
      <c r="L12" s="9">
        <f>L10*1000000/L8/Actividades!$F$3</f>
        <v>309.36935949353818</v>
      </c>
      <c r="M12" s="9">
        <f>M10*1000000/M8/Actividades!$F$3</f>
        <v>296.68669161983917</v>
      </c>
      <c r="N12" s="9">
        <f>N10*1000000/N8/Actividades!$F$3</f>
        <v>294.66817094530796</v>
      </c>
      <c r="O12" s="9">
        <f>O10*1000000/O8/Actividades!$F$3</f>
        <v>244.34461074129021</v>
      </c>
      <c r="P12" s="9">
        <f>P10*1000000/P8/Actividades!$F$3</f>
        <v>244.08309406008038</v>
      </c>
      <c r="Q12" s="9">
        <f>Q10*1000000/Q8/Actividades!$F$3</f>
        <v>243.87410463156996</v>
      </c>
      <c r="R12" s="9">
        <f>R10*1000000/R8/Actividades!$F$3</f>
        <v>243.71749676626996</v>
      </c>
      <c r="S12" s="9">
        <f>S10*1000000/S8/Actividades!$F$3</f>
        <v>243.61315856832286</v>
      </c>
      <c r="T12" s="9">
        <f>T10*1000000/T8/Actividades!$F$3</f>
        <v>243.56101180352653</v>
      </c>
      <c r="U12" s="9">
        <f>U10*1000000/U8/Actividades!$F$3</f>
        <v>243.56101180352661</v>
      </c>
      <c r="V12" s="9">
        <f>V10*1000000/V8/Actividades!$F$3</f>
        <v>243.56101180352653</v>
      </c>
      <c r="W12" s="9">
        <f>W10*1000000/W8/Actividades!$F$3</f>
        <v>243.56101180352653</v>
      </c>
      <c r="X12" s="9">
        <f>X10*1000000/X8/Actividades!$F$3</f>
        <v>243.56101180352653</v>
      </c>
      <c r="Y12" s="9">
        <f>Y10*1000000/Y8/Actividades!$F$3</f>
        <v>243.56101180352661</v>
      </c>
      <c r="Z12" s="9">
        <f>Z10*1000000/Z8/Actividades!$F$3</f>
        <v>243.56101180352655</v>
      </c>
      <c r="AA12" s="9">
        <f>AA10*1000000/AA8/Actividades!$F$3</f>
        <v>243.56101180352655</v>
      </c>
      <c r="AB12" s="9">
        <f>AB10*1000000/AB8/Actividades!$F$3</f>
        <v>243.56101180352655</v>
      </c>
      <c r="AC12" s="9">
        <f>AC10*1000000/AC8/Actividades!$F$3</f>
        <v>243.56101180352655</v>
      </c>
      <c r="AD12" s="9">
        <f>AD10*1000000/AD8/Actividades!$F$3</f>
        <v>243.56101180352655</v>
      </c>
      <c r="AE12" s="9">
        <f>AE10*1000000/AE8/Actividades!$F$3</f>
        <v>243.56101180352655</v>
      </c>
      <c r="AF12" s="9">
        <f>AF10*1000000/AF8/Actividades!$F$3</f>
        <v>243.56101180352655</v>
      </c>
      <c r="AG12" s="9">
        <f>AG10*1000000/AG8/Actividades!$F$3</f>
        <v>243.56101180352655</v>
      </c>
      <c r="AH12" s="9">
        <f>AH10*1000000/AH8/Actividades!$F$3</f>
        <v>243.56101180352655</v>
      </c>
      <c r="AI12" s="9">
        <f>AI10*1000000/AI8/Actividades!$F$3</f>
        <v>243.56101180352655</v>
      </c>
      <c r="AJ12" s="9">
        <f>AJ10*1000000/AJ8/Actividades!$F$3</f>
        <v>243.56101180352655</v>
      </c>
      <c r="AK12" s="9">
        <f>AK10*1000000/AK8/Actividades!$F$3</f>
        <v>243.56101180352661</v>
      </c>
      <c r="AL12" s="9">
        <f>AL10*1000000/AL8/Actividades!$F$3</f>
        <v>243.56101180352655</v>
      </c>
      <c r="AM12" s="9">
        <f>AM10*1000000/AM8/Actividades!$F$3</f>
        <v>243.56101180352653</v>
      </c>
      <c r="AN12" s="9">
        <f>AN10*1000000/AN8/Actividades!$F$3</f>
        <v>243.56101180352655</v>
      </c>
      <c r="AO12" s="9">
        <f>AO10*1000000/AO8/Actividades!$F$3</f>
        <v>243.56101180352655</v>
      </c>
      <c r="AP12" s="9">
        <f>AP10*1000000/AP8/Actividades!$F$3</f>
        <v>243.56101180352655</v>
      </c>
      <c r="AQ12" s="9">
        <f>AQ10*1000000/AQ8/Actividades!$F$3</f>
        <v>243.56101180352655</v>
      </c>
      <c r="AR12" s="9">
        <f>AR10*1000000/AR8/Actividades!$F$3</f>
        <v>243.56101180352655</v>
      </c>
      <c r="AS12" s="9">
        <f>AS10*1000000/AS8/Actividades!$F$3</f>
        <v>243.56101180352655</v>
      </c>
      <c r="AT12" s="9">
        <f>AT10*1000000/AT8/Actividades!$F$3</f>
        <v>243.56101180352655</v>
      </c>
      <c r="AU12" s="9">
        <f>AU10*1000000/AU8/Actividades!$F$3</f>
        <v>243.56101180352655</v>
      </c>
      <c r="AV12" s="9">
        <f>AV10*1000000/AV8/Actividades!$F$3</f>
        <v>243.56101180352655</v>
      </c>
      <c r="AW12" s="9">
        <f>AW10*1000000/AW8/Actividades!$F$3</f>
        <v>243.56101180352655</v>
      </c>
      <c r="AX12" s="9">
        <f>AX10*1000000/AX8/Actividades!$F$3</f>
        <v>243.56101180352655</v>
      </c>
      <c r="AY12" s="9">
        <f>AY10*1000000/AY8/Actividades!$F$3</f>
        <v>243.56101180352653</v>
      </c>
      <c r="AZ12" s="9">
        <f>AZ10*1000000/AZ8/Actividades!$F$3</f>
        <v>243.56101180352655</v>
      </c>
      <c r="BA12" s="9">
        <f>BA10*1000000/BA8/Actividades!$F$3</f>
        <v>243.56101180352655</v>
      </c>
      <c r="BB12" s="9">
        <f>BB10*1000000/BB8/Actividades!$F$3</f>
        <v>243.56101180352655</v>
      </c>
      <c r="BC12" s="9">
        <f>BC10*1000000/BC8/Actividades!$F$3</f>
        <v>243.56101180352653</v>
      </c>
      <c r="BD12" s="9">
        <f>BD10*1000000/BD8/Actividades!$F$3</f>
        <v>243.56101180352655</v>
      </c>
      <c r="BE12" s="9">
        <f>BE10*1000000/BE8/Actividades!$F$3</f>
        <v>243.56101180352655</v>
      </c>
      <c r="BF12" s="9">
        <f>BF10*1000000/BF8/Actividades!$F$3</f>
        <v>243.56101180352655</v>
      </c>
      <c r="BG12" s="9">
        <f>BG10*1000000/BG8/Actividades!$F$3</f>
        <v>243.56101180352655</v>
      </c>
      <c r="BH12" s="42" t="s">
        <v>186</v>
      </c>
    </row>
    <row r="13" spans="1:153" ht="12.75" x14ac:dyDescent="0.2">
      <c r="B13" s="85"/>
      <c r="F13" s="81"/>
      <c r="G13" s="81"/>
    </row>
    <row r="14" spans="1:153" ht="18" x14ac:dyDescent="0.25">
      <c r="A14" s="77">
        <v>2</v>
      </c>
      <c r="B14" s="78" t="s">
        <v>127</v>
      </c>
      <c r="C14" s="79"/>
      <c r="D14" s="79"/>
      <c r="E14" s="79"/>
      <c r="F14" s="82"/>
      <c r="G14" s="82"/>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row>
    <row r="15" spans="1:153" s="81" customFormat="1" ht="12" customHeight="1" x14ac:dyDescent="0.2">
      <c r="A15" s="80"/>
      <c r="B15" s="86"/>
      <c r="L15" s="42"/>
      <c r="M15" s="42"/>
      <c r="N15" s="42"/>
    </row>
    <row r="16" spans="1:153" s="81" customFormat="1" ht="12.75" x14ac:dyDescent="0.2">
      <c r="A16" s="80"/>
      <c r="B16" s="84" t="s">
        <v>162</v>
      </c>
      <c r="E16" s="81" t="s">
        <v>305</v>
      </c>
      <c r="F16" s="83" t="s">
        <v>183</v>
      </c>
      <c r="G16" s="83" t="s">
        <v>126</v>
      </c>
      <c r="J16" s="11">
        <f t="shared" ref="J16:P16" si="3">J8</f>
        <v>15202560.5</v>
      </c>
      <c r="K16" s="11">
        <f t="shared" si="3"/>
        <v>14699297</v>
      </c>
      <c r="L16" s="11">
        <f t="shared" si="3"/>
        <v>14048310</v>
      </c>
      <c r="M16" s="11">
        <f t="shared" si="3"/>
        <v>13436902</v>
      </c>
      <c r="N16" s="11">
        <f t="shared" si="3"/>
        <v>12884581</v>
      </c>
      <c r="O16" s="11">
        <f t="shared" si="3"/>
        <v>12670849</v>
      </c>
      <c r="P16" s="11">
        <f t="shared" si="3"/>
        <v>11534511.136497103</v>
      </c>
      <c r="Q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1:153" s="81" customFormat="1" x14ac:dyDescent="0.2">
      <c r="A17" s="80"/>
      <c r="F17" s="83"/>
      <c r="G17" s="83"/>
      <c r="Q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row>
    <row r="18" spans="1:153" s="81" customFormat="1" ht="12.75" x14ac:dyDescent="0.2">
      <c r="A18" s="80"/>
      <c r="B18" s="84" t="s">
        <v>314</v>
      </c>
      <c r="E18" s="81" t="s">
        <v>313</v>
      </c>
      <c r="F18" s="83" t="s">
        <v>125</v>
      </c>
      <c r="G18" s="83" t="s">
        <v>134</v>
      </c>
      <c r="J18" s="9">
        <f t="shared" ref="J18:O18" si="4">SUM(J19:J22)</f>
        <v>60783</v>
      </c>
      <c r="K18" s="9">
        <f t="shared" si="4"/>
        <v>56468.2</v>
      </c>
      <c r="L18" s="9">
        <f t="shared" si="4"/>
        <v>52153.4</v>
      </c>
      <c r="M18" s="9">
        <f t="shared" si="4"/>
        <v>47838.6</v>
      </c>
      <c r="N18" s="9">
        <f t="shared" si="4"/>
        <v>45560.111000000004</v>
      </c>
      <c r="O18" s="9">
        <f t="shared" si="4"/>
        <v>37152.643999999993</v>
      </c>
      <c r="P18" s="9">
        <f>SUM(P19:P22)</f>
        <v>33784.550000000003</v>
      </c>
      <c r="Q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row>
    <row r="19" spans="1:153" s="81" customFormat="1" x14ac:dyDescent="0.2">
      <c r="A19" s="80"/>
      <c r="B19" s="80"/>
      <c r="C19" s="81" t="s">
        <v>131</v>
      </c>
      <c r="F19" s="83"/>
      <c r="G19" s="83" t="s">
        <v>134</v>
      </c>
      <c r="J19" s="161">
        <v>27854.053483603806</v>
      </c>
      <c r="K19" s="111">
        <f t="shared" ref="K19:L22" si="5">J19+($M19-$J19)/($M$4-$J$4)</f>
        <v>26939.412322402539</v>
      </c>
      <c r="L19" s="111">
        <f t="shared" si="5"/>
        <v>26024.771161201272</v>
      </c>
      <c r="M19" s="198">
        <v>25110.13</v>
      </c>
      <c r="N19" s="198">
        <v>23943.86</v>
      </c>
      <c r="O19" s="198">
        <v>23521.262999999999</v>
      </c>
      <c r="P19" s="198">
        <v>23076.73</v>
      </c>
      <c r="Q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row>
    <row r="20" spans="1:153" s="81" customFormat="1" x14ac:dyDescent="0.2">
      <c r="A20" s="80"/>
      <c r="B20" s="80"/>
      <c r="C20" s="81" t="s">
        <v>197</v>
      </c>
      <c r="F20" s="83"/>
      <c r="G20" s="83" t="s">
        <v>134</v>
      </c>
      <c r="J20" s="161">
        <v>12872.946516396194</v>
      </c>
      <c r="K20" s="111">
        <f t="shared" si="5"/>
        <v>12450.238677597463</v>
      </c>
      <c r="L20" s="111">
        <f t="shared" si="5"/>
        <v>12027.530838798732</v>
      </c>
      <c r="M20" s="198">
        <v>11604.823</v>
      </c>
      <c r="N20" s="198">
        <v>11359.027</v>
      </c>
      <c r="O20" s="198">
        <v>12242.641</v>
      </c>
      <c r="P20" s="198">
        <v>9503.3430000000008</v>
      </c>
      <c r="Q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row>
    <row r="21" spans="1:153" s="81" customFormat="1" ht="12.75" x14ac:dyDescent="0.2">
      <c r="A21" s="80"/>
      <c r="B21" s="84"/>
      <c r="C21" s="81" t="s">
        <v>132</v>
      </c>
      <c r="F21" s="83"/>
      <c r="G21" s="83" t="s">
        <v>134</v>
      </c>
      <c r="J21" s="10">
        <v>14650</v>
      </c>
      <c r="K21" s="111">
        <f t="shared" si="5"/>
        <v>12835.553</v>
      </c>
      <c r="L21" s="111">
        <f t="shared" si="5"/>
        <v>11021.106</v>
      </c>
      <c r="M21" s="9">
        <v>9206.6589999999997</v>
      </c>
      <c r="N21" s="9">
        <v>8653.6610000000001</v>
      </c>
      <c r="O21" s="9">
        <v>0</v>
      </c>
      <c r="P21" s="9">
        <v>0</v>
      </c>
      <c r="Q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row>
    <row r="22" spans="1:153" s="81" customFormat="1" ht="12.75" x14ac:dyDescent="0.2">
      <c r="A22" s="80"/>
      <c r="B22" s="84"/>
      <c r="C22" s="81" t="s">
        <v>133</v>
      </c>
      <c r="F22" s="83"/>
      <c r="G22" s="83" t="s">
        <v>134</v>
      </c>
      <c r="J22" s="10">
        <v>5406</v>
      </c>
      <c r="K22" s="111">
        <f t="shared" si="5"/>
        <v>4242.9960000000001</v>
      </c>
      <c r="L22" s="111">
        <f t="shared" si="5"/>
        <v>3079.9920000000002</v>
      </c>
      <c r="M22" s="9">
        <v>1916.9880000000001</v>
      </c>
      <c r="N22" s="9">
        <v>1603.5630000000001</v>
      </c>
      <c r="O22" s="9">
        <v>1388.74</v>
      </c>
      <c r="P22" s="9">
        <v>1204.4770000000001</v>
      </c>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row>
    <row r="23" spans="1:153" s="81" customFormat="1" ht="12.75" x14ac:dyDescent="0.2">
      <c r="A23" s="80"/>
      <c r="B23" s="84" t="s">
        <v>130</v>
      </c>
      <c r="F23" s="83"/>
      <c r="G23" s="83" t="s">
        <v>139</v>
      </c>
      <c r="J23" s="9">
        <f t="shared" ref="J23:O23" si="6">J18/J16*1000000</f>
        <v>3998.2080650164162</v>
      </c>
      <c r="K23" s="9">
        <f t="shared" si="6"/>
        <v>3841.5578649781683</v>
      </c>
      <c r="L23" s="9">
        <f t="shared" si="6"/>
        <v>3712.432313922458</v>
      </c>
      <c r="M23" s="9">
        <f t="shared" si="6"/>
        <v>3560.24029943807</v>
      </c>
      <c r="N23" s="9">
        <f t="shared" si="6"/>
        <v>3536.0180513436953</v>
      </c>
      <c r="O23" s="9">
        <f t="shared" si="6"/>
        <v>2932.1353288954824</v>
      </c>
      <c r="P23" s="9">
        <f>P18/P16*1000000</f>
        <v>2928.9971287209646</v>
      </c>
      <c r="Q23" s="111">
        <f t="shared" ref="Q23:BB23" si="7">P23*(1+Q24)</f>
        <v>2926.4892555788401</v>
      </c>
      <c r="R23" s="111">
        <f t="shared" si="7"/>
        <v>2924.6099611952395</v>
      </c>
      <c r="S23" s="111">
        <f t="shared" si="7"/>
        <v>2923.3579028198742</v>
      </c>
      <c r="T23" s="111">
        <f>S23*(1+T24)</f>
        <v>2922.7321416423188</v>
      </c>
      <c r="U23" s="111">
        <f>T23*(1+U24)</f>
        <v>2922.7321416423188</v>
      </c>
      <c r="V23" s="111">
        <f t="shared" si="7"/>
        <v>2922.7321416423188</v>
      </c>
      <c r="W23" s="111">
        <f t="shared" si="7"/>
        <v>2922.7321416423188</v>
      </c>
      <c r="X23" s="111">
        <f t="shared" si="7"/>
        <v>2922.7321416423188</v>
      </c>
      <c r="Y23" s="111">
        <f t="shared" si="7"/>
        <v>2922.7321416423188</v>
      </c>
      <c r="Z23" s="111">
        <f t="shared" si="7"/>
        <v>2922.7321416423188</v>
      </c>
      <c r="AA23" s="111">
        <f t="shared" si="7"/>
        <v>2922.7321416423188</v>
      </c>
      <c r="AB23" s="111">
        <f t="shared" si="7"/>
        <v>2922.7321416423188</v>
      </c>
      <c r="AC23" s="111">
        <f t="shared" si="7"/>
        <v>2922.7321416423188</v>
      </c>
      <c r="AD23" s="111">
        <f t="shared" si="7"/>
        <v>2922.7321416423188</v>
      </c>
      <c r="AE23" s="111">
        <f t="shared" si="7"/>
        <v>2922.7321416423188</v>
      </c>
      <c r="AF23" s="111">
        <f t="shared" si="7"/>
        <v>2922.7321416423188</v>
      </c>
      <c r="AG23" s="111">
        <f t="shared" si="7"/>
        <v>2922.7321416423188</v>
      </c>
      <c r="AH23" s="111">
        <f t="shared" si="7"/>
        <v>2922.7321416423188</v>
      </c>
      <c r="AI23" s="111">
        <f t="shared" si="7"/>
        <v>2922.7321416423188</v>
      </c>
      <c r="AJ23" s="111">
        <f t="shared" si="7"/>
        <v>2922.7321416423188</v>
      </c>
      <c r="AK23" s="111">
        <f t="shared" si="7"/>
        <v>2922.7321416423188</v>
      </c>
      <c r="AL23" s="111">
        <f t="shared" si="7"/>
        <v>2922.7321416423188</v>
      </c>
      <c r="AM23" s="111">
        <f t="shared" si="7"/>
        <v>2922.7321416423188</v>
      </c>
      <c r="AN23" s="111">
        <f t="shared" si="7"/>
        <v>2922.7321416423188</v>
      </c>
      <c r="AO23" s="111">
        <f t="shared" si="7"/>
        <v>2922.7321416423188</v>
      </c>
      <c r="AP23" s="111">
        <f t="shared" si="7"/>
        <v>2922.7321416423188</v>
      </c>
      <c r="AQ23" s="111">
        <f t="shared" si="7"/>
        <v>2922.7321416423188</v>
      </c>
      <c r="AR23" s="111">
        <f t="shared" si="7"/>
        <v>2922.7321416423188</v>
      </c>
      <c r="AS23" s="111">
        <f t="shared" si="7"/>
        <v>2922.7321416423188</v>
      </c>
      <c r="AT23" s="111">
        <f t="shared" si="7"/>
        <v>2922.7321416423188</v>
      </c>
      <c r="AU23" s="111">
        <f t="shared" si="7"/>
        <v>2922.7321416423188</v>
      </c>
      <c r="AV23" s="111">
        <f t="shared" si="7"/>
        <v>2922.7321416423188</v>
      </c>
      <c r="AW23" s="111">
        <f t="shared" si="7"/>
        <v>2922.7321416423188</v>
      </c>
      <c r="AX23" s="111">
        <f t="shared" si="7"/>
        <v>2922.7321416423188</v>
      </c>
      <c r="AY23" s="111">
        <f t="shared" si="7"/>
        <v>2922.7321416423188</v>
      </c>
      <c r="AZ23" s="111">
        <f t="shared" si="7"/>
        <v>2922.7321416423188</v>
      </c>
      <c r="BA23" s="111">
        <f t="shared" si="7"/>
        <v>2922.7321416423188</v>
      </c>
      <c r="BB23" s="111">
        <f t="shared" si="7"/>
        <v>2922.7321416423188</v>
      </c>
      <c r="BC23" s="111">
        <f t="shared" ref="BC23" si="8">BB23*(1+BC24)</f>
        <v>2922.7321416423188</v>
      </c>
      <c r="BD23" s="111">
        <f t="shared" ref="BD23" si="9">BC23*(1+BD24)</f>
        <v>2922.7321416423188</v>
      </c>
      <c r="BE23" s="111">
        <f t="shared" ref="BE23" si="10">BD23*(1+BE24)</f>
        <v>2922.7321416423188</v>
      </c>
      <c r="BF23" s="111">
        <f t="shared" ref="BF23" si="11">BE23*(1+BF24)</f>
        <v>2922.7321416423188</v>
      </c>
      <c r="BG23" s="111">
        <f t="shared" ref="BG23" si="12">BF23*(1+BG24)</f>
        <v>2922.7321416423188</v>
      </c>
    </row>
    <row r="24" spans="1:153" x14ac:dyDescent="0.2">
      <c r="C24" s="81" t="s">
        <v>135</v>
      </c>
      <c r="J24" s="162"/>
      <c r="K24" s="162"/>
      <c r="L24" s="162"/>
      <c r="M24" s="162"/>
      <c r="N24" s="188">
        <f>N23/M23-1</f>
        <v>-6.8035430356198079E-3</v>
      </c>
      <c r="O24" s="188">
        <f>O23/N23-1</f>
        <v>-0.17078044107233448</v>
      </c>
      <c r="P24" s="188">
        <f>P23/O23-1</f>
        <v>-1.0702780815031732E-3</v>
      </c>
      <c r="Q24" s="189">
        <f>P24+($U24-$P24)/($U$4-$P$4)</f>
        <v>-8.5622246520253851E-4</v>
      </c>
      <c r="R24" s="189">
        <f t="shared" ref="R24:T24" si="13">Q24+($U24-$P24)/($U$4-$P$4)</f>
        <v>-6.4216684890190385E-4</v>
      </c>
      <c r="S24" s="189">
        <f t="shared" si="13"/>
        <v>-4.281112326012692E-4</v>
      </c>
      <c r="T24" s="189">
        <f t="shared" si="13"/>
        <v>-2.1405561630063457E-4</v>
      </c>
      <c r="U24" s="110">
        <v>0</v>
      </c>
      <c r="V24" s="88">
        <f t="shared" ref="V24:BB24" si="14">U24</f>
        <v>0</v>
      </c>
      <c r="W24" s="88">
        <f t="shared" si="14"/>
        <v>0</v>
      </c>
      <c r="X24" s="88">
        <f t="shared" si="14"/>
        <v>0</v>
      </c>
      <c r="Y24" s="88">
        <f t="shared" si="14"/>
        <v>0</v>
      </c>
      <c r="Z24" s="88">
        <f t="shared" si="14"/>
        <v>0</v>
      </c>
      <c r="AA24" s="88">
        <f t="shared" si="14"/>
        <v>0</v>
      </c>
      <c r="AB24" s="88">
        <f t="shared" si="14"/>
        <v>0</v>
      </c>
      <c r="AC24" s="88">
        <f t="shared" si="14"/>
        <v>0</v>
      </c>
      <c r="AD24" s="88">
        <f t="shared" si="14"/>
        <v>0</v>
      </c>
      <c r="AE24" s="88">
        <f t="shared" si="14"/>
        <v>0</v>
      </c>
      <c r="AF24" s="88">
        <f t="shared" si="14"/>
        <v>0</v>
      </c>
      <c r="AG24" s="88">
        <f t="shared" si="14"/>
        <v>0</v>
      </c>
      <c r="AH24" s="88">
        <f t="shared" si="14"/>
        <v>0</v>
      </c>
      <c r="AI24" s="88">
        <f t="shared" si="14"/>
        <v>0</v>
      </c>
      <c r="AJ24" s="88">
        <f t="shared" si="14"/>
        <v>0</v>
      </c>
      <c r="AK24" s="88">
        <f t="shared" si="14"/>
        <v>0</v>
      </c>
      <c r="AL24" s="88">
        <f t="shared" si="14"/>
        <v>0</v>
      </c>
      <c r="AM24" s="88">
        <f t="shared" si="14"/>
        <v>0</v>
      </c>
      <c r="AN24" s="88">
        <f t="shared" si="14"/>
        <v>0</v>
      </c>
      <c r="AO24" s="88">
        <f t="shared" si="14"/>
        <v>0</v>
      </c>
      <c r="AP24" s="88">
        <f t="shared" si="14"/>
        <v>0</v>
      </c>
      <c r="AQ24" s="88">
        <f t="shared" si="14"/>
        <v>0</v>
      </c>
      <c r="AR24" s="88">
        <f t="shared" si="14"/>
        <v>0</v>
      </c>
      <c r="AS24" s="88">
        <f t="shared" si="14"/>
        <v>0</v>
      </c>
      <c r="AT24" s="88">
        <f t="shared" si="14"/>
        <v>0</v>
      </c>
      <c r="AU24" s="88">
        <f t="shared" si="14"/>
        <v>0</v>
      </c>
      <c r="AV24" s="88">
        <f t="shared" si="14"/>
        <v>0</v>
      </c>
      <c r="AW24" s="88">
        <f t="shared" si="14"/>
        <v>0</v>
      </c>
      <c r="AX24" s="88">
        <f t="shared" si="14"/>
        <v>0</v>
      </c>
      <c r="AY24" s="88">
        <f t="shared" si="14"/>
        <v>0</v>
      </c>
      <c r="AZ24" s="88">
        <f t="shared" si="14"/>
        <v>0</v>
      </c>
      <c r="BA24" s="88">
        <f t="shared" si="14"/>
        <v>0</v>
      </c>
      <c r="BB24" s="88">
        <f t="shared" si="14"/>
        <v>0</v>
      </c>
      <c r="BC24" s="88">
        <f t="shared" ref="BC24" si="15">BB24</f>
        <v>0</v>
      </c>
      <c r="BD24" s="88">
        <f t="shared" ref="BD24" si="16">BC24</f>
        <v>0</v>
      </c>
      <c r="BE24" s="88">
        <f t="shared" ref="BE24" si="17">BD24</f>
        <v>0</v>
      </c>
      <c r="BF24" s="88">
        <f t="shared" ref="BF24" si="18">BE24</f>
        <v>0</v>
      </c>
      <c r="BG24" s="88">
        <f t="shared" ref="BG24" si="19">BF24</f>
        <v>0</v>
      </c>
    </row>
    <row r="25" spans="1:153" x14ac:dyDescent="0.2">
      <c r="P25" s="185"/>
    </row>
    <row r="26" spans="1:153" ht="18" x14ac:dyDescent="0.25">
      <c r="A26" s="77">
        <v>3</v>
      </c>
      <c r="B26" s="78" t="s">
        <v>169</v>
      </c>
      <c r="C26" s="79"/>
      <c r="D26" s="79"/>
      <c r="E26" s="79"/>
      <c r="F26" s="82"/>
      <c r="G26" s="82"/>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row>
    <row r="27" spans="1:153" s="81" customFormat="1" ht="12" customHeight="1" x14ac:dyDescent="0.2">
      <c r="A27" s="80"/>
    </row>
    <row r="28" spans="1:153" s="87" customFormat="1" x14ac:dyDescent="0.2">
      <c r="A28" s="186"/>
      <c r="B28" s="87" t="s">
        <v>287</v>
      </c>
      <c r="F28" s="87" t="s">
        <v>170</v>
      </c>
      <c r="G28" s="196">
        <v>8.7543651213491558E-2</v>
      </c>
      <c r="H28" s="103"/>
      <c r="I28" s="103"/>
      <c r="J28" s="105">
        <f t="shared" ref="J28:BG28" si="20">$G$28</f>
        <v>8.7543651213491558E-2</v>
      </c>
      <c r="K28" s="105">
        <f t="shared" si="20"/>
        <v>8.7543651213491558E-2</v>
      </c>
      <c r="L28" s="105">
        <f t="shared" si="20"/>
        <v>8.7543651213491558E-2</v>
      </c>
      <c r="M28" s="105">
        <f t="shared" si="20"/>
        <v>8.7543651213491558E-2</v>
      </c>
      <c r="N28" s="105">
        <f t="shared" si="20"/>
        <v>8.7543651213491558E-2</v>
      </c>
      <c r="O28" s="105">
        <f>$G$28</f>
        <v>8.7543651213491558E-2</v>
      </c>
      <c r="P28" s="105">
        <f t="shared" si="20"/>
        <v>8.7543651213491558E-2</v>
      </c>
      <c r="Q28" s="105">
        <f t="shared" si="20"/>
        <v>8.7543651213491558E-2</v>
      </c>
      <c r="R28" s="105">
        <f t="shared" si="20"/>
        <v>8.7543651213491558E-2</v>
      </c>
      <c r="S28" s="105">
        <f t="shared" si="20"/>
        <v>8.7543651213491558E-2</v>
      </c>
      <c r="T28" s="105">
        <f t="shared" si="20"/>
        <v>8.7543651213491558E-2</v>
      </c>
      <c r="U28" s="105">
        <f t="shared" si="20"/>
        <v>8.7543651213491558E-2</v>
      </c>
      <c r="V28" s="105">
        <f t="shared" si="20"/>
        <v>8.7543651213491558E-2</v>
      </c>
      <c r="W28" s="105">
        <f t="shared" si="20"/>
        <v>8.7543651213491558E-2</v>
      </c>
      <c r="X28" s="105">
        <f t="shared" si="20"/>
        <v>8.7543651213491558E-2</v>
      </c>
      <c r="Y28" s="105">
        <f t="shared" si="20"/>
        <v>8.7543651213491558E-2</v>
      </c>
      <c r="Z28" s="105">
        <f t="shared" si="20"/>
        <v>8.7543651213491558E-2</v>
      </c>
      <c r="AA28" s="105">
        <f t="shared" si="20"/>
        <v>8.7543651213491558E-2</v>
      </c>
      <c r="AB28" s="105">
        <f t="shared" si="20"/>
        <v>8.7543651213491558E-2</v>
      </c>
      <c r="AC28" s="105">
        <f t="shared" si="20"/>
        <v>8.7543651213491558E-2</v>
      </c>
      <c r="AD28" s="105">
        <f t="shared" si="20"/>
        <v>8.7543651213491558E-2</v>
      </c>
      <c r="AE28" s="105">
        <f t="shared" si="20"/>
        <v>8.7543651213491558E-2</v>
      </c>
      <c r="AF28" s="105">
        <f t="shared" si="20"/>
        <v>8.7543651213491558E-2</v>
      </c>
      <c r="AG28" s="105">
        <f t="shared" si="20"/>
        <v>8.7543651213491558E-2</v>
      </c>
      <c r="AH28" s="105">
        <f t="shared" si="20"/>
        <v>8.7543651213491558E-2</v>
      </c>
      <c r="AI28" s="105">
        <f t="shared" si="20"/>
        <v>8.7543651213491558E-2</v>
      </c>
      <c r="AJ28" s="105">
        <f t="shared" si="20"/>
        <v>8.7543651213491558E-2</v>
      </c>
      <c r="AK28" s="105">
        <f t="shared" si="20"/>
        <v>8.7543651213491558E-2</v>
      </c>
      <c r="AL28" s="105">
        <f t="shared" si="20"/>
        <v>8.7543651213491558E-2</v>
      </c>
      <c r="AM28" s="105">
        <f t="shared" si="20"/>
        <v>8.7543651213491558E-2</v>
      </c>
      <c r="AN28" s="105">
        <f t="shared" si="20"/>
        <v>8.7543651213491558E-2</v>
      </c>
      <c r="AO28" s="105">
        <f t="shared" si="20"/>
        <v>8.7543651213491558E-2</v>
      </c>
      <c r="AP28" s="105">
        <f t="shared" si="20"/>
        <v>8.7543651213491558E-2</v>
      </c>
      <c r="AQ28" s="105">
        <f t="shared" si="20"/>
        <v>8.7543651213491558E-2</v>
      </c>
      <c r="AR28" s="105">
        <f t="shared" si="20"/>
        <v>8.7543651213491558E-2</v>
      </c>
      <c r="AS28" s="105">
        <f t="shared" si="20"/>
        <v>8.7543651213491558E-2</v>
      </c>
      <c r="AT28" s="105">
        <f t="shared" si="20"/>
        <v>8.7543651213491558E-2</v>
      </c>
      <c r="AU28" s="105">
        <f t="shared" si="20"/>
        <v>8.7543651213491558E-2</v>
      </c>
      <c r="AV28" s="105">
        <f t="shared" si="20"/>
        <v>8.7543651213491558E-2</v>
      </c>
      <c r="AW28" s="105">
        <f t="shared" si="20"/>
        <v>8.7543651213491558E-2</v>
      </c>
      <c r="AX28" s="105">
        <f t="shared" si="20"/>
        <v>8.7543651213491558E-2</v>
      </c>
      <c r="AY28" s="105">
        <f t="shared" si="20"/>
        <v>8.7543651213491558E-2</v>
      </c>
      <c r="AZ28" s="105">
        <f t="shared" si="20"/>
        <v>8.7543651213491558E-2</v>
      </c>
      <c r="BA28" s="105">
        <f t="shared" si="20"/>
        <v>8.7543651213491558E-2</v>
      </c>
      <c r="BB28" s="105">
        <f t="shared" si="20"/>
        <v>8.7543651213491558E-2</v>
      </c>
      <c r="BC28" s="105">
        <f t="shared" si="20"/>
        <v>8.7543651213491558E-2</v>
      </c>
      <c r="BD28" s="105">
        <f t="shared" si="20"/>
        <v>8.7543651213491558E-2</v>
      </c>
      <c r="BE28" s="105">
        <f t="shared" si="20"/>
        <v>8.7543651213491558E-2</v>
      </c>
      <c r="BF28" s="105">
        <f t="shared" si="20"/>
        <v>8.7543651213491558E-2</v>
      </c>
      <c r="BG28" s="105">
        <f t="shared" si="20"/>
        <v>8.7543651213491558E-2</v>
      </c>
    </row>
    <row r="29" spans="1:153" s="90" customFormat="1" x14ac:dyDescent="0.2">
      <c r="B29" s="90" t="s">
        <v>288</v>
      </c>
      <c r="J29" s="112">
        <f>K29/(1+K28)</f>
        <v>0.6573043596240169</v>
      </c>
      <c r="K29" s="112">
        <f>L29/(1+L28)</f>
        <v>0.71484718322404917</v>
      </c>
      <c r="L29" s="112">
        <f>M29/(1+M28)</f>
        <v>0.77742751570316215</v>
      </c>
      <c r="M29" s="112">
        <f>N29/(1+N28)</f>
        <v>0.84548635898165092</v>
      </c>
      <c r="N29" s="112">
        <f>O29/(1+O28)</f>
        <v>0.91950332189810546</v>
      </c>
      <c r="O29" s="107">
        <v>1</v>
      </c>
      <c r="P29" s="112">
        <f t="shared" ref="P29:BB29" si="21">(1+P28)*O29</f>
        <v>1.0875436512134915</v>
      </c>
      <c r="Q29" s="112">
        <f t="shared" si="21"/>
        <v>1.1827511932947725</v>
      </c>
      <c r="R29" s="112">
        <f t="shared" si="21"/>
        <v>1.286293551232911</v>
      </c>
      <c r="S29" s="112">
        <f t="shared" si="21"/>
        <v>1.3989003852402084</v>
      </c>
      <c r="T29" s="112">
        <f t="shared" si="21"/>
        <v>1.5213652326480962</v>
      </c>
      <c r="U29" s="112">
        <f t="shared" si="21"/>
        <v>1.6545510999433735</v>
      </c>
      <c r="V29" s="112">
        <f t="shared" si="21"/>
        <v>1.7993965443517148</v>
      </c>
      <c r="W29" s="112">
        <f t="shared" si="21"/>
        <v>1.9569222878252033</v>
      </c>
      <c r="X29" s="112">
        <f t="shared" si="21"/>
        <v>2.1282384100424805</v>
      </c>
      <c r="Y29" s="112">
        <f t="shared" si="21"/>
        <v>2.3145521711103951</v>
      </c>
      <c r="Z29" s="112">
        <f t="shared" si="21"/>
        <v>2.5171765190935131</v>
      </c>
      <c r="AA29" s="112">
        <f t="shared" si="21"/>
        <v>2.7375393423238261</v>
      </c>
      <c r="AB29" s="112">
        <f t="shared" si="21"/>
        <v>2.9771935316914342</v>
      </c>
      <c r="AC29" s="112">
        <f t="shared" si="21"/>
        <v>3.2378279238248919</v>
      </c>
      <c r="AD29" s="112">
        <f t="shared" si="21"/>
        <v>3.5212792022775217</v>
      </c>
      <c r="AE29" s="112">
        <f t="shared" si="21"/>
        <v>3.8295448405870265</v>
      </c>
      <c r="AF29" s="112">
        <f t="shared" si="21"/>
        <v>4.1647971784178033</v>
      </c>
      <c r="AG29" s="112">
        <f t="shared" si="21"/>
        <v>4.5293987299801453</v>
      </c>
      <c r="AH29" s="112">
        <f t="shared" si="21"/>
        <v>4.9259188326043581</v>
      </c>
      <c r="AI29" s="112">
        <f t="shared" si="21"/>
        <v>5.3571517527918431</v>
      </c>
      <c r="AJ29" s="112">
        <f t="shared" si="21"/>
        <v>5.8261363773359971</v>
      </c>
      <c r="AK29" s="112">
        <f t="shared" si="21"/>
        <v>6.3361776282757347</v>
      </c>
      <c r="AL29" s="112">
        <f t="shared" si="21"/>
        <v>6.8908697525922333</v>
      </c>
      <c r="AM29" s="112">
        <f t="shared" si="21"/>
        <v>7.494121650770766</v>
      </c>
      <c r="AN29" s="112">
        <f t="shared" si="21"/>
        <v>8.1501844227173166</v>
      </c>
      <c r="AO29" s="112">
        <f t="shared" si="21"/>
        <v>8.863681325145313</v>
      </c>
      <c r="AP29" s="112">
        <f t="shared" si="21"/>
        <v>9.639640351541372</v>
      </c>
      <c r="AQ29" s="112">
        <f t="shared" si="21"/>
        <v>10.483529664300208</v>
      </c>
      <c r="AR29" s="112">
        <f t="shared" si="21"/>
        <v>11.401296128717998</v>
      </c>
      <c r="AS29" s="112">
        <f t="shared" si="21"/>
        <v>12.399407220392218</v>
      </c>
      <c r="AT29" s="112">
        <f t="shared" si="21"/>
        <v>13.484896601348282</v>
      </c>
      <c r="AU29" s="112">
        <f t="shared" si="21"/>
        <v>14.665413686066714</v>
      </c>
      <c r="AV29" s="112">
        <f t="shared" si="21"/>
        <v>15.949277546701303</v>
      </c>
      <c r="AW29" s="112">
        <f t="shared" si="21"/>
        <v>17.345535537356895</v>
      </c>
      <c r="AX29" s="112">
        <f t="shared" si="21"/>
        <v>18.86402705055049</v>
      </c>
      <c r="AY29" s="112">
        <f t="shared" si="21"/>
        <v>20.51545285514575</v>
      </c>
      <c r="AZ29" s="112">
        <f t="shared" si="21"/>
        <v>22.311450504383458</v>
      </c>
      <c r="BA29" s="112">
        <f t="shared" si="21"/>
        <v>24.264676345406283</v>
      </c>
      <c r="BB29" s="112">
        <f t="shared" si="21"/>
        <v>26.388894708196787</v>
      </c>
      <c r="BC29" s="112">
        <f t="shared" ref="BC29" si="22">(1+BC28)*BB29</f>
        <v>28.699074902440717</v>
      </c>
      <c r="BD29" s="112">
        <f t="shared" ref="BD29" si="23">(1+BD28)*BC29</f>
        <v>31.211496705849854</v>
      </c>
      <c r="BE29" s="112">
        <f t="shared" ref="BE29" si="24">(1+BE28)*BD29</f>
        <v>33.94386508731781</v>
      </c>
      <c r="BF29" s="112">
        <f t="shared" ref="BF29" si="25">(1+BF28)*BE29</f>
        <v>36.915434973359773</v>
      </c>
      <c r="BG29" s="112">
        <f t="shared" ref="BG29" si="26">(1+BG28)*BF29</f>
        <v>40.147146937061905</v>
      </c>
    </row>
    <row r="30" spans="1:153" s="90" customFormat="1" x14ac:dyDescent="0.2">
      <c r="B30" s="90" t="s">
        <v>289</v>
      </c>
      <c r="J30" s="112">
        <f t="shared" ref="J30:BB30" si="27">1/J29</f>
        <v>1.5213652326480958</v>
      </c>
      <c r="K30" s="112">
        <f t="shared" si="27"/>
        <v>1.398900385240208</v>
      </c>
      <c r="L30" s="112">
        <f t="shared" si="27"/>
        <v>1.2862935512329108</v>
      </c>
      <c r="M30" s="112">
        <f t="shared" si="27"/>
        <v>1.1827511932947725</v>
      </c>
      <c r="N30" s="112">
        <f t="shared" si="27"/>
        <v>1.0875436512134915</v>
      </c>
      <c r="O30" s="112">
        <f>1/O29</f>
        <v>1</v>
      </c>
      <c r="P30" s="112">
        <f t="shared" si="27"/>
        <v>0.91950332189810546</v>
      </c>
      <c r="Q30" s="112">
        <f t="shared" si="27"/>
        <v>0.84548635898165092</v>
      </c>
      <c r="R30" s="112">
        <f t="shared" si="27"/>
        <v>0.77742751570316204</v>
      </c>
      <c r="S30" s="112">
        <f t="shared" si="27"/>
        <v>0.71484718322404894</v>
      </c>
      <c r="T30" s="112">
        <f t="shared" si="27"/>
        <v>0.65730435962401668</v>
      </c>
      <c r="U30" s="112">
        <f t="shared" si="27"/>
        <v>0.60439354217239027</v>
      </c>
      <c r="V30" s="112">
        <f t="shared" si="27"/>
        <v>0.5557418697612756</v>
      </c>
      <c r="W30" s="112">
        <f t="shared" si="27"/>
        <v>0.51100649536335718</v>
      </c>
      <c r="X30" s="112">
        <f t="shared" si="27"/>
        <v>0.46987216999811576</v>
      </c>
      <c r="Y30" s="112">
        <f t="shared" si="27"/>
        <v>0.43204902118073879</v>
      </c>
      <c r="Z30" s="112">
        <f t="shared" si="27"/>
        <v>0.39727051019851423</v>
      </c>
      <c r="AA30" s="112">
        <f t="shared" si="27"/>
        <v>0.36529155381968903</v>
      </c>
      <c r="AB30" s="112">
        <f t="shared" si="27"/>
        <v>0.3358867971985246</v>
      </c>
      <c r="AC30" s="112">
        <f t="shared" si="27"/>
        <v>0.30884902580575863</v>
      </c>
      <c r="AD30" s="112">
        <f t="shared" si="27"/>
        <v>0.28398770519338878</v>
      </c>
      <c r="AE30" s="112">
        <f t="shared" si="27"/>
        <v>0.26112763830354085</v>
      </c>
      <c r="AF30" s="112">
        <f t="shared" si="27"/>
        <v>0.24010773085951276</v>
      </c>
      <c r="AG30" s="112">
        <f t="shared" si="27"/>
        <v>0.22077985613873821</v>
      </c>
      <c r="AH30" s="112">
        <f t="shared" si="27"/>
        <v>0.20300781112775562</v>
      </c>
      <c r="AI30" s="112">
        <f t="shared" si="27"/>
        <v>0.18666635670323448</v>
      </c>
      <c r="AJ30" s="112">
        <f t="shared" si="27"/>
        <v>0.17164033507524079</v>
      </c>
      <c r="AK30" s="112">
        <f t="shared" si="27"/>
        <v>0.1578238582733878</v>
      </c>
      <c r="AL30" s="112">
        <f t="shared" si="27"/>
        <v>0.14511956195715589</v>
      </c>
      <c r="AM30" s="112">
        <f t="shared" si="27"/>
        <v>0.13343791929200277</v>
      </c>
      <c r="AN30" s="112">
        <f t="shared" si="27"/>
        <v>0.12269661005616785</v>
      </c>
      <c r="AO30" s="112">
        <f t="shared" si="27"/>
        <v>0.11281994053228282</v>
      </c>
      <c r="AP30" s="112">
        <f t="shared" si="27"/>
        <v>0.10373831009578077</v>
      </c>
      <c r="AQ30" s="112">
        <f t="shared" si="27"/>
        <v>9.5387720741166193E-2</v>
      </c>
      <c r="AR30" s="112">
        <f t="shared" si="27"/>
        <v>8.7709326089791123E-2</v>
      </c>
      <c r="AS30" s="112">
        <f t="shared" si="27"/>
        <v>8.0649016701007104E-2</v>
      </c>
      <c r="AT30" s="112">
        <f t="shared" si="27"/>
        <v>7.4157038764391808E-2</v>
      </c>
      <c r="AU30" s="112">
        <f t="shared" si="27"/>
        <v>6.8187643485984856E-2</v>
      </c>
      <c r="AV30" s="112">
        <f t="shared" si="27"/>
        <v>6.2698764697766779E-2</v>
      </c>
      <c r="AW30" s="112">
        <f t="shared" si="27"/>
        <v>5.7651722418504213E-2</v>
      </c>
      <c r="AX30" s="112">
        <f t="shared" si="27"/>
        <v>5.30109502769621E-2</v>
      </c>
      <c r="AY30" s="112">
        <f t="shared" si="27"/>
        <v>4.8743744876641945E-2</v>
      </c>
      <c r="AZ30" s="112">
        <f t="shared" si="27"/>
        <v>4.4820035335826028E-2</v>
      </c>
      <c r="BA30" s="112">
        <f t="shared" si="27"/>
        <v>4.1212171378882501E-2</v>
      </c>
      <c r="BB30" s="112">
        <f t="shared" si="27"/>
        <v>3.7894728485516484E-2</v>
      </c>
      <c r="BC30" s="112">
        <f t="shared" ref="BC30:BG30" si="28">1/BC29</f>
        <v>3.4844328724859173E-2</v>
      </c>
      <c r="BD30" s="112">
        <f t="shared" si="28"/>
        <v>3.2039476011817586E-2</v>
      </c>
      <c r="BE30" s="112">
        <f t="shared" si="28"/>
        <v>2.9460404624740935E-2</v>
      </c>
      <c r="BF30" s="112">
        <f t="shared" si="28"/>
        <v>2.7088939916911598E-2</v>
      </c>
      <c r="BG30" s="112">
        <f t="shared" si="28"/>
        <v>2.4908370240298405E-2</v>
      </c>
      <c r="BH30" s="39" t="s">
        <v>254</v>
      </c>
    </row>
    <row r="31" spans="1:153" x14ac:dyDescent="0.2">
      <c r="F31" s="90"/>
      <c r="G31" s="90"/>
      <c r="H31" s="90"/>
      <c r="I31" s="90"/>
      <c r="J31" s="90"/>
      <c r="K31" s="90"/>
      <c r="O31" s="94"/>
    </row>
    <row r="32" spans="1:153" x14ac:dyDescent="0.2">
      <c r="F32" s="90"/>
      <c r="G32" s="90"/>
      <c r="H32" s="90"/>
      <c r="I32" s="90"/>
      <c r="J32" s="90"/>
      <c r="K32" s="90"/>
      <c r="L32" s="90"/>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89999084444715716"/>
    <pageSetUpPr autoPageBreaks="0"/>
  </sheetPr>
  <dimension ref="A1:Q152"/>
  <sheetViews>
    <sheetView defaultGridColor="0" colorId="22" zoomScale="80" zoomScaleNormal="80" workbookViewId="0">
      <pane ySplit="5" topLeftCell="A6" activePane="bottomLeft" state="frozen"/>
      <selection pane="bottomLeft"/>
    </sheetView>
  </sheetViews>
  <sheetFormatPr baseColWidth="10" defaultColWidth="12.7109375" defaultRowHeight="12" x14ac:dyDescent="0.2"/>
  <cols>
    <col min="1" max="1" width="6.7109375" customWidth="1"/>
    <col min="2" max="2" width="5.140625" customWidth="1"/>
    <col min="3" max="3" width="6.140625" customWidth="1"/>
    <col min="4" max="4" width="7" customWidth="1"/>
    <col min="5" max="5" width="26.42578125" customWidth="1"/>
    <col min="6" max="6" width="9.42578125" customWidth="1"/>
    <col min="7" max="7" width="14.28515625" customWidth="1"/>
    <col min="8" max="8" width="14.42578125" bestFit="1" customWidth="1"/>
  </cols>
  <sheetData>
    <row r="1" spans="2:14" s="71" customFormat="1" ht="33.75" customHeight="1" x14ac:dyDescent="0.2">
      <c r="D1" s="72" t="s">
        <v>120</v>
      </c>
      <c r="N1" s="71" t="s">
        <v>104</v>
      </c>
    </row>
    <row r="3" spans="2:14" x14ac:dyDescent="0.2">
      <c r="B3" t="s">
        <v>176</v>
      </c>
      <c r="F3" s="89">
        <v>12</v>
      </c>
      <c r="G3" s="42" t="s">
        <v>252</v>
      </c>
    </row>
    <row r="5" spans="2:14" ht="15.75" x14ac:dyDescent="0.2">
      <c r="B5" s="179" t="s">
        <v>145</v>
      </c>
      <c r="C5" s="74"/>
      <c r="D5" s="75"/>
      <c r="E5" s="75"/>
      <c r="F5" s="76" t="s">
        <v>129</v>
      </c>
      <c r="G5" s="76" t="s">
        <v>124</v>
      </c>
      <c r="H5" s="76" t="s">
        <v>147</v>
      </c>
      <c r="I5" s="76" t="s">
        <v>144</v>
      </c>
      <c r="J5" s="76" t="s">
        <v>148</v>
      </c>
      <c r="K5" s="76" t="s">
        <v>149</v>
      </c>
    </row>
    <row r="7" spans="2:14" ht="15" x14ac:dyDescent="0.2">
      <c r="B7" s="93" t="s">
        <v>141</v>
      </c>
      <c r="J7" s="42" t="s">
        <v>264</v>
      </c>
    </row>
    <row r="8" spans="2:14" x14ac:dyDescent="0.2">
      <c r="C8" t="s">
        <v>154</v>
      </c>
      <c r="G8" t="s">
        <v>139</v>
      </c>
      <c r="H8" s="164">
        <v>20000000</v>
      </c>
      <c r="I8" s="42" t="s">
        <v>266</v>
      </c>
      <c r="J8" s="98">
        <v>15000000</v>
      </c>
      <c r="K8" t="s">
        <v>162</v>
      </c>
    </row>
    <row r="9" spans="2:14" x14ac:dyDescent="0.2">
      <c r="C9" t="s">
        <v>249</v>
      </c>
      <c r="G9" t="s">
        <v>250</v>
      </c>
      <c r="H9" s="160">
        <v>10</v>
      </c>
      <c r="I9" s="42" t="s">
        <v>273</v>
      </c>
    </row>
    <row r="10" spans="2:14" x14ac:dyDescent="0.2">
      <c r="C10" t="s">
        <v>251</v>
      </c>
      <c r="G10" t="s">
        <v>140</v>
      </c>
      <c r="H10" s="129">
        <v>0.7</v>
      </c>
      <c r="I10" s="42" t="s">
        <v>267</v>
      </c>
    </row>
    <row r="11" spans="2:14" x14ac:dyDescent="0.2">
      <c r="C11" t="s">
        <v>255</v>
      </c>
      <c r="G11" t="s">
        <v>140</v>
      </c>
      <c r="H11" s="129">
        <v>0.12</v>
      </c>
      <c r="I11" s="182" t="s">
        <v>268</v>
      </c>
    </row>
    <row r="13" spans="2:14" ht="15" x14ac:dyDescent="0.2">
      <c r="B13" s="93" t="s">
        <v>153</v>
      </c>
      <c r="J13" s="42" t="s">
        <v>265</v>
      </c>
    </row>
    <row r="14" spans="2:14" ht="12" customHeight="1" x14ac:dyDescent="0.2">
      <c r="C14" t="s">
        <v>160</v>
      </c>
      <c r="G14" t="s">
        <v>139</v>
      </c>
      <c r="H14" s="98">
        <v>60000000</v>
      </c>
      <c r="I14" s="42" t="s">
        <v>269</v>
      </c>
      <c r="J14" s="98">
        <v>15000000</v>
      </c>
      <c r="K14" t="s">
        <v>162</v>
      </c>
      <c r="L14" s="2"/>
      <c r="N14" s="2"/>
    </row>
    <row r="15" spans="2:14" x14ac:dyDescent="0.2">
      <c r="C15" t="s">
        <v>249</v>
      </c>
      <c r="G15" t="s">
        <v>250</v>
      </c>
      <c r="H15" s="160">
        <v>10</v>
      </c>
      <c r="I15" s="42" t="s">
        <v>274</v>
      </c>
    </row>
    <row r="16" spans="2:14" x14ac:dyDescent="0.2">
      <c r="C16" t="s">
        <v>251</v>
      </c>
      <c r="G16" t="s">
        <v>140</v>
      </c>
      <c r="H16" s="129">
        <v>0.7</v>
      </c>
      <c r="I16" s="42" t="s">
        <v>270</v>
      </c>
    </row>
    <row r="17" spans="2:11" x14ac:dyDescent="0.2">
      <c r="C17" t="s">
        <v>255</v>
      </c>
      <c r="G17" t="s">
        <v>140</v>
      </c>
      <c r="H17" s="129">
        <v>0.12</v>
      </c>
      <c r="I17" s="182" t="s">
        <v>271</v>
      </c>
    </row>
    <row r="19" spans="2:11" ht="15" x14ac:dyDescent="0.2">
      <c r="B19" s="93" t="s">
        <v>143</v>
      </c>
    </row>
    <row r="21" spans="2:11" x14ac:dyDescent="0.2">
      <c r="C21" t="s">
        <v>246</v>
      </c>
      <c r="G21" t="s">
        <v>139</v>
      </c>
      <c r="H21" s="127">
        <v>2.23</v>
      </c>
      <c r="I21" s="182" t="s">
        <v>272</v>
      </c>
      <c r="K21" s="156" t="s">
        <v>260</v>
      </c>
    </row>
    <row r="22" spans="2:11" x14ac:dyDescent="0.2">
      <c r="K22" s="95" t="s">
        <v>198</v>
      </c>
    </row>
    <row r="23" spans="2:11" ht="15" x14ac:dyDescent="0.2">
      <c r="B23" s="93" t="s">
        <v>146</v>
      </c>
    </row>
    <row r="25" spans="2:11" x14ac:dyDescent="0.2">
      <c r="C25" s="91" t="s">
        <v>221</v>
      </c>
    </row>
    <row r="27" spans="2:11" x14ac:dyDescent="0.2">
      <c r="F27" s="76" t="s">
        <v>190</v>
      </c>
      <c r="G27" s="76" t="s">
        <v>191</v>
      </c>
      <c r="H27" s="76" t="s">
        <v>195</v>
      </c>
      <c r="I27" s="76" t="s">
        <v>192</v>
      </c>
    </row>
    <row r="28" spans="2:11" x14ac:dyDescent="0.2">
      <c r="F28" s="124" t="s">
        <v>309</v>
      </c>
      <c r="G28" s="125">
        <v>5000</v>
      </c>
      <c r="H28" s="127">
        <v>689</v>
      </c>
      <c r="I28" s="126">
        <f>H28/G28</f>
        <v>0.13780000000000001</v>
      </c>
    </row>
    <row r="29" spans="2:11" x14ac:dyDescent="0.2">
      <c r="F29" s="124" t="s">
        <v>306</v>
      </c>
      <c r="G29" s="125">
        <v>5000</v>
      </c>
      <c r="H29" s="127">
        <v>769</v>
      </c>
      <c r="I29" s="126">
        <f>H29/G29</f>
        <v>0.15379999999999999</v>
      </c>
    </row>
    <row r="30" spans="2:11" x14ac:dyDescent="0.2">
      <c r="F30" s="124" t="s">
        <v>310</v>
      </c>
      <c r="G30" s="125">
        <v>5000</v>
      </c>
      <c r="H30" s="127">
        <v>850</v>
      </c>
      <c r="I30" s="126">
        <f>H30/G30</f>
        <v>0.17</v>
      </c>
    </row>
    <row r="31" spans="2:11" x14ac:dyDescent="0.2">
      <c r="F31" s="124" t="s">
        <v>311</v>
      </c>
      <c r="G31" s="125">
        <v>200000</v>
      </c>
      <c r="H31" s="127">
        <v>26999</v>
      </c>
      <c r="I31" s="126">
        <f>H31/G31</f>
        <v>0.134995</v>
      </c>
    </row>
    <row r="32" spans="2:11" x14ac:dyDescent="0.2">
      <c r="F32" s="154" t="s">
        <v>193</v>
      </c>
      <c r="G32" s="116"/>
      <c r="H32" s="116"/>
      <c r="I32" s="128">
        <f>AVERAGE(I28:I31)</f>
        <v>0.14914875</v>
      </c>
    </row>
    <row r="35" spans="3:9" x14ac:dyDescent="0.2">
      <c r="C35" s="147" t="s">
        <v>222</v>
      </c>
      <c r="G35" t="s">
        <v>140</v>
      </c>
      <c r="H35" s="153">
        <v>0.5</v>
      </c>
    </row>
    <row r="36" spans="3:9" x14ac:dyDescent="0.2">
      <c r="C36" s="147" t="s">
        <v>191</v>
      </c>
      <c r="G36" t="s">
        <v>139</v>
      </c>
      <c r="H36" s="126">
        <f>I32*(1-H35)</f>
        <v>7.4574374999999998E-2</v>
      </c>
      <c r="I36" s="182" t="s">
        <v>291</v>
      </c>
    </row>
    <row r="38" spans="3:9" x14ac:dyDescent="0.2">
      <c r="C38" s="91" t="s">
        <v>194</v>
      </c>
    </row>
    <row r="40" spans="3:9" x14ac:dyDescent="0.2">
      <c r="F40" s="76" t="s">
        <v>190</v>
      </c>
      <c r="G40" s="76" t="s">
        <v>194</v>
      </c>
      <c r="H40" s="76" t="s">
        <v>195</v>
      </c>
      <c r="I40" s="76" t="s">
        <v>192</v>
      </c>
    </row>
    <row r="41" spans="3:9" x14ac:dyDescent="0.2">
      <c r="F41" s="124" t="s">
        <v>308</v>
      </c>
      <c r="G41" s="125">
        <v>500</v>
      </c>
      <c r="H41" s="127">
        <v>264</v>
      </c>
      <c r="I41" s="126">
        <f>H41/G41</f>
        <v>0.52800000000000002</v>
      </c>
    </row>
    <row r="42" spans="3:9" x14ac:dyDescent="0.2">
      <c r="F42" s="124" t="s">
        <v>307</v>
      </c>
      <c r="G42" s="125">
        <v>1000</v>
      </c>
      <c r="H42" s="127">
        <v>529</v>
      </c>
      <c r="I42" s="126">
        <f>H42/G42</f>
        <v>0.52900000000000003</v>
      </c>
    </row>
    <row r="43" spans="3:9" x14ac:dyDescent="0.2">
      <c r="F43" s="124" t="s">
        <v>196</v>
      </c>
      <c r="G43" s="125">
        <v>500</v>
      </c>
      <c r="H43" s="127">
        <v>260</v>
      </c>
      <c r="I43" s="126">
        <f>H43/G43</f>
        <v>0.52</v>
      </c>
    </row>
    <row r="44" spans="3:9" x14ac:dyDescent="0.2">
      <c r="F44" s="154" t="s">
        <v>193</v>
      </c>
      <c r="G44" s="116"/>
      <c r="H44" s="116"/>
      <c r="I44" s="128">
        <f>AVERAGE(I41:I43)</f>
        <v>0.52566666666666662</v>
      </c>
    </row>
    <row r="47" spans="3:9" x14ac:dyDescent="0.2">
      <c r="C47" s="147" t="s">
        <v>222</v>
      </c>
      <c r="G47" t="s">
        <v>140</v>
      </c>
      <c r="H47" s="153">
        <v>0.5</v>
      </c>
    </row>
    <row r="48" spans="3:9" x14ac:dyDescent="0.2">
      <c r="C48" s="147" t="s">
        <v>194</v>
      </c>
      <c r="G48" t="s">
        <v>139</v>
      </c>
      <c r="H48" s="126">
        <f>I44*(1-H47)</f>
        <v>0.26283333333333331</v>
      </c>
      <c r="I48" s="182" t="s">
        <v>292</v>
      </c>
    </row>
    <row r="51" spans="3:17" x14ac:dyDescent="0.2">
      <c r="C51" s="91" t="s">
        <v>223</v>
      </c>
    </row>
    <row r="52" spans="3:17" x14ac:dyDescent="0.2">
      <c r="J52" s="42" t="s">
        <v>277</v>
      </c>
      <c r="M52" s="156" t="s">
        <v>230</v>
      </c>
    </row>
    <row r="53" spans="3:17" x14ac:dyDescent="0.2">
      <c r="C53" s="147" t="s">
        <v>136</v>
      </c>
      <c r="G53" t="s">
        <v>139</v>
      </c>
      <c r="H53" s="125">
        <v>950000</v>
      </c>
      <c r="I53" s="42"/>
      <c r="J53" s="125">
        <v>2000000</v>
      </c>
      <c r="K53" t="s">
        <v>276</v>
      </c>
    </row>
    <row r="54" spans="3:17" ht="11.65" customHeight="1" x14ac:dyDescent="0.2">
      <c r="C54" s="147" t="s">
        <v>233</v>
      </c>
      <c r="G54" t="s">
        <v>241</v>
      </c>
      <c r="H54" s="10">
        <v>17680</v>
      </c>
      <c r="I54" s="42"/>
      <c r="J54" s="11">
        <f>J53</f>
        <v>2000000</v>
      </c>
      <c r="K54" t="s">
        <v>276</v>
      </c>
      <c r="M54" s="155" t="s">
        <v>224</v>
      </c>
    </row>
    <row r="55" spans="3:17" ht="11.65" customHeight="1" x14ac:dyDescent="0.2">
      <c r="C55" s="147"/>
      <c r="I55" s="42"/>
      <c r="M55" s="155" t="s">
        <v>225</v>
      </c>
    </row>
    <row r="56" spans="3:17" x14ac:dyDescent="0.2">
      <c r="C56" s="147" t="s">
        <v>237</v>
      </c>
      <c r="I56" s="182"/>
      <c r="M56" s="155" t="s">
        <v>226</v>
      </c>
    </row>
    <row r="57" spans="3:17" x14ac:dyDescent="0.2">
      <c r="C57" s="157" t="s">
        <v>228</v>
      </c>
      <c r="G57" t="s">
        <v>242</v>
      </c>
      <c r="H57" s="127">
        <v>0.98207999999999995</v>
      </c>
      <c r="I57" s="42" t="s">
        <v>286</v>
      </c>
      <c r="M57" s="155" t="s">
        <v>227</v>
      </c>
    </row>
    <row r="58" spans="3:17" x14ac:dyDescent="0.2">
      <c r="C58" s="157" t="s">
        <v>229</v>
      </c>
      <c r="G58" t="s">
        <v>242</v>
      </c>
      <c r="H58" s="127">
        <v>0.21542399999999998</v>
      </c>
    </row>
    <row r="59" spans="3:17" ht="11.65" customHeight="1" x14ac:dyDescent="0.2">
      <c r="C59" s="157"/>
      <c r="M59" s="200" t="s">
        <v>290</v>
      </c>
      <c r="N59" s="200"/>
      <c r="O59" s="200"/>
      <c r="P59" s="200"/>
      <c r="Q59" s="200"/>
    </row>
    <row r="60" spans="3:17" x14ac:dyDescent="0.2">
      <c r="C60" s="147" t="s">
        <v>249</v>
      </c>
      <c r="G60" t="s">
        <v>250</v>
      </c>
      <c r="H60" s="160">
        <v>5</v>
      </c>
      <c r="I60" s="42" t="s">
        <v>280</v>
      </c>
      <c r="M60" s="200"/>
      <c r="N60" s="200"/>
      <c r="O60" s="200"/>
      <c r="P60" s="200"/>
      <c r="Q60" s="200"/>
    </row>
    <row r="61" spans="3:17" x14ac:dyDescent="0.2">
      <c r="C61" s="147" t="s">
        <v>251</v>
      </c>
      <c r="G61" t="s">
        <v>140</v>
      </c>
      <c r="H61" s="129">
        <v>0.7</v>
      </c>
      <c r="I61" s="42" t="s">
        <v>281</v>
      </c>
      <c r="M61" s="200"/>
      <c r="N61" s="200"/>
      <c r="O61" s="200"/>
      <c r="P61" s="200"/>
      <c r="Q61" s="200"/>
    </row>
    <row r="62" spans="3:17" x14ac:dyDescent="0.2">
      <c r="M62" s="200"/>
      <c r="N62" s="200"/>
      <c r="O62" s="200"/>
      <c r="P62" s="200"/>
      <c r="Q62" s="200"/>
    </row>
    <row r="63" spans="3:17" x14ac:dyDescent="0.2">
      <c r="C63" s="91" t="s">
        <v>231</v>
      </c>
      <c r="M63" s="200"/>
      <c r="N63" s="200"/>
      <c r="O63" s="200"/>
      <c r="P63" s="200"/>
      <c r="Q63" s="200"/>
    </row>
    <row r="64" spans="3:17" x14ac:dyDescent="0.2">
      <c r="J64" s="42" t="s">
        <v>278</v>
      </c>
      <c r="M64" s="200"/>
      <c r="N64" s="200"/>
      <c r="O64" s="200"/>
      <c r="P64" s="200"/>
      <c r="Q64" s="200"/>
    </row>
    <row r="65" spans="3:17" x14ac:dyDescent="0.2">
      <c r="C65" s="147" t="s">
        <v>136</v>
      </c>
      <c r="G65" t="s">
        <v>139</v>
      </c>
      <c r="H65" s="125">
        <v>253000</v>
      </c>
      <c r="J65" s="159">
        <f>$J$53</f>
        <v>2000000</v>
      </c>
      <c r="K65" t="s">
        <v>276</v>
      </c>
      <c r="M65" s="200"/>
      <c r="N65" s="200"/>
      <c r="O65" s="200"/>
      <c r="P65" s="200"/>
      <c r="Q65" s="200"/>
    </row>
    <row r="66" spans="3:17" x14ac:dyDescent="0.2">
      <c r="C66" s="147" t="s">
        <v>233</v>
      </c>
      <c r="G66" t="s">
        <v>241</v>
      </c>
      <c r="H66" s="150">
        <f>H54/H53*H65</f>
        <v>4708.4631578947365</v>
      </c>
      <c r="I66" s="42"/>
      <c r="J66" s="159">
        <f>$J$53</f>
        <v>2000000</v>
      </c>
      <c r="K66" t="s">
        <v>276</v>
      </c>
    </row>
    <row r="67" spans="3:17" x14ac:dyDescent="0.2">
      <c r="C67" s="147"/>
      <c r="H67" s="176"/>
    </row>
    <row r="68" spans="3:17" x14ac:dyDescent="0.2">
      <c r="C68" s="147" t="s">
        <v>249</v>
      </c>
      <c r="G68" t="s">
        <v>250</v>
      </c>
      <c r="H68" s="160">
        <v>5</v>
      </c>
      <c r="I68" s="42" t="s">
        <v>279</v>
      </c>
    </row>
    <row r="69" spans="3:17" x14ac:dyDescent="0.2">
      <c r="C69" s="147" t="s">
        <v>251</v>
      </c>
      <c r="G69" t="s">
        <v>140</v>
      </c>
      <c r="H69" s="129">
        <v>0.7</v>
      </c>
      <c r="I69" s="42" t="s">
        <v>282</v>
      </c>
    </row>
    <row r="71" spans="3:17" x14ac:dyDescent="0.2">
      <c r="C71" s="91" t="s">
        <v>232</v>
      </c>
    </row>
    <row r="73" spans="3:17" x14ac:dyDescent="0.2">
      <c r="C73" s="147" t="s">
        <v>234</v>
      </c>
      <c r="G73" t="s">
        <v>140</v>
      </c>
      <c r="H73" s="153">
        <v>0.05</v>
      </c>
      <c r="M73" s="156" t="s">
        <v>235</v>
      </c>
    </row>
    <row r="74" spans="3:17" x14ac:dyDescent="0.2">
      <c r="M74" s="124" t="s">
        <v>236</v>
      </c>
    </row>
    <row r="75" spans="3:17" x14ac:dyDescent="0.2">
      <c r="C75" s="91" t="s">
        <v>243</v>
      </c>
      <c r="G75" t="s">
        <v>245</v>
      </c>
      <c r="H75" s="150">
        <f>H54*(1+H73)*months.per.year</f>
        <v>222768</v>
      </c>
      <c r="I75" s="42" t="s">
        <v>283</v>
      </c>
    </row>
    <row r="76" spans="3:17" x14ac:dyDescent="0.2">
      <c r="C76" s="91" t="s">
        <v>244</v>
      </c>
      <c r="G76" t="s">
        <v>245</v>
      </c>
      <c r="H76" s="150">
        <f>H66*(1+H73)*months.per.year</f>
        <v>59326.635789473687</v>
      </c>
      <c r="I76" s="42" t="s">
        <v>284</v>
      </c>
    </row>
    <row r="78" spans="3:17" x14ac:dyDescent="0.2">
      <c r="C78" s="91" t="s">
        <v>238</v>
      </c>
    </row>
    <row r="80" spans="3:17" x14ac:dyDescent="0.2">
      <c r="C80" s="147" t="s">
        <v>239</v>
      </c>
      <c r="G80" t="s">
        <v>139</v>
      </c>
      <c r="H80" s="125">
        <v>30000</v>
      </c>
      <c r="I80" s="42"/>
    </row>
    <row r="81" spans="1:15" x14ac:dyDescent="0.2">
      <c r="C81" s="147" t="s">
        <v>240</v>
      </c>
      <c r="H81" s="125">
        <v>1</v>
      </c>
      <c r="I81" s="42" t="s">
        <v>262</v>
      </c>
    </row>
    <row r="82" spans="1:15" x14ac:dyDescent="0.2">
      <c r="C82" s="147" t="s">
        <v>261</v>
      </c>
      <c r="G82" t="s">
        <v>245</v>
      </c>
      <c r="H82" s="150">
        <f>H80*months.per.year</f>
        <v>360000</v>
      </c>
      <c r="I82" s="42" t="s">
        <v>263</v>
      </c>
    </row>
    <row r="84" spans="1:15" x14ac:dyDescent="0.2">
      <c r="C84" s="91" t="s">
        <v>293</v>
      </c>
      <c r="G84" t="s">
        <v>126</v>
      </c>
      <c r="H84" s="183">
        <v>2.5</v>
      </c>
      <c r="I84" s="42" t="s">
        <v>294</v>
      </c>
    </row>
    <row r="86" spans="1:15" ht="15" x14ac:dyDescent="0.2">
      <c r="B86" s="93" t="s">
        <v>150</v>
      </c>
    </row>
    <row r="88" spans="1:15" x14ac:dyDescent="0.2">
      <c r="C88" t="s">
        <v>208</v>
      </c>
    </row>
    <row r="89" spans="1:15" x14ac:dyDescent="0.2">
      <c r="D89" t="s">
        <v>211</v>
      </c>
    </row>
    <row r="90" spans="1:15" x14ac:dyDescent="0.2">
      <c r="A90" s="42"/>
      <c r="D90" s="147" t="s">
        <v>209</v>
      </c>
      <c r="H90" s="130">
        <v>1.8499999999999999E-2</v>
      </c>
      <c r="I90" s="42"/>
      <c r="O90" s="95" t="s">
        <v>199</v>
      </c>
    </row>
    <row r="91" spans="1:15" x14ac:dyDescent="0.2">
      <c r="A91" s="42"/>
      <c r="D91" s="147" t="s">
        <v>210</v>
      </c>
      <c r="H91" s="130">
        <v>1.41E-2</v>
      </c>
      <c r="I91" s="42"/>
      <c r="O91" s="95" t="s">
        <v>200</v>
      </c>
    </row>
    <row r="93" spans="1:15" x14ac:dyDescent="0.2">
      <c r="D93" t="s">
        <v>219</v>
      </c>
      <c r="H93" s="76" t="s">
        <v>301</v>
      </c>
      <c r="I93" s="76" t="s">
        <v>302</v>
      </c>
      <c r="J93" s="76" t="s">
        <v>303</v>
      </c>
      <c r="K93" s="76" t="s">
        <v>304</v>
      </c>
      <c r="L93" s="76" t="s">
        <v>96</v>
      </c>
      <c r="M93" s="76" t="s">
        <v>220</v>
      </c>
    </row>
    <row r="94" spans="1:15" x14ac:dyDescent="0.2">
      <c r="A94" s="42"/>
      <c r="D94" s="147" t="s">
        <v>209</v>
      </c>
      <c r="H94" s="125">
        <v>17386946</v>
      </c>
      <c r="I94" s="125">
        <v>21612585</v>
      </c>
      <c r="J94" s="125">
        <v>24253769</v>
      </c>
      <c r="K94" s="125">
        <v>24143505</v>
      </c>
      <c r="L94" s="151">
        <f>SUM(H94:K94)</f>
        <v>87396805</v>
      </c>
      <c r="M94" s="158">
        <f>L94/$L$96</f>
        <v>0.43903759701779493</v>
      </c>
      <c r="O94" s="95" t="s">
        <v>213</v>
      </c>
    </row>
    <row r="95" spans="1:15" x14ac:dyDescent="0.2">
      <c r="A95" s="42"/>
      <c r="D95" s="147" t="s">
        <v>210</v>
      </c>
      <c r="H95" s="125">
        <v>21649042</v>
      </c>
      <c r="I95" s="125">
        <v>24894956</v>
      </c>
      <c r="J95" s="125">
        <v>31376841</v>
      </c>
      <c r="K95" s="125">
        <v>33746868</v>
      </c>
      <c r="L95" s="151">
        <f>SUM(H95:K95)</f>
        <v>111667707</v>
      </c>
      <c r="M95" s="158">
        <f>L95/$L$96</f>
        <v>0.56096240298220512</v>
      </c>
    </row>
    <row r="96" spans="1:15" x14ac:dyDescent="0.2">
      <c r="D96" s="147" t="s">
        <v>96</v>
      </c>
      <c r="H96" s="150">
        <f>SUM(H94:H95)</f>
        <v>39035988</v>
      </c>
      <c r="I96" s="150">
        <f>SUM(I94:I95)</f>
        <v>46507541</v>
      </c>
      <c r="J96" s="150">
        <f>SUM(J94:J95)</f>
        <v>55630610</v>
      </c>
      <c r="K96" s="150">
        <f>SUM(K94:K95)</f>
        <v>57890373</v>
      </c>
      <c r="L96" s="150">
        <f>SUM(L94:L95)</f>
        <v>199064512</v>
      </c>
    </row>
    <row r="98" spans="3:9" x14ac:dyDescent="0.2">
      <c r="D98" t="s">
        <v>212</v>
      </c>
    </row>
    <row r="99" spans="3:9" x14ac:dyDescent="0.2">
      <c r="D99" s="147" t="s">
        <v>209</v>
      </c>
      <c r="H99" s="152">
        <f>M94</f>
        <v>0.43903759701779493</v>
      </c>
    </row>
    <row r="100" spans="3:9" x14ac:dyDescent="0.2">
      <c r="D100" s="147" t="s">
        <v>210</v>
      </c>
      <c r="H100" s="152">
        <f>M95</f>
        <v>0.56096240298220512</v>
      </c>
    </row>
    <row r="102" spans="3:9" x14ac:dyDescent="0.2">
      <c r="D102" t="s">
        <v>214</v>
      </c>
      <c r="H102" s="148">
        <f>SUMPRODUCT(H90:H91,H99:H100)</f>
        <v>1.60317654268783E-2</v>
      </c>
    </row>
    <row r="104" spans="3:9" x14ac:dyDescent="0.2">
      <c r="C104" t="s">
        <v>204</v>
      </c>
    </row>
    <row r="105" spans="3:9" x14ac:dyDescent="0.2">
      <c r="D105" t="s">
        <v>215</v>
      </c>
      <c r="H105" s="149">
        <f>$H$102</f>
        <v>1.60317654268783E-2</v>
      </c>
    </row>
    <row r="106" spans="3:9" x14ac:dyDescent="0.2">
      <c r="D106" t="s">
        <v>216</v>
      </c>
      <c r="H106" s="149">
        <f>$H$102</f>
        <v>1.60317654268783E-2</v>
      </c>
    </row>
    <row r="108" spans="3:9" x14ac:dyDescent="0.2">
      <c r="C108" t="s">
        <v>187</v>
      </c>
      <c r="D108" s="96"/>
    </row>
    <row r="109" spans="3:9" x14ac:dyDescent="0.2">
      <c r="D109" s="96" t="s">
        <v>188</v>
      </c>
      <c r="G109" t="s">
        <v>152</v>
      </c>
      <c r="H109" s="113">
        <v>200000</v>
      </c>
      <c r="I109" s="42" t="s">
        <v>315</v>
      </c>
    </row>
    <row r="110" spans="3:9" x14ac:dyDescent="0.2">
      <c r="D110" s="96" t="s">
        <v>187</v>
      </c>
      <c r="H110" s="113">
        <v>360</v>
      </c>
      <c r="I110" s="42" t="s">
        <v>316</v>
      </c>
    </row>
    <row r="111" spans="3:9" x14ac:dyDescent="0.2">
      <c r="D111" s="96" t="s">
        <v>151</v>
      </c>
      <c r="G111" t="s">
        <v>140</v>
      </c>
      <c r="H111" s="97">
        <v>0.2</v>
      </c>
      <c r="I111" s="42" t="s">
        <v>256</v>
      </c>
    </row>
    <row r="113" spans="3:9" x14ac:dyDescent="0.2">
      <c r="C113" t="s">
        <v>295</v>
      </c>
    </row>
    <row r="114" spans="3:9" x14ac:dyDescent="0.2">
      <c r="D114" t="s">
        <v>217</v>
      </c>
      <c r="H114" s="97">
        <v>0.01</v>
      </c>
    </row>
    <row r="116" spans="3:9" x14ac:dyDescent="0.2">
      <c r="C116" t="s">
        <v>218</v>
      </c>
    </row>
    <row r="118" spans="3:9" ht="36" x14ac:dyDescent="0.2">
      <c r="E118" s="143" t="s">
        <v>203</v>
      </c>
      <c r="F118" s="143" t="s">
        <v>204</v>
      </c>
      <c r="G118" s="143" t="s">
        <v>205</v>
      </c>
      <c r="H118" s="146" t="s">
        <v>96</v>
      </c>
    </row>
    <row r="119" spans="3:9" x14ac:dyDescent="0.2">
      <c r="C119" s="184" t="s">
        <v>206</v>
      </c>
      <c r="D119" s="142"/>
      <c r="E119" s="131">
        <v>0.15</v>
      </c>
      <c r="F119" s="131">
        <v>0.2</v>
      </c>
      <c r="G119" s="132"/>
      <c r="H119" s="140">
        <f>SUM(E119:G119)</f>
        <v>0.35</v>
      </c>
    </row>
    <row r="120" spans="3:9" x14ac:dyDescent="0.2">
      <c r="C120" s="184" t="s">
        <v>207</v>
      </c>
      <c r="D120" s="142"/>
      <c r="E120" s="132"/>
      <c r="F120" s="133">
        <f>F123-F119</f>
        <v>0.14999999999999997</v>
      </c>
      <c r="G120" s="137">
        <v>0.1</v>
      </c>
      <c r="H120" s="140">
        <f>SUM(E120:G120)</f>
        <v>0.24999999999999997</v>
      </c>
    </row>
    <row r="121" spans="3:9" x14ac:dyDescent="0.2">
      <c r="C121" s="199" t="s">
        <v>187</v>
      </c>
      <c r="D121" s="142"/>
      <c r="E121" s="131">
        <v>0.1</v>
      </c>
      <c r="F121" s="132"/>
      <c r="G121" s="137">
        <v>0.05</v>
      </c>
      <c r="H121" s="140">
        <f>SUM(E121:G121)</f>
        <v>0.15000000000000002</v>
      </c>
      <c r="I121" s="42" t="s">
        <v>317</v>
      </c>
    </row>
    <row r="122" spans="3:9" ht="12.75" thickBot="1" x14ac:dyDescent="0.25">
      <c r="C122" s="184" t="s">
        <v>295</v>
      </c>
      <c r="D122" s="142"/>
      <c r="E122" s="134">
        <f>E123-E121-E119</f>
        <v>0.15000000000000005</v>
      </c>
      <c r="F122" s="132"/>
      <c r="G122" s="138">
        <f>G123-G121-G120</f>
        <v>0.1</v>
      </c>
      <c r="H122" s="141">
        <f>SUM(E122:G122)</f>
        <v>0.25000000000000006</v>
      </c>
    </row>
    <row r="123" spans="3:9" ht="12.75" thickTop="1" x14ac:dyDescent="0.2">
      <c r="C123" s="144"/>
      <c r="D123" s="144" t="s">
        <v>96</v>
      </c>
      <c r="E123" s="135">
        <f>1-F123-G123</f>
        <v>0.4</v>
      </c>
      <c r="F123" s="136">
        <v>0.35</v>
      </c>
      <c r="G123" s="139">
        <v>0.25</v>
      </c>
      <c r="H123" s="145" t="b">
        <f>AND(SUM(E123:G123)=1,SUM(H119:H122)=1)</f>
        <v>1</v>
      </c>
    </row>
    <row r="125" spans="3:9" x14ac:dyDescent="0.2">
      <c r="C125" t="s">
        <v>318</v>
      </c>
    </row>
    <row r="127" spans="3:9" ht="36" x14ac:dyDescent="0.2">
      <c r="E127" s="143" t="s">
        <v>203</v>
      </c>
      <c r="F127" s="143" t="s">
        <v>204</v>
      </c>
      <c r="G127" s="143" t="s">
        <v>205</v>
      </c>
    </row>
    <row r="128" spans="3:9" x14ac:dyDescent="0.2">
      <c r="C128" s="184" t="s">
        <v>206</v>
      </c>
      <c r="D128" s="142"/>
      <c r="E128" s="149">
        <f>$H$102</f>
        <v>1.60317654268783E-2</v>
      </c>
      <c r="F128" s="149">
        <f>$H$102</f>
        <v>1.60317654268783E-2</v>
      </c>
      <c r="G128" s="132"/>
    </row>
    <row r="129" spans="3:9" x14ac:dyDescent="0.2">
      <c r="C129" s="184" t="s">
        <v>207</v>
      </c>
      <c r="D129" s="142"/>
      <c r="E129" s="132"/>
      <c r="F129" s="149">
        <f>$H$102</f>
        <v>1.60317654268783E-2</v>
      </c>
      <c r="G129" s="149">
        <f>$H$102</f>
        <v>1.60317654268783E-2</v>
      </c>
    </row>
    <row r="130" spans="3:9" x14ac:dyDescent="0.2">
      <c r="C130" s="199" t="s">
        <v>187</v>
      </c>
      <c r="D130" s="142"/>
      <c r="E130" s="163">
        <v>0</v>
      </c>
      <c r="F130" s="132"/>
      <c r="G130" s="149">
        <f>G129</f>
        <v>1.60317654268783E-2</v>
      </c>
    </row>
    <row r="131" spans="3:9" x14ac:dyDescent="0.2">
      <c r="C131" s="184" t="s">
        <v>295</v>
      </c>
      <c r="D131" s="142"/>
      <c r="E131" s="149">
        <f>H114</f>
        <v>0.01</v>
      </c>
      <c r="F131" s="132"/>
      <c r="G131" s="148">
        <f>E131+G129</f>
        <v>2.6031765426878302E-2</v>
      </c>
    </row>
    <row r="133" spans="3:9" x14ac:dyDescent="0.2">
      <c r="C133" t="s">
        <v>214</v>
      </c>
      <c r="D133" s="181"/>
      <c r="H133" s="148">
        <f>SUMPRODUCT(E119:G122,E128:G131)</f>
        <v>1.4523824070158727E-2</v>
      </c>
      <c r="I133" s="42" t="s">
        <v>257</v>
      </c>
    </row>
    <row r="134" spans="3:9" x14ac:dyDescent="0.2">
      <c r="E134" s="181"/>
      <c r="F134" s="181"/>
      <c r="G134" s="181"/>
    </row>
    <row r="135" spans="3:9" x14ac:dyDescent="0.2">
      <c r="E135" s="181"/>
      <c r="F135" s="181"/>
      <c r="G135" s="181"/>
    </row>
    <row r="136" spans="3:9" x14ac:dyDescent="0.2">
      <c r="E136" s="201">
        <v>2020</v>
      </c>
      <c r="F136" s="201"/>
      <c r="G136" s="201"/>
    </row>
    <row r="137" spans="3:9" ht="36" x14ac:dyDescent="0.2">
      <c r="E137" s="143" t="s">
        <v>203</v>
      </c>
      <c r="F137" s="143" t="s">
        <v>204</v>
      </c>
      <c r="G137" s="143" t="s">
        <v>205</v>
      </c>
      <c r="H137" s="146" t="s">
        <v>96</v>
      </c>
    </row>
    <row r="138" spans="3:9" x14ac:dyDescent="0.2">
      <c r="C138" s="184" t="s">
        <v>206</v>
      </c>
      <c r="D138" s="142"/>
      <c r="E138" s="131">
        <v>0.15</v>
      </c>
      <c r="F138" s="131">
        <v>0.2</v>
      </c>
      <c r="G138" s="132"/>
      <c r="H138" s="140">
        <f>SUM(E138:G138)</f>
        <v>0.35</v>
      </c>
    </row>
    <row r="139" spans="3:9" x14ac:dyDescent="0.2">
      <c r="C139" s="184" t="s">
        <v>207</v>
      </c>
      <c r="D139" s="142"/>
      <c r="E139" s="132"/>
      <c r="F139" s="133">
        <f>F142-F138</f>
        <v>0.14999999999999997</v>
      </c>
      <c r="G139" s="137">
        <v>0.11749999999999999</v>
      </c>
      <c r="H139" s="140">
        <f>SUM(E139:G139)</f>
        <v>0.26749999999999996</v>
      </c>
    </row>
    <row r="140" spans="3:9" x14ac:dyDescent="0.2">
      <c r="C140" s="199" t="s">
        <v>187</v>
      </c>
      <c r="D140" s="142"/>
      <c r="E140" s="131">
        <v>0.1</v>
      </c>
      <c r="F140" s="132"/>
      <c r="G140" s="137">
        <v>0.05</v>
      </c>
      <c r="H140" s="140">
        <f>SUM(E140:G140)</f>
        <v>0.15000000000000002</v>
      </c>
      <c r="I140" s="42" t="s">
        <v>317</v>
      </c>
    </row>
    <row r="141" spans="3:9" ht="12.75" thickBot="1" x14ac:dyDescent="0.25">
      <c r="C141" s="184" t="s">
        <v>295</v>
      </c>
      <c r="D141" s="142"/>
      <c r="E141" s="134">
        <f>E142-E140-E138</f>
        <v>0.15000000000000005</v>
      </c>
      <c r="F141" s="132"/>
      <c r="G141" s="138">
        <f>G142-G140-G139</f>
        <v>8.2500000000000018E-2</v>
      </c>
      <c r="H141" s="141">
        <f>SUM(E141:G141)</f>
        <v>0.23250000000000007</v>
      </c>
    </row>
    <row r="142" spans="3:9" ht="12.75" thickTop="1" x14ac:dyDescent="0.2">
      <c r="C142" s="144"/>
      <c r="D142" s="144" t="s">
        <v>96</v>
      </c>
      <c r="E142" s="135">
        <f>1-F142-G142</f>
        <v>0.4</v>
      </c>
      <c r="F142" s="136">
        <v>0.35</v>
      </c>
      <c r="G142" s="139">
        <v>0.25</v>
      </c>
      <c r="H142" s="145" t="b">
        <f>AND(SUM(E142:G142)=1,SUM(H138:H141)=1)</f>
        <v>1</v>
      </c>
    </row>
    <row r="144" spans="3:9" x14ac:dyDescent="0.2">
      <c r="C144" t="s">
        <v>318</v>
      </c>
    </row>
    <row r="146" spans="3:9" ht="36" x14ac:dyDescent="0.2">
      <c r="E146" s="143" t="s">
        <v>203</v>
      </c>
      <c r="F146" s="143" t="s">
        <v>204</v>
      </c>
      <c r="G146" s="143" t="s">
        <v>205</v>
      </c>
    </row>
    <row r="147" spans="3:9" x14ac:dyDescent="0.2">
      <c r="C147" s="184" t="s">
        <v>206</v>
      </c>
      <c r="D147" s="142"/>
      <c r="E147" s="149">
        <f>$H$102</f>
        <v>1.60317654268783E-2</v>
      </c>
      <c r="F147" s="149">
        <f>$H$102</f>
        <v>1.60317654268783E-2</v>
      </c>
      <c r="G147" s="132"/>
    </row>
    <row r="148" spans="3:9" x14ac:dyDescent="0.2">
      <c r="C148" s="184" t="s">
        <v>207</v>
      </c>
      <c r="D148" s="142"/>
      <c r="E148" s="132"/>
      <c r="F148" s="149">
        <f>$H$102</f>
        <v>1.60317654268783E-2</v>
      </c>
      <c r="G148" s="149">
        <f>$H$102</f>
        <v>1.60317654268783E-2</v>
      </c>
    </row>
    <row r="149" spans="3:9" x14ac:dyDescent="0.2">
      <c r="C149" s="199" t="s">
        <v>187</v>
      </c>
      <c r="D149" s="142"/>
      <c r="E149" s="163">
        <v>0</v>
      </c>
      <c r="F149" s="132"/>
      <c r="G149" s="149">
        <f>G148</f>
        <v>1.60317654268783E-2</v>
      </c>
    </row>
    <row r="150" spans="3:9" x14ac:dyDescent="0.2">
      <c r="C150" s="184" t="s">
        <v>295</v>
      </c>
      <c r="D150" s="142"/>
      <c r="E150" s="149">
        <f>H114</f>
        <v>0.01</v>
      </c>
      <c r="F150" s="132"/>
      <c r="G150" s="148">
        <f>E150+G148</f>
        <v>2.6031765426878302E-2</v>
      </c>
    </row>
    <row r="152" spans="3:9" x14ac:dyDescent="0.2">
      <c r="C152" t="s">
        <v>214</v>
      </c>
      <c r="D152" s="181"/>
      <c r="H152" s="148">
        <f>SUMPRODUCT(E138:G141,E147:G150)</f>
        <v>1.4348824070158727E-2</v>
      </c>
      <c r="I152" s="42" t="s">
        <v>312</v>
      </c>
    </row>
  </sheetData>
  <mergeCells count="2">
    <mergeCell ref="M59:Q65"/>
    <mergeCell ref="E136:G136"/>
  </mergeCells>
  <hyperlinks>
    <hyperlink ref="F28" r:id="rId1"/>
    <hyperlink ref="F29" r:id="rId2"/>
    <hyperlink ref="F30" r:id="rId3"/>
    <hyperlink ref="F31" r:id="rId4"/>
    <hyperlink ref="F41" r:id="rId5"/>
    <hyperlink ref="F43" r:id="rId6"/>
    <hyperlink ref="O90" r:id="rId7" display="http://www.banxico.org.mx/sistemas-de-pago/servicios/tarifas-y-comisiones/tasas-de-descuento-que-pagan-los-comercios-por-ace/tasas-de-descuento-para-tarjetas-de-credito-por-gi/tasas-descuento-por-giro-cred.html"/>
    <hyperlink ref="M74" r:id="rId8"/>
    <hyperlink ref="F42" r:id="rId9"/>
  </hyperlinks>
  <pageMargins left="0.70866141732283472" right="0.70866141732283472" top="0.51181102362204722" bottom="0.51181102362204722" header="0.51181102362204722" footer="0.35433070866141736"/>
  <pageSetup paperSize="9" orientation="landscape" horizontalDpi="4294967292" verticalDpi="4294967292" r:id="rId10"/>
  <headerFooter alignWithMargins="0">
    <oddFooter xml:space="preserve">&amp;L&amp;F : &amp;A&amp;CPrinted at &amp;T on &amp;D&amp;RCommercial in confidence © Analysys Mason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89999084444715716"/>
    <pageSetUpPr autoPageBreaks="0"/>
  </sheetPr>
  <dimension ref="A1:FB146"/>
  <sheetViews>
    <sheetView showGridLines="0" defaultGridColor="0" colorId="22" zoomScale="80" zoomScaleNormal="80" workbookViewId="0">
      <pane xSplit="8" ySplit="4" topLeftCell="I5" activePane="bottomRight" state="frozen"/>
      <selection pane="topRight"/>
      <selection pane="bottomLeft"/>
      <selection pane="bottomRight"/>
    </sheetView>
  </sheetViews>
  <sheetFormatPr baseColWidth="10" defaultColWidth="12.7109375" defaultRowHeight="12" outlineLevelCol="1" x14ac:dyDescent="0.2"/>
  <cols>
    <col min="1" max="1" width="6.7109375" customWidth="1"/>
    <col min="2" max="2" width="5.85546875" customWidth="1"/>
    <col min="3" max="3" width="14.42578125" customWidth="1"/>
    <col min="4" max="4" width="22" hidden="1" customWidth="1" outlineLevel="1"/>
    <col min="5" max="6" width="12.7109375" hidden="1" customWidth="1" outlineLevel="1"/>
    <col min="7" max="7" width="12.7109375" collapsed="1"/>
    <col min="19" max="19" width="12.5703125" customWidth="1"/>
  </cols>
  <sheetData>
    <row r="1" spans="1:158" s="71" customFormat="1" ht="33.75" customHeight="1" x14ac:dyDescent="0.2">
      <c r="D1" s="73" t="s">
        <v>121</v>
      </c>
    </row>
    <row r="3" spans="1:158" x14ac:dyDescent="0.2">
      <c r="I3" s="100"/>
      <c r="J3" s="100">
        <v>1</v>
      </c>
      <c r="K3" s="100">
        <f>J3+1</f>
        <v>2</v>
      </c>
      <c r="L3" s="100">
        <f t="shared" ref="L3:BG3" si="0">K3+1</f>
        <v>3</v>
      </c>
      <c r="M3" s="100">
        <f t="shared" si="0"/>
        <v>4</v>
      </c>
      <c r="N3" s="100">
        <f t="shared" si="0"/>
        <v>5</v>
      </c>
      <c r="O3" s="100">
        <f t="shared" si="0"/>
        <v>6</v>
      </c>
      <c r="P3" s="100">
        <f t="shared" si="0"/>
        <v>7</v>
      </c>
      <c r="Q3" s="100">
        <f t="shared" si="0"/>
        <v>8</v>
      </c>
      <c r="R3" s="100">
        <f t="shared" si="0"/>
        <v>9</v>
      </c>
      <c r="S3" s="100">
        <f t="shared" si="0"/>
        <v>10</v>
      </c>
      <c r="T3" s="100">
        <f t="shared" si="0"/>
        <v>11</v>
      </c>
      <c r="U3" s="100">
        <f t="shared" si="0"/>
        <v>12</v>
      </c>
      <c r="V3" s="100">
        <f t="shared" si="0"/>
        <v>13</v>
      </c>
      <c r="W3" s="100">
        <f t="shared" si="0"/>
        <v>14</v>
      </c>
      <c r="X3" s="100">
        <f t="shared" si="0"/>
        <v>15</v>
      </c>
      <c r="Y3" s="100">
        <f t="shared" si="0"/>
        <v>16</v>
      </c>
      <c r="Z3" s="100">
        <f t="shared" si="0"/>
        <v>17</v>
      </c>
      <c r="AA3" s="100">
        <f t="shared" si="0"/>
        <v>18</v>
      </c>
      <c r="AB3" s="100">
        <f t="shared" si="0"/>
        <v>19</v>
      </c>
      <c r="AC3" s="100">
        <f t="shared" si="0"/>
        <v>20</v>
      </c>
      <c r="AD3" s="100">
        <f t="shared" si="0"/>
        <v>21</v>
      </c>
      <c r="AE3" s="100">
        <f t="shared" si="0"/>
        <v>22</v>
      </c>
      <c r="AF3" s="100">
        <f t="shared" si="0"/>
        <v>23</v>
      </c>
      <c r="AG3" s="100">
        <f t="shared" si="0"/>
        <v>24</v>
      </c>
      <c r="AH3" s="100">
        <f t="shared" si="0"/>
        <v>25</v>
      </c>
      <c r="AI3" s="100">
        <f t="shared" si="0"/>
        <v>26</v>
      </c>
      <c r="AJ3" s="100">
        <f t="shared" si="0"/>
        <v>27</v>
      </c>
      <c r="AK3" s="100">
        <f t="shared" si="0"/>
        <v>28</v>
      </c>
      <c r="AL3" s="100">
        <f t="shared" si="0"/>
        <v>29</v>
      </c>
      <c r="AM3" s="100">
        <f t="shared" si="0"/>
        <v>30</v>
      </c>
      <c r="AN3" s="100">
        <f t="shared" si="0"/>
        <v>31</v>
      </c>
      <c r="AO3" s="100">
        <f t="shared" si="0"/>
        <v>32</v>
      </c>
      <c r="AP3" s="100">
        <f t="shared" si="0"/>
        <v>33</v>
      </c>
      <c r="AQ3" s="100">
        <f t="shared" si="0"/>
        <v>34</v>
      </c>
      <c r="AR3" s="100">
        <f t="shared" si="0"/>
        <v>35</v>
      </c>
      <c r="AS3" s="100">
        <f t="shared" si="0"/>
        <v>36</v>
      </c>
      <c r="AT3" s="100">
        <f t="shared" si="0"/>
        <v>37</v>
      </c>
      <c r="AU3" s="100">
        <f t="shared" si="0"/>
        <v>38</v>
      </c>
      <c r="AV3" s="100">
        <f t="shared" si="0"/>
        <v>39</v>
      </c>
      <c r="AW3" s="100">
        <f t="shared" si="0"/>
        <v>40</v>
      </c>
      <c r="AX3" s="100">
        <f t="shared" si="0"/>
        <v>41</v>
      </c>
      <c r="AY3" s="100">
        <f t="shared" si="0"/>
        <v>42</v>
      </c>
      <c r="AZ3" s="100">
        <f t="shared" si="0"/>
        <v>43</v>
      </c>
      <c r="BA3" s="100">
        <f t="shared" si="0"/>
        <v>44</v>
      </c>
      <c r="BB3" s="100">
        <f t="shared" si="0"/>
        <v>45</v>
      </c>
      <c r="BC3" s="100">
        <f t="shared" si="0"/>
        <v>46</v>
      </c>
      <c r="BD3" s="100">
        <f t="shared" si="0"/>
        <v>47</v>
      </c>
      <c r="BE3" s="100">
        <f t="shared" si="0"/>
        <v>48</v>
      </c>
      <c r="BF3" s="100">
        <f t="shared" si="0"/>
        <v>49</v>
      </c>
      <c r="BG3" s="100">
        <f t="shared" si="0"/>
        <v>50</v>
      </c>
      <c r="BH3" s="100"/>
      <c r="BI3" s="100"/>
      <c r="BJ3" s="100"/>
      <c r="BK3" s="100"/>
    </row>
    <row r="4" spans="1:158" s="74" customFormat="1" x14ac:dyDescent="0.2">
      <c r="D4" s="75"/>
      <c r="E4" s="75"/>
      <c r="F4" s="76" t="s">
        <v>161</v>
      </c>
      <c r="G4" s="76" t="s">
        <v>124</v>
      </c>
      <c r="I4" s="100"/>
      <c r="J4" s="76">
        <v>2010</v>
      </c>
      <c r="K4" s="76">
        <f>J4+1</f>
        <v>2011</v>
      </c>
      <c r="L4" s="76">
        <f t="shared" ref="L4:S4" si="1">K4+1</f>
        <v>2012</v>
      </c>
      <c r="M4" s="76">
        <f t="shared" si="1"/>
        <v>2013</v>
      </c>
      <c r="N4" s="76">
        <f t="shared" si="1"/>
        <v>2014</v>
      </c>
      <c r="O4" s="76">
        <f t="shared" si="1"/>
        <v>2015</v>
      </c>
      <c r="P4" s="76">
        <f t="shared" si="1"/>
        <v>2016</v>
      </c>
      <c r="Q4" s="76">
        <f t="shared" si="1"/>
        <v>2017</v>
      </c>
      <c r="R4" s="76">
        <f t="shared" si="1"/>
        <v>2018</v>
      </c>
      <c r="S4" s="76">
        <f t="shared" si="1"/>
        <v>2019</v>
      </c>
      <c r="T4" s="76">
        <f t="shared" ref="T4:BG4" si="2">S4+1</f>
        <v>2020</v>
      </c>
      <c r="U4" s="76">
        <f t="shared" si="2"/>
        <v>2021</v>
      </c>
      <c r="V4" s="76">
        <f t="shared" si="2"/>
        <v>2022</v>
      </c>
      <c r="W4" s="76">
        <f t="shared" si="2"/>
        <v>2023</v>
      </c>
      <c r="X4" s="76">
        <f t="shared" si="2"/>
        <v>2024</v>
      </c>
      <c r="Y4" s="76">
        <f t="shared" si="2"/>
        <v>2025</v>
      </c>
      <c r="Z4" s="76">
        <f t="shared" si="2"/>
        <v>2026</v>
      </c>
      <c r="AA4" s="76">
        <f t="shared" si="2"/>
        <v>2027</v>
      </c>
      <c r="AB4" s="76">
        <f t="shared" si="2"/>
        <v>2028</v>
      </c>
      <c r="AC4" s="76">
        <f t="shared" si="2"/>
        <v>2029</v>
      </c>
      <c r="AD4" s="76">
        <f t="shared" si="2"/>
        <v>2030</v>
      </c>
      <c r="AE4" s="76">
        <f t="shared" si="2"/>
        <v>2031</v>
      </c>
      <c r="AF4" s="76">
        <f t="shared" si="2"/>
        <v>2032</v>
      </c>
      <c r="AG4" s="76">
        <f t="shared" si="2"/>
        <v>2033</v>
      </c>
      <c r="AH4" s="76">
        <f t="shared" si="2"/>
        <v>2034</v>
      </c>
      <c r="AI4" s="76">
        <f t="shared" si="2"/>
        <v>2035</v>
      </c>
      <c r="AJ4" s="76">
        <f t="shared" si="2"/>
        <v>2036</v>
      </c>
      <c r="AK4" s="76">
        <f t="shared" si="2"/>
        <v>2037</v>
      </c>
      <c r="AL4" s="76">
        <f t="shared" si="2"/>
        <v>2038</v>
      </c>
      <c r="AM4" s="76">
        <f t="shared" si="2"/>
        <v>2039</v>
      </c>
      <c r="AN4" s="76">
        <f t="shared" si="2"/>
        <v>2040</v>
      </c>
      <c r="AO4" s="76">
        <f t="shared" si="2"/>
        <v>2041</v>
      </c>
      <c r="AP4" s="76">
        <f t="shared" si="2"/>
        <v>2042</v>
      </c>
      <c r="AQ4" s="76">
        <f t="shared" si="2"/>
        <v>2043</v>
      </c>
      <c r="AR4" s="76">
        <f t="shared" si="2"/>
        <v>2044</v>
      </c>
      <c r="AS4" s="76">
        <f t="shared" si="2"/>
        <v>2045</v>
      </c>
      <c r="AT4" s="76">
        <f t="shared" si="2"/>
        <v>2046</v>
      </c>
      <c r="AU4" s="76">
        <f t="shared" si="2"/>
        <v>2047</v>
      </c>
      <c r="AV4" s="76">
        <f t="shared" si="2"/>
        <v>2048</v>
      </c>
      <c r="AW4" s="76">
        <f t="shared" si="2"/>
        <v>2049</v>
      </c>
      <c r="AX4" s="76">
        <f t="shared" si="2"/>
        <v>2050</v>
      </c>
      <c r="AY4" s="76">
        <f t="shared" si="2"/>
        <v>2051</v>
      </c>
      <c r="AZ4" s="76">
        <f t="shared" si="2"/>
        <v>2052</v>
      </c>
      <c r="BA4" s="76">
        <f t="shared" si="2"/>
        <v>2053</v>
      </c>
      <c r="BB4" s="76">
        <f t="shared" si="2"/>
        <v>2054</v>
      </c>
      <c r="BC4" s="76">
        <f t="shared" si="2"/>
        <v>2055</v>
      </c>
      <c r="BD4" s="76">
        <f t="shared" si="2"/>
        <v>2056</v>
      </c>
      <c r="BE4" s="76">
        <f t="shared" si="2"/>
        <v>2057</v>
      </c>
      <c r="BF4" s="76">
        <f t="shared" si="2"/>
        <v>2058</v>
      </c>
      <c r="BG4" s="76">
        <f t="shared" si="2"/>
        <v>2059</v>
      </c>
    </row>
    <row r="5" spans="1:158" x14ac:dyDescent="0.2">
      <c r="F5" s="81"/>
      <c r="G5" s="81"/>
    </row>
    <row r="6" spans="1:158" ht="18" x14ac:dyDescent="0.25">
      <c r="A6" s="77">
        <v>1</v>
      </c>
      <c r="B6" s="78" t="s">
        <v>155</v>
      </c>
      <c r="C6" s="79"/>
      <c r="D6" s="79"/>
      <c r="E6" s="79"/>
      <c r="F6" s="82"/>
      <c r="G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row>
    <row r="7" spans="1:158" s="81" customFormat="1" ht="12" customHeight="1" x14ac:dyDescent="0.2">
      <c r="A7" s="80"/>
      <c r="B7" s="80"/>
      <c r="C7" s="80"/>
      <c r="D7" s="80"/>
      <c r="E7" s="80"/>
      <c r="F7" s="80"/>
      <c r="G7" s="80"/>
      <c r="H7" s="80"/>
    </row>
    <row r="8" spans="1:158" s="81" customFormat="1" ht="12.75" x14ac:dyDescent="0.2">
      <c r="A8" s="80"/>
      <c r="B8" s="84" t="s">
        <v>163</v>
      </c>
      <c r="F8" s="83"/>
      <c r="G8" s="83"/>
      <c r="BH8" s="42"/>
    </row>
    <row r="9" spans="1:158" s="81" customFormat="1" ht="12.75" x14ac:dyDescent="0.2">
      <c r="A9" s="80"/>
      <c r="B9" s="84"/>
      <c r="C9" s="81" t="s">
        <v>141</v>
      </c>
      <c r="F9" s="83"/>
      <c r="G9" s="83" t="s">
        <v>139</v>
      </c>
      <c r="I9" s="90"/>
      <c r="J9" s="9">
        <f t="shared" ref="J9:N10" si="3">$O9*J$16</f>
        <v>20408163.265306123</v>
      </c>
      <c r="K9" s="9">
        <f t="shared" si="3"/>
        <v>20408163.265306123</v>
      </c>
      <c r="L9" s="9">
        <f t="shared" si="3"/>
        <v>20408163.265306123</v>
      </c>
      <c r="M9" s="9">
        <f t="shared" si="3"/>
        <v>20408163.265306123</v>
      </c>
      <c r="N9" s="9">
        <f t="shared" si="3"/>
        <v>20408163.265306123</v>
      </c>
      <c r="O9" s="11">
        <f>costo_billing</f>
        <v>20000000</v>
      </c>
      <c r="P9" s="9">
        <f>$O9*P$16</f>
        <v>19600000</v>
      </c>
      <c r="Q9" s="9">
        <f t="shared" ref="Q9:BG12" si="4">$O9*Q$16</f>
        <v>19208000</v>
      </c>
      <c r="R9" s="9">
        <f t="shared" si="4"/>
        <v>18823840</v>
      </c>
      <c r="S9" s="9">
        <f t="shared" si="4"/>
        <v>18447363.199999999</v>
      </c>
      <c r="T9" s="9">
        <f t="shared" si="4"/>
        <v>18078415.935999997</v>
      </c>
      <c r="U9" s="9">
        <f t="shared" si="4"/>
        <v>17716847.617279995</v>
      </c>
      <c r="V9" s="9">
        <f t="shared" si="4"/>
        <v>17362510.664934397</v>
      </c>
      <c r="W9" s="9">
        <f t="shared" si="4"/>
        <v>17015260.451635707</v>
      </c>
      <c r="X9" s="9">
        <f t="shared" si="4"/>
        <v>16674955.242602993</v>
      </c>
      <c r="Y9" s="9">
        <f t="shared" si="4"/>
        <v>16341456.137750933</v>
      </c>
      <c r="Z9" s="9">
        <f t="shared" si="4"/>
        <v>16014627.014995914</v>
      </c>
      <c r="AA9" s="9">
        <f t="shared" si="4"/>
        <v>15694334.474695997</v>
      </c>
      <c r="AB9" s="9">
        <f t="shared" si="4"/>
        <v>15380447.785202077</v>
      </c>
      <c r="AC9" s="9">
        <f t="shared" si="4"/>
        <v>15072838.829498034</v>
      </c>
      <c r="AD9" s="9">
        <f t="shared" si="4"/>
        <v>14771382.052908072</v>
      </c>
      <c r="AE9" s="9">
        <f t="shared" si="4"/>
        <v>14475954.411849912</v>
      </c>
      <c r="AF9" s="9">
        <f t="shared" si="4"/>
        <v>14186435.323612913</v>
      </c>
      <c r="AG9" s="9">
        <f t="shared" si="4"/>
        <v>13902706.617140654</v>
      </c>
      <c r="AH9" s="9">
        <f t="shared" si="4"/>
        <v>13624652.484797841</v>
      </c>
      <c r="AI9" s="9">
        <f t="shared" si="4"/>
        <v>13352159.435101885</v>
      </c>
      <c r="AJ9" s="9">
        <f t="shared" si="4"/>
        <v>13085116.246399846</v>
      </c>
      <c r="AK9" s="9">
        <f t="shared" si="4"/>
        <v>12823413.921471849</v>
      </c>
      <c r="AL9" s="9">
        <f t="shared" si="4"/>
        <v>12566945.643042412</v>
      </c>
      <c r="AM9" s="9">
        <f t="shared" si="4"/>
        <v>12315606.730181564</v>
      </c>
      <c r="AN9" s="9">
        <f t="shared" si="4"/>
        <v>12069294.595577931</v>
      </c>
      <c r="AO9" s="9">
        <f t="shared" si="4"/>
        <v>11827908.703666372</v>
      </c>
      <c r="AP9" s="9">
        <f t="shared" si="4"/>
        <v>11591350.529593045</v>
      </c>
      <c r="AQ9" s="9">
        <f t="shared" si="4"/>
        <v>11359523.519001184</v>
      </c>
      <c r="AR9" s="9">
        <f t="shared" si="4"/>
        <v>11132333.048621161</v>
      </c>
      <c r="AS9" s="9">
        <f t="shared" si="4"/>
        <v>10909686.387648739</v>
      </c>
      <c r="AT9" s="9">
        <f t="shared" si="4"/>
        <v>10691492.659895763</v>
      </c>
      <c r="AU9" s="9">
        <f t="shared" si="4"/>
        <v>10477662.806697847</v>
      </c>
      <c r="AV9" s="9">
        <f t="shared" si="4"/>
        <v>10268109.55056389</v>
      </c>
      <c r="AW9" s="9">
        <f t="shared" si="4"/>
        <v>10062747.359552613</v>
      </c>
      <c r="AX9" s="9">
        <f t="shared" si="4"/>
        <v>9861492.4123615604</v>
      </c>
      <c r="AY9" s="9">
        <f t="shared" si="4"/>
        <v>9664262.5641143285</v>
      </c>
      <c r="AZ9" s="9">
        <f t="shared" si="4"/>
        <v>9470977.3128320426</v>
      </c>
      <c r="BA9" s="9">
        <f t="shared" si="4"/>
        <v>9281557.7665754016</v>
      </c>
      <c r="BB9" s="9">
        <f t="shared" si="4"/>
        <v>9095926.6112438925</v>
      </c>
      <c r="BC9" s="9">
        <f t="shared" si="4"/>
        <v>8914008.0790190138</v>
      </c>
      <c r="BD9" s="9">
        <f t="shared" si="4"/>
        <v>8735727.9174386337</v>
      </c>
      <c r="BE9" s="9">
        <f t="shared" si="4"/>
        <v>8561013.3590898607</v>
      </c>
      <c r="BF9" s="9">
        <f t="shared" si="4"/>
        <v>8389793.0919080637</v>
      </c>
      <c r="BG9" s="9">
        <f t="shared" si="4"/>
        <v>8221997.2300699018</v>
      </c>
      <c r="BH9" s="42"/>
    </row>
    <row r="10" spans="1:158" s="81" customFormat="1" ht="12.75" x14ac:dyDescent="0.2">
      <c r="A10" s="80"/>
      <c r="B10" s="84"/>
      <c r="C10" s="81" t="s">
        <v>159</v>
      </c>
      <c r="F10" s="83"/>
      <c r="G10" s="83" t="s">
        <v>139</v>
      </c>
      <c r="I10" s="90"/>
      <c r="J10" s="9">
        <f t="shared" si="3"/>
        <v>61224489.795918368</v>
      </c>
      <c r="K10" s="9">
        <f t="shared" si="3"/>
        <v>61224489.795918368</v>
      </c>
      <c r="L10" s="9">
        <f t="shared" si="3"/>
        <v>61224489.795918368</v>
      </c>
      <c r="M10" s="9">
        <f t="shared" si="3"/>
        <v>61224489.795918368</v>
      </c>
      <c r="N10" s="9">
        <f t="shared" si="3"/>
        <v>61224489.795918368</v>
      </c>
      <c r="O10" s="11">
        <f>costo_CRM</f>
        <v>60000000</v>
      </c>
      <c r="P10" s="9">
        <f>$O10*P$16</f>
        <v>58800000</v>
      </c>
      <c r="Q10" s="9">
        <f t="shared" si="4"/>
        <v>57623999.999999993</v>
      </c>
      <c r="R10" s="9">
        <f t="shared" si="4"/>
        <v>56471519.999999993</v>
      </c>
      <c r="S10" s="9">
        <f t="shared" si="4"/>
        <v>55342089.599999994</v>
      </c>
      <c r="T10" s="9">
        <f t="shared" si="4"/>
        <v>54235247.807999991</v>
      </c>
      <c r="U10" s="9">
        <f t="shared" si="4"/>
        <v>53150542.851839989</v>
      </c>
      <c r="V10" s="9">
        <f t="shared" si="4"/>
        <v>52087531.99480319</v>
      </c>
      <c r="W10" s="9">
        <f t="shared" si="4"/>
        <v>51045781.354907125</v>
      </c>
      <c r="X10" s="9">
        <f t="shared" si="4"/>
        <v>50024865.727808982</v>
      </c>
      <c r="Y10" s="9">
        <f t="shared" si="4"/>
        <v>49024368.413252801</v>
      </c>
      <c r="Z10" s="9">
        <f t="shared" si="4"/>
        <v>48043881.044987746</v>
      </c>
      <c r="AA10" s="9">
        <f t="shared" si="4"/>
        <v>47083003.424087994</v>
      </c>
      <c r="AB10" s="9">
        <f t="shared" si="4"/>
        <v>46141343.355606228</v>
      </c>
      <c r="AC10" s="9">
        <f t="shared" si="4"/>
        <v>45218516.488494106</v>
      </c>
      <c r="AD10" s="9">
        <f t="shared" si="4"/>
        <v>44314146.158724219</v>
      </c>
      <c r="AE10" s="9">
        <f t="shared" si="4"/>
        <v>43427863.235549733</v>
      </c>
      <c r="AF10" s="9">
        <f t="shared" si="4"/>
        <v>42559305.97083874</v>
      </c>
      <c r="AG10" s="9">
        <f t="shared" si="4"/>
        <v>41708119.85142196</v>
      </c>
      <c r="AH10" s="9">
        <f t="shared" si="4"/>
        <v>40873957.454393521</v>
      </c>
      <c r="AI10" s="9">
        <f t="shared" si="4"/>
        <v>40056478.305305652</v>
      </c>
      <c r="AJ10" s="9">
        <f t="shared" si="4"/>
        <v>39255348.739199542</v>
      </c>
      <c r="AK10" s="9">
        <f t="shared" si="4"/>
        <v>38470241.764415547</v>
      </c>
      <c r="AL10" s="9">
        <f t="shared" si="4"/>
        <v>37700836.929127231</v>
      </c>
      <c r="AM10" s="9">
        <f t="shared" si="4"/>
        <v>36946820.190544687</v>
      </c>
      <c r="AN10" s="9">
        <f t="shared" si="4"/>
        <v>36207883.786733791</v>
      </c>
      <c r="AO10" s="9">
        <f t="shared" si="4"/>
        <v>35483726.110999115</v>
      </c>
      <c r="AP10" s="9">
        <f t="shared" si="4"/>
        <v>34774051.588779137</v>
      </c>
      <c r="AQ10" s="9">
        <f t="shared" si="4"/>
        <v>34078570.55700355</v>
      </c>
      <c r="AR10" s="9">
        <f t="shared" si="4"/>
        <v>33396999.145863485</v>
      </c>
      <c r="AS10" s="9">
        <f t="shared" si="4"/>
        <v>32729059.162946213</v>
      </c>
      <c r="AT10" s="9">
        <f t="shared" si="4"/>
        <v>32074477.979687288</v>
      </c>
      <c r="AU10" s="9">
        <f t="shared" si="4"/>
        <v>31432988.42009354</v>
      </c>
      <c r="AV10" s="9">
        <f t="shared" si="4"/>
        <v>30804328.651691671</v>
      </c>
      <c r="AW10" s="9">
        <f t="shared" si="4"/>
        <v>30188242.078657839</v>
      </c>
      <c r="AX10" s="9">
        <f t="shared" si="4"/>
        <v>29584477.237084679</v>
      </c>
      <c r="AY10" s="9">
        <f t="shared" si="4"/>
        <v>28992787.692342985</v>
      </c>
      <c r="AZ10" s="9">
        <f t="shared" si="4"/>
        <v>28412931.938496124</v>
      </c>
      <c r="BA10" s="9">
        <f t="shared" si="4"/>
        <v>27844673.299726203</v>
      </c>
      <c r="BB10" s="9">
        <f t="shared" si="4"/>
        <v>27287779.833731677</v>
      </c>
      <c r="BC10" s="9">
        <f t="shared" si="4"/>
        <v>26742024.237057045</v>
      </c>
      <c r="BD10" s="9">
        <f t="shared" si="4"/>
        <v>26207183.752315901</v>
      </c>
      <c r="BE10" s="9">
        <f t="shared" si="4"/>
        <v>25683040.077269584</v>
      </c>
      <c r="BF10" s="9">
        <f t="shared" si="4"/>
        <v>25169379.275724191</v>
      </c>
      <c r="BG10" s="9">
        <f t="shared" si="4"/>
        <v>24665991.690209705</v>
      </c>
      <c r="BH10" s="42"/>
    </row>
    <row r="11" spans="1:158" s="81" customFormat="1" ht="12.75" x14ac:dyDescent="0.2">
      <c r="A11" s="80"/>
      <c r="B11" s="84"/>
      <c r="C11" s="81" t="s">
        <v>223</v>
      </c>
      <c r="F11" s="83"/>
      <c r="G11" s="83" t="s">
        <v>139</v>
      </c>
      <c r="I11" s="90"/>
      <c r="J11" s="9">
        <f t="shared" ref="J11:N12" si="5">$O11*J$16</f>
        <v>0</v>
      </c>
      <c r="K11" s="9">
        <f t="shared" si="5"/>
        <v>0</v>
      </c>
      <c r="L11" s="9">
        <f t="shared" si="5"/>
        <v>0</v>
      </c>
      <c r="M11" s="9">
        <f t="shared" si="5"/>
        <v>0</v>
      </c>
      <c r="N11" s="9">
        <f t="shared" si="5"/>
        <v>0</v>
      </c>
      <c r="O11" s="168">
        <v>0</v>
      </c>
      <c r="P11" s="9">
        <f t="shared" ref="P11:P12" si="6">$O11*P$16</f>
        <v>0</v>
      </c>
      <c r="Q11" s="9">
        <f t="shared" si="4"/>
        <v>0</v>
      </c>
      <c r="R11" s="9">
        <f t="shared" si="4"/>
        <v>0</v>
      </c>
      <c r="S11" s="9">
        <f t="shared" si="4"/>
        <v>0</v>
      </c>
      <c r="T11" s="9">
        <f t="shared" si="4"/>
        <v>0</v>
      </c>
      <c r="U11" s="9">
        <f t="shared" si="4"/>
        <v>0</v>
      </c>
      <c r="V11" s="9">
        <f t="shared" si="4"/>
        <v>0</v>
      </c>
      <c r="W11" s="9">
        <f t="shared" si="4"/>
        <v>0</v>
      </c>
      <c r="X11" s="9">
        <f t="shared" si="4"/>
        <v>0</v>
      </c>
      <c r="Y11" s="9">
        <f t="shared" si="4"/>
        <v>0</v>
      </c>
      <c r="Z11" s="9">
        <f t="shared" si="4"/>
        <v>0</v>
      </c>
      <c r="AA11" s="9">
        <f t="shared" si="4"/>
        <v>0</v>
      </c>
      <c r="AB11" s="9">
        <f t="shared" si="4"/>
        <v>0</v>
      </c>
      <c r="AC11" s="9">
        <f t="shared" si="4"/>
        <v>0</v>
      </c>
      <c r="AD11" s="9">
        <f t="shared" si="4"/>
        <v>0</v>
      </c>
      <c r="AE11" s="9">
        <f t="shared" si="4"/>
        <v>0</v>
      </c>
      <c r="AF11" s="9">
        <f t="shared" si="4"/>
        <v>0</v>
      </c>
      <c r="AG11" s="9">
        <f t="shared" si="4"/>
        <v>0</v>
      </c>
      <c r="AH11" s="9">
        <f t="shared" si="4"/>
        <v>0</v>
      </c>
      <c r="AI11" s="9">
        <f t="shared" si="4"/>
        <v>0</v>
      </c>
      <c r="AJ11" s="9">
        <f t="shared" si="4"/>
        <v>0</v>
      </c>
      <c r="AK11" s="9">
        <f t="shared" si="4"/>
        <v>0</v>
      </c>
      <c r="AL11" s="9">
        <f t="shared" si="4"/>
        <v>0</v>
      </c>
      <c r="AM11" s="9">
        <f t="shared" si="4"/>
        <v>0</v>
      </c>
      <c r="AN11" s="9">
        <f t="shared" si="4"/>
        <v>0</v>
      </c>
      <c r="AO11" s="9">
        <f t="shared" si="4"/>
        <v>0</v>
      </c>
      <c r="AP11" s="9">
        <f t="shared" si="4"/>
        <v>0</v>
      </c>
      <c r="AQ11" s="9">
        <f t="shared" si="4"/>
        <v>0</v>
      </c>
      <c r="AR11" s="9">
        <f t="shared" si="4"/>
        <v>0</v>
      </c>
      <c r="AS11" s="9">
        <f t="shared" si="4"/>
        <v>0</v>
      </c>
      <c r="AT11" s="9">
        <f t="shared" si="4"/>
        <v>0</v>
      </c>
      <c r="AU11" s="9">
        <f t="shared" si="4"/>
        <v>0</v>
      </c>
      <c r="AV11" s="9">
        <f t="shared" si="4"/>
        <v>0</v>
      </c>
      <c r="AW11" s="9">
        <f t="shared" si="4"/>
        <v>0</v>
      </c>
      <c r="AX11" s="9">
        <f t="shared" si="4"/>
        <v>0</v>
      </c>
      <c r="AY11" s="9">
        <f t="shared" si="4"/>
        <v>0</v>
      </c>
      <c r="AZ11" s="9">
        <f t="shared" si="4"/>
        <v>0</v>
      </c>
      <c r="BA11" s="9">
        <f t="shared" si="4"/>
        <v>0</v>
      </c>
      <c r="BB11" s="9">
        <f t="shared" si="4"/>
        <v>0</v>
      </c>
      <c r="BC11" s="9">
        <f t="shared" si="4"/>
        <v>0</v>
      </c>
      <c r="BD11" s="9">
        <f t="shared" si="4"/>
        <v>0</v>
      </c>
      <c r="BE11" s="9">
        <f t="shared" si="4"/>
        <v>0</v>
      </c>
      <c r="BF11" s="9">
        <f t="shared" si="4"/>
        <v>0</v>
      </c>
      <c r="BG11" s="9">
        <f t="shared" si="4"/>
        <v>0</v>
      </c>
      <c r="BH11" s="42"/>
    </row>
    <row r="12" spans="1:158" s="81" customFormat="1" ht="12.75" x14ac:dyDescent="0.2">
      <c r="A12" s="80"/>
      <c r="B12" s="84"/>
      <c r="C12" s="81" t="s">
        <v>297</v>
      </c>
      <c r="F12" s="83"/>
      <c r="G12" s="83" t="s">
        <v>139</v>
      </c>
      <c r="I12" s="90"/>
      <c r="J12" s="170">
        <f t="shared" si="5"/>
        <v>0</v>
      </c>
      <c r="K12" s="170">
        <f t="shared" si="5"/>
        <v>0</v>
      </c>
      <c r="L12" s="170">
        <f t="shared" si="5"/>
        <v>0</v>
      </c>
      <c r="M12" s="170">
        <f t="shared" si="5"/>
        <v>0</v>
      </c>
      <c r="N12" s="170">
        <f t="shared" si="5"/>
        <v>0</v>
      </c>
      <c r="O12" s="168">
        <v>0</v>
      </c>
      <c r="P12" s="170">
        <f t="shared" si="6"/>
        <v>0</v>
      </c>
      <c r="Q12" s="170">
        <f t="shared" si="4"/>
        <v>0</v>
      </c>
      <c r="R12" s="170">
        <f t="shared" si="4"/>
        <v>0</v>
      </c>
      <c r="S12" s="170">
        <f t="shared" si="4"/>
        <v>0</v>
      </c>
      <c r="T12" s="170">
        <f t="shared" si="4"/>
        <v>0</v>
      </c>
      <c r="U12" s="170">
        <f t="shared" si="4"/>
        <v>0</v>
      </c>
      <c r="V12" s="170">
        <f t="shared" si="4"/>
        <v>0</v>
      </c>
      <c r="W12" s="170">
        <f t="shared" si="4"/>
        <v>0</v>
      </c>
      <c r="X12" s="170">
        <f t="shared" si="4"/>
        <v>0</v>
      </c>
      <c r="Y12" s="170">
        <f t="shared" si="4"/>
        <v>0</v>
      </c>
      <c r="Z12" s="170">
        <f t="shared" si="4"/>
        <v>0</v>
      </c>
      <c r="AA12" s="170">
        <f t="shared" si="4"/>
        <v>0</v>
      </c>
      <c r="AB12" s="170">
        <f t="shared" si="4"/>
        <v>0</v>
      </c>
      <c r="AC12" s="170">
        <f t="shared" si="4"/>
        <v>0</v>
      </c>
      <c r="AD12" s="170">
        <f t="shared" si="4"/>
        <v>0</v>
      </c>
      <c r="AE12" s="170">
        <f t="shared" si="4"/>
        <v>0</v>
      </c>
      <c r="AF12" s="170">
        <f t="shared" si="4"/>
        <v>0</v>
      </c>
      <c r="AG12" s="170">
        <f t="shared" si="4"/>
        <v>0</v>
      </c>
      <c r="AH12" s="170">
        <f t="shared" si="4"/>
        <v>0</v>
      </c>
      <c r="AI12" s="170">
        <f t="shared" si="4"/>
        <v>0</v>
      </c>
      <c r="AJ12" s="170">
        <f t="shared" si="4"/>
        <v>0</v>
      </c>
      <c r="AK12" s="170">
        <f t="shared" si="4"/>
        <v>0</v>
      </c>
      <c r="AL12" s="170">
        <f t="shared" si="4"/>
        <v>0</v>
      </c>
      <c r="AM12" s="170">
        <f t="shared" si="4"/>
        <v>0</v>
      </c>
      <c r="AN12" s="170">
        <f t="shared" si="4"/>
        <v>0</v>
      </c>
      <c r="AO12" s="170">
        <f t="shared" si="4"/>
        <v>0</v>
      </c>
      <c r="AP12" s="170">
        <f t="shared" si="4"/>
        <v>0</v>
      </c>
      <c r="AQ12" s="170">
        <f t="shared" si="4"/>
        <v>0</v>
      </c>
      <c r="AR12" s="170">
        <f t="shared" si="4"/>
        <v>0</v>
      </c>
      <c r="AS12" s="170">
        <f t="shared" si="4"/>
        <v>0</v>
      </c>
      <c r="AT12" s="170">
        <f t="shared" si="4"/>
        <v>0</v>
      </c>
      <c r="AU12" s="170">
        <f t="shared" si="4"/>
        <v>0</v>
      </c>
      <c r="AV12" s="170">
        <f t="shared" si="4"/>
        <v>0</v>
      </c>
      <c r="AW12" s="170">
        <f t="shared" si="4"/>
        <v>0</v>
      </c>
      <c r="AX12" s="170">
        <f t="shared" si="4"/>
        <v>0</v>
      </c>
      <c r="AY12" s="170">
        <f t="shared" si="4"/>
        <v>0</v>
      </c>
      <c r="AZ12" s="170">
        <f t="shared" si="4"/>
        <v>0</v>
      </c>
      <c r="BA12" s="170">
        <f t="shared" si="4"/>
        <v>0</v>
      </c>
      <c r="BB12" s="170">
        <f t="shared" si="4"/>
        <v>0</v>
      </c>
      <c r="BC12" s="170">
        <f t="shared" si="4"/>
        <v>0</v>
      </c>
      <c r="BD12" s="170">
        <f t="shared" si="4"/>
        <v>0</v>
      </c>
      <c r="BE12" s="170">
        <f t="shared" si="4"/>
        <v>0</v>
      </c>
      <c r="BF12" s="170">
        <f t="shared" si="4"/>
        <v>0</v>
      </c>
      <c r="BG12" s="170">
        <f t="shared" si="4"/>
        <v>0</v>
      </c>
      <c r="BH12" s="42"/>
    </row>
    <row r="13" spans="1:158" s="81" customFormat="1" ht="12.75" x14ac:dyDescent="0.2">
      <c r="A13" s="80"/>
      <c r="B13" s="84"/>
      <c r="C13" s="169" t="s">
        <v>247</v>
      </c>
      <c r="F13" s="83"/>
      <c r="G13" s="83" t="s">
        <v>139</v>
      </c>
      <c r="I13" s="90"/>
      <c r="J13" s="171"/>
      <c r="K13" s="171"/>
      <c r="L13" s="171"/>
      <c r="M13" s="171"/>
      <c r="N13" s="171"/>
      <c r="O13" s="174"/>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42"/>
    </row>
    <row r="14" spans="1:158" s="81" customFormat="1" ht="12.75" x14ac:dyDescent="0.2">
      <c r="A14" s="80"/>
      <c r="B14" s="84"/>
      <c r="C14" s="169" t="s">
        <v>248</v>
      </c>
      <c r="F14" s="83"/>
      <c r="G14" s="83" t="s">
        <v>139</v>
      </c>
      <c r="I14" s="90"/>
      <c r="J14" s="171"/>
      <c r="K14" s="171"/>
      <c r="L14" s="171"/>
      <c r="M14" s="171"/>
      <c r="N14" s="171"/>
      <c r="O14" s="174"/>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42"/>
    </row>
    <row r="15" spans="1:158" s="81" customFormat="1" x14ac:dyDescent="0.2">
      <c r="B15" s="101" t="s">
        <v>201</v>
      </c>
      <c r="I15" s="90"/>
      <c r="J15" s="99">
        <f t="shared" ref="J15:M15" si="7">I15</f>
        <v>0</v>
      </c>
      <c r="K15" s="99">
        <f t="shared" si="7"/>
        <v>0</v>
      </c>
      <c r="L15" s="99">
        <f t="shared" si="7"/>
        <v>0</v>
      </c>
      <c r="M15" s="99">
        <f t="shared" si="7"/>
        <v>0</v>
      </c>
      <c r="N15" s="99">
        <f>M15</f>
        <v>0</v>
      </c>
      <c r="O15" s="173">
        <v>-0.02</v>
      </c>
      <c r="P15" s="99">
        <f>O15</f>
        <v>-0.02</v>
      </c>
      <c r="Q15" s="99">
        <f t="shared" ref="Q15:BG15" si="8">P15</f>
        <v>-0.02</v>
      </c>
      <c r="R15" s="99">
        <f t="shared" si="8"/>
        <v>-0.02</v>
      </c>
      <c r="S15" s="99">
        <f t="shared" si="8"/>
        <v>-0.02</v>
      </c>
      <c r="T15" s="99">
        <f t="shared" si="8"/>
        <v>-0.02</v>
      </c>
      <c r="U15" s="99">
        <f t="shared" si="8"/>
        <v>-0.02</v>
      </c>
      <c r="V15" s="99">
        <f t="shared" si="8"/>
        <v>-0.02</v>
      </c>
      <c r="W15" s="99">
        <f t="shared" si="8"/>
        <v>-0.02</v>
      </c>
      <c r="X15" s="99">
        <f t="shared" si="8"/>
        <v>-0.02</v>
      </c>
      <c r="Y15" s="99">
        <f t="shared" si="8"/>
        <v>-0.02</v>
      </c>
      <c r="Z15" s="99">
        <f t="shared" si="8"/>
        <v>-0.02</v>
      </c>
      <c r="AA15" s="99">
        <f t="shared" si="8"/>
        <v>-0.02</v>
      </c>
      <c r="AB15" s="99">
        <f t="shared" si="8"/>
        <v>-0.02</v>
      </c>
      <c r="AC15" s="99">
        <f t="shared" si="8"/>
        <v>-0.02</v>
      </c>
      <c r="AD15" s="99">
        <f t="shared" si="8"/>
        <v>-0.02</v>
      </c>
      <c r="AE15" s="99">
        <f t="shared" si="8"/>
        <v>-0.02</v>
      </c>
      <c r="AF15" s="99">
        <f t="shared" si="8"/>
        <v>-0.02</v>
      </c>
      <c r="AG15" s="99">
        <f t="shared" si="8"/>
        <v>-0.02</v>
      </c>
      <c r="AH15" s="99">
        <f t="shared" si="8"/>
        <v>-0.02</v>
      </c>
      <c r="AI15" s="99">
        <f t="shared" si="8"/>
        <v>-0.02</v>
      </c>
      <c r="AJ15" s="99">
        <f t="shared" si="8"/>
        <v>-0.02</v>
      </c>
      <c r="AK15" s="99">
        <f t="shared" si="8"/>
        <v>-0.02</v>
      </c>
      <c r="AL15" s="99">
        <f t="shared" si="8"/>
        <v>-0.02</v>
      </c>
      <c r="AM15" s="99">
        <f t="shared" si="8"/>
        <v>-0.02</v>
      </c>
      <c r="AN15" s="99">
        <f t="shared" si="8"/>
        <v>-0.02</v>
      </c>
      <c r="AO15" s="99">
        <f t="shared" si="8"/>
        <v>-0.02</v>
      </c>
      <c r="AP15" s="99">
        <f t="shared" si="8"/>
        <v>-0.02</v>
      </c>
      <c r="AQ15" s="99">
        <f t="shared" si="8"/>
        <v>-0.02</v>
      </c>
      <c r="AR15" s="99">
        <f t="shared" si="8"/>
        <v>-0.02</v>
      </c>
      <c r="AS15" s="99">
        <f t="shared" si="8"/>
        <v>-0.02</v>
      </c>
      <c r="AT15" s="99">
        <f t="shared" si="8"/>
        <v>-0.02</v>
      </c>
      <c r="AU15" s="99">
        <f t="shared" si="8"/>
        <v>-0.02</v>
      </c>
      <c r="AV15" s="99">
        <f t="shared" si="8"/>
        <v>-0.02</v>
      </c>
      <c r="AW15" s="99">
        <f t="shared" si="8"/>
        <v>-0.02</v>
      </c>
      <c r="AX15" s="99">
        <f t="shared" si="8"/>
        <v>-0.02</v>
      </c>
      <c r="AY15" s="99">
        <f t="shared" si="8"/>
        <v>-0.02</v>
      </c>
      <c r="AZ15" s="99">
        <f t="shared" si="8"/>
        <v>-0.02</v>
      </c>
      <c r="BA15" s="99">
        <f t="shared" si="8"/>
        <v>-0.02</v>
      </c>
      <c r="BB15" s="99">
        <f t="shared" si="8"/>
        <v>-0.02</v>
      </c>
      <c r="BC15" s="99">
        <f t="shared" si="8"/>
        <v>-0.02</v>
      </c>
      <c r="BD15" s="99">
        <f t="shared" si="8"/>
        <v>-0.02</v>
      </c>
      <c r="BE15" s="99">
        <f t="shared" si="8"/>
        <v>-0.02</v>
      </c>
      <c r="BF15" s="99">
        <f t="shared" si="8"/>
        <v>-0.02</v>
      </c>
      <c r="BG15" s="99">
        <f t="shared" si="8"/>
        <v>-0.02</v>
      </c>
    </row>
    <row r="16" spans="1:158" s="81" customFormat="1" x14ac:dyDescent="0.2">
      <c r="B16" s="101"/>
      <c r="C16" s="81" t="s">
        <v>166</v>
      </c>
      <c r="I16" s="90"/>
      <c r="J16" s="165">
        <f>K16/(1+K15)</f>
        <v>1.0204081632653061</v>
      </c>
      <c r="K16" s="165">
        <f>L16/(1+L15)</f>
        <v>1.0204081632653061</v>
      </c>
      <c r="L16" s="165">
        <f>M16/(1+M15)</f>
        <v>1.0204081632653061</v>
      </c>
      <c r="M16" s="165">
        <f>N16/(1+N15)</f>
        <v>1.0204081632653061</v>
      </c>
      <c r="N16" s="165">
        <f>O16/(1+O15)</f>
        <v>1.0204081632653061</v>
      </c>
      <c r="O16" s="107">
        <v>1</v>
      </c>
      <c r="P16" s="114">
        <f t="shared" ref="P16" si="9">O16*(1+P15)</f>
        <v>0.98</v>
      </c>
      <c r="Q16" s="114">
        <f t="shared" ref="Q16" si="10">P16*(1+Q15)</f>
        <v>0.96039999999999992</v>
      </c>
      <c r="R16" s="114">
        <f t="shared" ref="R16" si="11">Q16*(1+R15)</f>
        <v>0.94119199999999992</v>
      </c>
      <c r="S16" s="114">
        <f t="shared" ref="S16" si="12">R16*(1+S15)</f>
        <v>0.92236815999999988</v>
      </c>
      <c r="T16" s="114">
        <f t="shared" ref="T16" si="13">S16*(1+T15)</f>
        <v>0.90392079679999982</v>
      </c>
      <c r="U16" s="114">
        <f t="shared" ref="U16" si="14">T16*(1+U15)</f>
        <v>0.8858423808639998</v>
      </c>
      <c r="V16" s="114">
        <f t="shared" ref="V16" si="15">U16*(1+V15)</f>
        <v>0.86812553324671982</v>
      </c>
      <c r="W16" s="114">
        <f t="shared" ref="W16" si="16">V16*(1+W15)</f>
        <v>0.85076302258178538</v>
      </c>
      <c r="X16" s="114">
        <f t="shared" ref="X16" si="17">W16*(1+X15)</f>
        <v>0.83374776213014967</v>
      </c>
      <c r="Y16" s="114">
        <f t="shared" ref="Y16" si="18">X16*(1+Y15)</f>
        <v>0.81707280688754669</v>
      </c>
      <c r="Z16" s="114">
        <f t="shared" ref="Z16" si="19">Y16*(1+Z15)</f>
        <v>0.80073135074979573</v>
      </c>
      <c r="AA16" s="114">
        <f t="shared" ref="AA16" si="20">Z16*(1+AA15)</f>
        <v>0.78471672373479984</v>
      </c>
      <c r="AB16" s="114">
        <f t="shared" ref="AB16" si="21">AA16*(1+AB15)</f>
        <v>0.7690223892601038</v>
      </c>
      <c r="AC16" s="114">
        <f t="shared" ref="AC16" si="22">AB16*(1+AC15)</f>
        <v>0.75364194147490171</v>
      </c>
      <c r="AD16" s="114">
        <f t="shared" ref="AD16" si="23">AC16*(1+AD15)</f>
        <v>0.73856910264540365</v>
      </c>
      <c r="AE16" s="114">
        <f t="shared" ref="AE16" si="24">AD16*(1+AE15)</f>
        <v>0.72379772059249559</v>
      </c>
      <c r="AF16" s="114">
        <f t="shared" ref="AF16" si="25">AE16*(1+AF15)</f>
        <v>0.70932176618064569</v>
      </c>
      <c r="AG16" s="114">
        <f t="shared" ref="AG16" si="26">AF16*(1+AG15)</f>
        <v>0.69513533085703272</v>
      </c>
      <c r="AH16" s="114">
        <f t="shared" ref="AH16" si="27">AG16*(1+AH15)</f>
        <v>0.68123262423989206</v>
      </c>
      <c r="AI16" s="114">
        <f t="shared" ref="AI16" si="28">AH16*(1+AI15)</f>
        <v>0.66760797175509423</v>
      </c>
      <c r="AJ16" s="114">
        <f t="shared" ref="AJ16" si="29">AI16*(1+AJ15)</f>
        <v>0.6542558123199923</v>
      </c>
      <c r="AK16" s="114">
        <f t="shared" ref="AK16" si="30">AJ16*(1+AK15)</f>
        <v>0.64117069607359245</v>
      </c>
      <c r="AL16" s="114">
        <f t="shared" ref="AL16" si="31">AK16*(1+AL15)</f>
        <v>0.62834728215212055</v>
      </c>
      <c r="AM16" s="114">
        <f t="shared" ref="AM16" si="32">AL16*(1+AM15)</f>
        <v>0.61578033650907815</v>
      </c>
      <c r="AN16" s="114">
        <f t="shared" ref="AN16" si="33">AM16*(1+AN15)</f>
        <v>0.60346472977889654</v>
      </c>
      <c r="AO16" s="114">
        <f t="shared" ref="AO16" si="34">AN16*(1+AO15)</f>
        <v>0.59139543518331861</v>
      </c>
      <c r="AP16" s="114">
        <f t="shared" ref="AP16" si="35">AO16*(1+AP15)</f>
        <v>0.57956752647965226</v>
      </c>
      <c r="AQ16" s="114">
        <f t="shared" ref="AQ16" si="36">AP16*(1+AQ15)</f>
        <v>0.56797617595005923</v>
      </c>
      <c r="AR16" s="114">
        <f t="shared" ref="AR16" si="37">AQ16*(1+AR15)</f>
        <v>0.55661665243105807</v>
      </c>
      <c r="AS16" s="114">
        <f t="shared" ref="AS16" si="38">AR16*(1+AS15)</f>
        <v>0.54548431938243691</v>
      </c>
      <c r="AT16" s="114">
        <f t="shared" ref="AT16" si="39">AS16*(1+AT15)</f>
        <v>0.53457463299478813</v>
      </c>
      <c r="AU16" s="114">
        <f t="shared" ref="AU16" si="40">AT16*(1+AU15)</f>
        <v>0.52388314033489236</v>
      </c>
      <c r="AV16" s="114">
        <f t="shared" ref="AV16" si="41">AU16*(1+AV15)</f>
        <v>0.51340547752819454</v>
      </c>
      <c r="AW16" s="114">
        <f t="shared" ref="AW16" si="42">AV16*(1+AW15)</f>
        <v>0.50313736797763065</v>
      </c>
      <c r="AX16" s="114">
        <f t="shared" ref="AX16" si="43">AW16*(1+AX15)</f>
        <v>0.493074620618078</v>
      </c>
      <c r="AY16" s="114">
        <f t="shared" ref="AY16" si="44">AX16*(1+AY15)</f>
        <v>0.48321312820571644</v>
      </c>
      <c r="AZ16" s="114">
        <f t="shared" ref="AZ16" si="45">AY16*(1+AZ15)</f>
        <v>0.47354886564160209</v>
      </c>
      <c r="BA16" s="114">
        <f t="shared" ref="BA16" si="46">AZ16*(1+BA15)</f>
        <v>0.46407788832877006</v>
      </c>
      <c r="BB16" s="114">
        <f t="shared" ref="BB16" si="47">BA16*(1+BB15)</f>
        <v>0.45479633056219465</v>
      </c>
      <c r="BC16" s="114">
        <f t="shared" ref="BC16" si="48">BB16*(1+BC15)</f>
        <v>0.44570040395095073</v>
      </c>
      <c r="BD16" s="114">
        <f t="shared" ref="BD16" si="49">BC16*(1+BD15)</f>
        <v>0.43678639587193169</v>
      </c>
      <c r="BE16" s="114">
        <f t="shared" ref="BE16" si="50">BD16*(1+BE15)</f>
        <v>0.42805066795449304</v>
      </c>
      <c r="BF16" s="114">
        <f t="shared" ref="BF16" si="51">BE16*(1+BF15)</f>
        <v>0.41948965459540316</v>
      </c>
      <c r="BG16" s="114">
        <f t="shared" ref="BG16" si="52">BF16*(1+BG15)</f>
        <v>0.41109986150349509</v>
      </c>
    </row>
    <row r="17" spans="1:60" ht="12.75" x14ac:dyDescent="0.2">
      <c r="B17" s="92" t="s">
        <v>164</v>
      </c>
      <c r="F17" s="83"/>
      <c r="G17" s="83"/>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row>
    <row r="18" spans="1:60" s="81" customFormat="1" ht="12.75" x14ac:dyDescent="0.2">
      <c r="A18" s="80"/>
      <c r="B18" s="84"/>
      <c r="C18" s="81" t="s">
        <v>141</v>
      </c>
      <c r="F18" s="83"/>
      <c r="G18" s="83" t="s">
        <v>126</v>
      </c>
      <c r="I18" s="90"/>
      <c r="J18" s="9">
        <f t="array" ref="J18:BG18">ROUNDUP(promedio_usuarios_fijos/capacidad_billing,0)</f>
        <v>2</v>
      </c>
      <c r="K18" s="9">
        <v>1</v>
      </c>
      <c r="L18" s="9">
        <v>1</v>
      </c>
      <c r="M18" s="9">
        <v>1</v>
      </c>
      <c r="N18" s="9">
        <v>1</v>
      </c>
      <c r="O18" s="9">
        <v>1</v>
      </c>
      <c r="P18" s="9">
        <v>1</v>
      </c>
      <c r="Q18" s="9">
        <v>1</v>
      </c>
      <c r="R18" s="9">
        <v>1</v>
      </c>
      <c r="S18" s="9">
        <v>1</v>
      </c>
      <c r="T18" s="9">
        <v>1</v>
      </c>
      <c r="U18" s="9">
        <v>1</v>
      </c>
      <c r="V18" s="9">
        <v>1</v>
      </c>
      <c r="W18" s="9">
        <v>1</v>
      </c>
      <c r="X18" s="9">
        <v>1</v>
      </c>
      <c r="Y18" s="9">
        <v>1</v>
      </c>
      <c r="Z18" s="9">
        <v>1</v>
      </c>
      <c r="AA18" s="9">
        <v>1</v>
      </c>
      <c r="AB18" s="9">
        <v>1</v>
      </c>
      <c r="AC18" s="9">
        <v>1</v>
      </c>
      <c r="AD18" s="9">
        <v>1</v>
      </c>
      <c r="AE18" s="9">
        <v>1</v>
      </c>
      <c r="AF18" s="9">
        <v>1</v>
      </c>
      <c r="AG18" s="9">
        <v>1</v>
      </c>
      <c r="AH18" s="9">
        <v>1</v>
      </c>
      <c r="AI18" s="9">
        <v>1</v>
      </c>
      <c r="AJ18" s="9">
        <v>1</v>
      </c>
      <c r="AK18" s="9">
        <v>1</v>
      </c>
      <c r="AL18" s="9">
        <v>1</v>
      </c>
      <c r="AM18" s="9">
        <v>1</v>
      </c>
      <c r="AN18" s="9">
        <v>1</v>
      </c>
      <c r="AO18" s="9">
        <v>1</v>
      </c>
      <c r="AP18" s="9">
        <v>1</v>
      </c>
      <c r="AQ18" s="9">
        <v>1</v>
      </c>
      <c r="AR18" s="9">
        <v>1</v>
      </c>
      <c r="AS18" s="9">
        <v>1</v>
      </c>
      <c r="AT18" s="9">
        <v>1</v>
      </c>
      <c r="AU18" s="9">
        <v>1</v>
      </c>
      <c r="AV18" s="9">
        <v>1</v>
      </c>
      <c r="AW18" s="9">
        <v>1</v>
      </c>
      <c r="AX18" s="9">
        <v>1</v>
      </c>
      <c r="AY18" s="9">
        <v>1</v>
      </c>
      <c r="AZ18" s="9">
        <v>1</v>
      </c>
      <c r="BA18" s="9">
        <v>1</v>
      </c>
      <c r="BB18" s="9">
        <v>1</v>
      </c>
      <c r="BC18" s="9">
        <v>1</v>
      </c>
      <c r="BD18" s="9">
        <v>1</v>
      </c>
      <c r="BE18" s="9">
        <v>1</v>
      </c>
      <c r="BF18" s="9">
        <v>1</v>
      </c>
      <c r="BG18" s="9">
        <v>1</v>
      </c>
      <c r="BH18" s="42"/>
    </row>
    <row r="19" spans="1:60" s="81" customFormat="1" x14ac:dyDescent="0.2">
      <c r="A19" s="80"/>
      <c r="B19" s="80"/>
      <c r="C19" s="81" t="s">
        <v>159</v>
      </c>
      <c r="F19" s="83"/>
      <c r="G19" s="83" t="s">
        <v>126</v>
      </c>
      <c r="I19" s="90"/>
      <c r="J19" s="9">
        <f t="array" ref="J19:BG19">ROUNDUP(promedio_usuarios_fijos/capacidad_CRM,0)</f>
        <v>2</v>
      </c>
      <c r="K19" s="9">
        <v>1</v>
      </c>
      <c r="L19" s="9">
        <v>1</v>
      </c>
      <c r="M19" s="9">
        <v>1</v>
      </c>
      <c r="N19" s="9">
        <v>1</v>
      </c>
      <c r="O19" s="9">
        <v>1</v>
      </c>
      <c r="P19" s="9">
        <v>1</v>
      </c>
      <c r="Q19" s="9">
        <v>1</v>
      </c>
      <c r="R19" s="9">
        <v>1</v>
      </c>
      <c r="S19" s="9">
        <v>1</v>
      </c>
      <c r="T19" s="9">
        <v>1</v>
      </c>
      <c r="U19" s="9">
        <v>1</v>
      </c>
      <c r="V19" s="9">
        <v>1</v>
      </c>
      <c r="W19" s="9">
        <v>1</v>
      </c>
      <c r="X19" s="9">
        <v>1</v>
      </c>
      <c r="Y19" s="9">
        <v>1</v>
      </c>
      <c r="Z19" s="9">
        <v>1</v>
      </c>
      <c r="AA19" s="9">
        <v>1</v>
      </c>
      <c r="AB19" s="9">
        <v>1</v>
      </c>
      <c r="AC19" s="9">
        <v>1</v>
      </c>
      <c r="AD19" s="9">
        <v>1</v>
      </c>
      <c r="AE19" s="9">
        <v>1</v>
      </c>
      <c r="AF19" s="9">
        <v>1</v>
      </c>
      <c r="AG19" s="9">
        <v>1</v>
      </c>
      <c r="AH19" s="9">
        <v>1</v>
      </c>
      <c r="AI19" s="9">
        <v>1</v>
      </c>
      <c r="AJ19" s="9">
        <v>1</v>
      </c>
      <c r="AK19" s="9">
        <v>1</v>
      </c>
      <c r="AL19" s="9">
        <v>1</v>
      </c>
      <c r="AM19" s="9">
        <v>1</v>
      </c>
      <c r="AN19" s="9">
        <v>1</v>
      </c>
      <c r="AO19" s="9">
        <v>1</v>
      </c>
      <c r="AP19" s="9">
        <v>1</v>
      </c>
      <c r="AQ19" s="9">
        <v>1</v>
      </c>
      <c r="AR19" s="9">
        <v>1</v>
      </c>
      <c r="AS19" s="9">
        <v>1</v>
      </c>
      <c r="AT19" s="9">
        <v>1</v>
      </c>
      <c r="AU19" s="9">
        <v>1</v>
      </c>
      <c r="AV19" s="9">
        <v>1</v>
      </c>
      <c r="AW19" s="9">
        <v>1</v>
      </c>
      <c r="AX19" s="9">
        <v>1</v>
      </c>
      <c r="AY19" s="9">
        <v>1</v>
      </c>
      <c r="AZ19" s="9">
        <v>1</v>
      </c>
      <c r="BA19" s="9">
        <v>1</v>
      </c>
      <c r="BB19" s="9">
        <v>1</v>
      </c>
      <c r="BC19" s="9">
        <v>1</v>
      </c>
      <c r="BD19" s="9">
        <v>1</v>
      </c>
      <c r="BE19" s="9">
        <v>1</v>
      </c>
      <c r="BF19" s="9">
        <v>1</v>
      </c>
      <c r="BG19" s="9">
        <v>1</v>
      </c>
      <c r="BH19" s="42"/>
    </row>
    <row r="20" spans="1:60" s="81" customFormat="1" x14ac:dyDescent="0.2">
      <c r="A20" s="80"/>
      <c r="B20" s="80"/>
      <c r="C20" s="81" t="s">
        <v>223</v>
      </c>
      <c r="F20" s="83"/>
      <c r="G20" s="83" t="s">
        <v>126</v>
      </c>
      <c r="I20" s="90"/>
      <c r="J20" s="9">
        <f t="array" ref="J20:BG20">ROUNDUP(promedio_usuarios_fijos*folios_por_recibo/capacidad_equipo_impresion/factor_utilizacion_equipo_impresion,0)</f>
        <v>28</v>
      </c>
      <c r="K20" s="9">
        <v>27</v>
      </c>
      <c r="L20" s="9">
        <v>26</v>
      </c>
      <c r="M20" s="9">
        <v>24</v>
      </c>
      <c r="N20" s="9">
        <v>24</v>
      </c>
      <c r="O20" s="9">
        <v>23</v>
      </c>
      <c r="P20" s="9">
        <v>21</v>
      </c>
      <c r="Q20" s="9">
        <v>21</v>
      </c>
      <c r="R20" s="9">
        <v>22</v>
      </c>
      <c r="S20" s="9">
        <v>22</v>
      </c>
      <c r="T20" s="9">
        <v>22</v>
      </c>
      <c r="U20" s="9">
        <v>22</v>
      </c>
      <c r="V20" s="9">
        <v>22</v>
      </c>
      <c r="W20" s="9">
        <v>22</v>
      </c>
      <c r="X20" s="9">
        <v>22</v>
      </c>
      <c r="Y20" s="9">
        <v>22</v>
      </c>
      <c r="Z20" s="9">
        <v>22</v>
      </c>
      <c r="AA20" s="9">
        <v>23</v>
      </c>
      <c r="AB20" s="9">
        <v>23</v>
      </c>
      <c r="AC20" s="9">
        <v>23</v>
      </c>
      <c r="AD20" s="9">
        <v>24</v>
      </c>
      <c r="AE20" s="9">
        <v>24</v>
      </c>
      <c r="AF20" s="9">
        <v>24</v>
      </c>
      <c r="AG20" s="9">
        <v>24</v>
      </c>
      <c r="AH20" s="9">
        <v>25</v>
      </c>
      <c r="AI20" s="9">
        <v>25</v>
      </c>
      <c r="AJ20" s="9">
        <v>25</v>
      </c>
      <c r="AK20" s="9">
        <v>25</v>
      </c>
      <c r="AL20" s="9">
        <v>25</v>
      </c>
      <c r="AM20" s="9">
        <v>26</v>
      </c>
      <c r="AN20" s="9">
        <v>26</v>
      </c>
      <c r="AO20" s="9">
        <v>26</v>
      </c>
      <c r="AP20" s="9">
        <v>26</v>
      </c>
      <c r="AQ20" s="9">
        <v>26</v>
      </c>
      <c r="AR20" s="9">
        <v>26</v>
      </c>
      <c r="AS20" s="9">
        <v>26</v>
      </c>
      <c r="AT20" s="9">
        <v>27</v>
      </c>
      <c r="AU20" s="9">
        <v>27</v>
      </c>
      <c r="AV20" s="9">
        <v>27</v>
      </c>
      <c r="AW20" s="9">
        <v>27</v>
      </c>
      <c r="AX20" s="9">
        <v>27</v>
      </c>
      <c r="AY20" s="9">
        <v>27</v>
      </c>
      <c r="AZ20" s="9">
        <v>27</v>
      </c>
      <c r="BA20" s="9">
        <v>27</v>
      </c>
      <c r="BB20" s="9">
        <v>27</v>
      </c>
      <c r="BC20" s="9">
        <v>27</v>
      </c>
      <c r="BD20" s="9">
        <v>27</v>
      </c>
      <c r="BE20" s="9">
        <v>27</v>
      </c>
      <c r="BF20" s="9">
        <v>27</v>
      </c>
      <c r="BG20" s="9">
        <v>27</v>
      </c>
      <c r="BH20" s="42"/>
    </row>
    <row r="21" spans="1:60" s="81" customFormat="1" ht="12.75" x14ac:dyDescent="0.2">
      <c r="A21" s="80"/>
      <c r="B21" s="84"/>
      <c r="C21" s="81" t="s">
        <v>297</v>
      </c>
      <c r="F21" s="83"/>
      <c r="G21" s="83" t="s">
        <v>126</v>
      </c>
      <c r="I21" s="90"/>
      <c r="J21" s="170">
        <f t="array" ref="J21:BG21">ROUNDUP(promedio_usuarios_fijos*folios_por_recibo/capacidad_equipo_sobreteo/factor_utilizacion_equipo_sobreteo,0)</f>
        <v>28</v>
      </c>
      <c r="K21" s="170">
        <v>27</v>
      </c>
      <c r="L21" s="170">
        <v>26</v>
      </c>
      <c r="M21" s="170">
        <v>24</v>
      </c>
      <c r="N21" s="170">
        <v>24</v>
      </c>
      <c r="O21" s="170">
        <v>23</v>
      </c>
      <c r="P21" s="170">
        <v>21</v>
      </c>
      <c r="Q21" s="170">
        <v>21</v>
      </c>
      <c r="R21" s="170">
        <v>22</v>
      </c>
      <c r="S21" s="170">
        <v>22</v>
      </c>
      <c r="T21" s="170">
        <v>22</v>
      </c>
      <c r="U21" s="170">
        <v>22</v>
      </c>
      <c r="V21" s="170">
        <v>22</v>
      </c>
      <c r="W21" s="170">
        <v>22</v>
      </c>
      <c r="X21" s="170">
        <v>22</v>
      </c>
      <c r="Y21" s="170">
        <v>22</v>
      </c>
      <c r="Z21" s="170">
        <v>22</v>
      </c>
      <c r="AA21" s="170">
        <v>23</v>
      </c>
      <c r="AB21" s="170">
        <v>23</v>
      </c>
      <c r="AC21" s="170">
        <v>23</v>
      </c>
      <c r="AD21" s="170">
        <v>24</v>
      </c>
      <c r="AE21" s="170">
        <v>24</v>
      </c>
      <c r="AF21" s="170">
        <v>24</v>
      </c>
      <c r="AG21" s="170">
        <v>24</v>
      </c>
      <c r="AH21" s="170">
        <v>25</v>
      </c>
      <c r="AI21" s="170">
        <v>25</v>
      </c>
      <c r="AJ21" s="170">
        <v>25</v>
      </c>
      <c r="AK21" s="170">
        <v>25</v>
      </c>
      <c r="AL21" s="170">
        <v>25</v>
      </c>
      <c r="AM21" s="170">
        <v>26</v>
      </c>
      <c r="AN21" s="170">
        <v>26</v>
      </c>
      <c r="AO21" s="170">
        <v>26</v>
      </c>
      <c r="AP21" s="170">
        <v>26</v>
      </c>
      <c r="AQ21" s="170">
        <v>26</v>
      </c>
      <c r="AR21" s="170">
        <v>26</v>
      </c>
      <c r="AS21" s="170">
        <v>26</v>
      </c>
      <c r="AT21" s="170">
        <v>27</v>
      </c>
      <c r="AU21" s="170">
        <v>27</v>
      </c>
      <c r="AV21" s="170">
        <v>27</v>
      </c>
      <c r="AW21" s="170">
        <v>27</v>
      </c>
      <c r="AX21" s="170">
        <v>27</v>
      </c>
      <c r="AY21" s="170">
        <v>27</v>
      </c>
      <c r="AZ21" s="170">
        <v>27</v>
      </c>
      <c r="BA21" s="170">
        <v>27</v>
      </c>
      <c r="BB21" s="170">
        <v>27</v>
      </c>
      <c r="BC21" s="170">
        <v>27</v>
      </c>
      <c r="BD21" s="170">
        <v>27</v>
      </c>
      <c r="BE21" s="170">
        <v>27</v>
      </c>
      <c r="BF21" s="170">
        <v>27</v>
      </c>
      <c r="BG21" s="170">
        <v>27</v>
      </c>
      <c r="BH21" s="42"/>
    </row>
    <row r="22" spans="1:60" s="81" customFormat="1" ht="12.75" x14ac:dyDescent="0.2">
      <c r="A22" s="80"/>
      <c r="B22" s="84"/>
      <c r="C22" s="169" t="s">
        <v>247</v>
      </c>
      <c r="F22" s="83"/>
      <c r="G22" s="83" t="s">
        <v>126</v>
      </c>
      <c r="I22" s="90"/>
      <c r="J22" s="171"/>
      <c r="K22" s="172"/>
      <c r="L22" s="172"/>
      <c r="M22" s="172"/>
      <c r="N22" s="172"/>
      <c r="O22" s="172"/>
      <c r="P22" s="172"/>
      <c r="Q22" s="172"/>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42"/>
    </row>
    <row r="23" spans="1:60" s="81" customFormat="1" ht="12.75" x14ac:dyDescent="0.2">
      <c r="A23" s="80"/>
      <c r="B23" s="84"/>
      <c r="C23" s="169" t="s">
        <v>248</v>
      </c>
      <c r="F23" s="83"/>
      <c r="G23" s="83" t="s">
        <v>126</v>
      </c>
      <c r="I23" s="90"/>
      <c r="J23" s="171"/>
      <c r="K23" s="172"/>
      <c r="L23" s="172"/>
      <c r="M23" s="172"/>
      <c r="N23" s="172"/>
      <c r="O23" s="172"/>
      <c r="P23" s="172"/>
      <c r="Q23" s="172"/>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42"/>
    </row>
    <row r="24" spans="1:60" ht="12.75" x14ac:dyDescent="0.2">
      <c r="B24" s="92" t="s">
        <v>165</v>
      </c>
      <c r="F24" s="83"/>
      <c r="G24" s="83"/>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row>
    <row r="25" spans="1:60" s="81" customFormat="1" ht="12.75" x14ac:dyDescent="0.2">
      <c r="A25" s="80"/>
      <c r="B25" s="84"/>
      <c r="C25" s="81" t="s">
        <v>141</v>
      </c>
      <c r="F25" s="175">
        <f>vida_billing</f>
        <v>10</v>
      </c>
      <c r="G25" s="83" t="s">
        <v>126</v>
      </c>
      <c r="I25" s="12"/>
      <c r="J25" s="9">
        <f ca="1">IF($F25=1,J18,IF(J$3&lt;=$F25,MAX(0,J18-I18),MAX(0,J18-SUM(OFFSET(J25,0,-($F25-1),,$F25-1)))))</f>
        <v>2</v>
      </c>
      <c r="K25" s="9">
        <f t="shared" ref="K25:BG25" ca="1" si="53">IF($F25=1,K18,IF(K$3&lt;=$F25,MAX(0,K18-J18),MAX(0,K18-SUM(OFFSET(K25,0,-($F25-1),,$F25-1)))))</f>
        <v>0</v>
      </c>
      <c r="L25" s="9">
        <f t="shared" ca="1" si="53"/>
        <v>0</v>
      </c>
      <c r="M25" s="9">
        <f t="shared" ca="1" si="53"/>
        <v>0</v>
      </c>
      <c r="N25" s="9">
        <f t="shared" ca="1" si="53"/>
        <v>0</v>
      </c>
      <c r="O25" s="9">
        <f t="shared" ca="1" si="53"/>
        <v>0</v>
      </c>
      <c r="P25" s="9">
        <f t="shared" ca="1" si="53"/>
        <v>0</v>
      </c>
      <c r="Q25" s="9">
        <f t="shared" ca="1" si="53"/>
        <v>0</v>
      </c>
      <c r="R25" s="9">
        <f t="shared" ca="1" si="53"/>
        <v>0</v>
      </c>
      <c r="S25" s="9">
        <f t="shared" ca="1" si="53"/>
        <v>0</v>
      </c>
      <c r="T25" s="9">
        <f t="shared" ca="1" si="53"/>
        <v>1</v>
      </c>
      <c r="U25" s="9">
        <f t="shared" ca="1" si="53"/>
        <v>0</v>
      </c>
      <c r="V25" s="9">
        <f t="shared" ca="1" si="53"/>
        <v>0</v>
      </c>
      <c r="W25" s="9">
        <f t="shared" ca="1" si="53"/>
        <v>0</v>
      </c>
      <c r="X25" s="9">
        <f t="shared" ca="1" si="53"/>
        <v>0</v>
      </c>
      <c r="Y25" s="9">
        <f t="shared" ca="1" si="53"/>
        <v>0</v>
      </c>
      <c r="Z25" s="9">
        <f t="shared" ca="1" si="53"/>
        <v>0</v>
      </c>
      <c r="AA25" s="9">
        <f t="shared" ca="1" si="53"/>
        <v>0</v>
      </c>
      <c r="AB25" s="9">
        <f t="shared" ca="1" si="53"/>
        <v>0</v>
      </c>
      <c r="AC25" s="9">
        <f t="shared" ca="1" si="53"/>
        <v>0</v>
      </c>
      <c r="AD25" s="9">
        <f t="shared" ca="1" si="53"/>
        <v>1</v>
      </c>
      <c r="AE25" s="9">
        <f t="shared" ca="1" si="53"/>
        <v>0</v>
      </c>
      <c r="AF25" s="9">
        <f t="shared" ca="1" si="53"/>
        <v>0</v>
      </c>
      <c r="AG25" s="9">
        <f t="shared" ca="1" si="53"/>
        <v>0</v>
      </c>
      <c r="AH25" s="9">
        <f t="shared" ca="1" si="53"/>
        <v>0</v>
      </c>
      <c r="AI25" s="9">
        <f t="shared" ca="1" si="53"/>
        <v>0</v>
      </c>
      <c r="AJ25" s="9">
        <f t="shared" ca="1" si="53"/>
        <v>0</v>
      </c>
      <c r="AK25" s="9">
        <f t="shared" ca="1" si="53"/>
        <v>0</v>
      </c>
      <c r="AL25" s="9">
        <f t="shared" ca="1" si="53"/>
        <v>0</v>
      </c>
      <c r="AM25" s="9">
        <f t="shared" ca="1" si="53"/>
        <v>0</v>
      </c>
      <c r="AN25" s="9">
        <f t="shared" ca="1" si="53"/>
        <v>1</v>
      </c>
      <c r="AO25" s="9">
        <f t="shared" ca="1" si="53"/>
        <v>0</v>
      </c>
      <c r="AP25" s="9">
        <f t="shared" ca="1" si="53"/>
        <v>0</v>
      </c>
      <c r="AQ25" s="9">
        <f t="shared" ca="1" si="53"/>
        <v>0</v>
      </c>
      <c r="AR25" s="9">
        <f t="shared" ca="1" si="53"/>
        <v>0</v>
      </c>
      <c r="AS25" s="9">
        <f t="shared" ca="1" si="53"/>
        <v>0</v>
      </c>
      <c r="AT25" s="9">
        <f t="shared" ca="1" si="53"/>
        <v>0</v>
      </c>
      <c r="AU25" s="9">
        <f t="shared" ca="1" si="53"/>
        <v>0</v>
      </c>
      <c r="AV25" s="9">
        <f t="shared" ca="1" si="53"/>
        <v>0</v>
      </c>
      <c r="AW25" s="9">
        <f t="shared" ca="1" si="53"/>
        <v>0</v>
      </c>
      <c r="AX25" s="9">
        <f t="shared" ca="1" si="53"/>
        <v>1</v>
      </c>
      <c r="AY25" s="9">
        <f t="shared" ca="1" si="53"/>
        <v>0</v>
      </c>
      <c r="AZ25" s="9">
        <f t="shared" ca="1" si="53"/>
        <v>0</v>
      </c>
      <c r="BA25" s="9">
        <f t="shared" ca="1" si="53"/>
        <v>0</v>
      </c>
      <c r="BB25" s="9">
        <f t="shared" ca="1" si="53"/>
        <v>0</v>
      </c>
      <c r="BC25" s="9">
        <f t="shared" ca="1" si="53"/>
        <v>0</v>
      </c>
      <c r="BD25" s="9">
        <f t="shared" ca="1" si="53"/>
        <v>0</v>
      </c>
      <c r="BE25" s="9">
        <f t="shared" ca="1" si="53"/>
        <v>0</v>
      </c>
      <c r="BF25" s="9">
        <f t="shared" ca="1" si="53"/>
        <v>0</v>
      </c>
      <c r="BG25" s="9">
        <f t="shared" ca="1" si="53"/>
        <v>0</v>
      </c>
      <c r="BH25" s="42"/>
    </row>
    <row r="26" spans="1:60" s="81" customFormat="1" ht="12.75" x14ac:dyDescent="0.2">
      <c r="A26" s="80"/>
      <c r="B26" s="84"/>
      <c r="C26" s="81" t="s">
        <v>159</v>
      </c>
      <c r="F26" s="175">
        <f>vida_CRM</f>
        <v>10</v>
      </c>
      <c r="G26" s="83" t="s">
        <v>126</v>
      </c>
      <c r="I26" s="12"/>
      <c r="J26" s="9">
        <f t="shared" ref="J26:BG26" ca="1" si="54">IF($F26=1,J19,IF(J$3&lt;=$F26,MAX(0,J19-I19),MAX(0,J19-SUM(OFFSET(J26,0,-($F26-1),,$F26-1)))))</f>
        <v>2</v>
      </c>
      <c r="K26" s="9">
        <f t="shared" ca="1" si="54"/>
        <v>0</v>
      </c>
      <c r="L26" s="9">
        <f t="shared" ca="1" si="54"/>
        <v>0</v>
      </c>
      <c r="M26" s="9">
        <f t="shared" ca="1" si="54"/>
        <v>0</v>
      </c>
      <c r="N26" s="9">
        <f t="shared" ca="1" si="54"/>
        <v>0</v>
      </c>
      <c r="O26" s="9">
        <f t="shared" ca="1" si="54"/>
        <v>0</v>
      </c>
      <c r="P26" s="9">
        <f t="shared" ca="1" si="54"/>
        <v>0</v>
      </c>
      <c r="Q26" s="9">
        <f t="shared" ca="1" si="54"/>
        <v>0</v>
      </c>
      <c r="R26" s="9">
        <f t="shared" ca="1" si="54"/>
        <v>0</v>
      </c>
      <c r="S26" s="9">
        <f t="shared" ca="1" si="54"/>
        <v>0</v>
      </c>
      <c r="T26" s="9">
        <f t="shared" ca="1" si="54"/>
        <v>1</v>
      </c>
      <c r="U26" s="9">
        <f t="shared" ca="1" si="54"/>
        <v>0</v>
      </c>
      <c r="V26" s="9">
        <f t="shared" ca="1" si="54"/>
        <v>0</v>
      </c>
      <c r="W26" s="9">
        <f t="shared" ca="1" si="54"/>
        <v>0</v>
      </c>
      <c r="X26" s="9">
        <f t="shared" ca="1" si="54"/>
        <v>0</v>
      </c>
      <c r="Y26" s="9">
        <f t="shared" ca="1" si="54"/>
        <v>0</v>
      </c>
      <c r="Z26" s="9">
        <f t="shared" ca="1" si="54"/>
        <v>0</v>
      </c>
      <c r="AA26" s="9">
        <f t="shared" ca="1" si="54"/>
        <v>0</v>
      </c>
      <c r="AB26" s="9">
        <f t="shared" ca="1" si="54"/>
        <v>0</v>
      </c>
      <c r="AC26" s="9">
        <f t="shared" ca="1" si="54"/>
        <v>0</v>
      </c>
      <c r="AD26" s="9">
        <f t="shared" ca="1" si="54"/>
        <v>1</v>
      </c>
      <c r="AE26" s="9">
        <f t="shared" ca="1" si="54"/>
        <v>0</v>
      </c>
      <c r="AF26" s="9">
        <f t="shared" ca="1" si="54"/>
        <v>0</v>
      </c>
      <c r="AG26" s="9">
        <f t="shared" ca="1" si="54"/>
        <v>0</v>
      </c>
      <c r="AH26" s="9">
        <f t="shared" ca="1" si="54"/>
        <v>0</v>
      </c>
      <c r="AI26" s="9">
        <f t="shared" ca="1" si="54"/>
        <v>0</v>
      </c>
      <c r="AJ26" s="9">
        <f t="shared" ca="1" si="54"/>
        <v>0</v>
      </c>
      <c r="AK26" s="9">
        <f t="shared" ca="1" si="54"/>
        <v>0</v>
      </c>
      <c r="AL26" s="9">
        <f t="shared" ca="1" si="54"/>
        <v>0</v>
      </c>
      <c r="AM26" s="9">
        <f t="shared" ca="1" si="54"/>
        <v>0</v>
      </c>
      <c r="AN26" s="9">
        <f t="shared" ca="1" si="54"/>
        <v>1</v>
      </c>
      <c r="AO26" s="9">
        <f t="shared" ca="1" si="54"/>
        <v>0</v>
      </c>
      <c r="AP26" s="9">
        <f t="shared" ca="1" si="54"/>
        <v>0</v>
      </c>
      <c r="AQ26" s="9">
        <f t="shared" ca="1" si="54"/>
        <v>0</v>
      </c>
      <c r="AR26" s="9">
        <f t="shared" ca="1" si="54"/>
        <v>0</v>
      </c>
      <c r="AS26" s="9">
        <f t="shared" ca="1" si="54"/>
        <v>0</v>
      </c>
      <c r="AT26" s="9">
        <f t="shared" ca="1" si="54"/>
        <v>0</v>
      </c>
      <c r="AU26" s="9">
        <f t="shared" ca="1" si="54"/>
        <v>0</v>
      </c>
      <c r="AV26" s="9">
        <f t="shared" ca="1" si="54"/>
        <v>0</v>
      </c>
      <c r="AW26" s="9">
        <f t="shared" ca="1" si="54"/>
        <v>0</v>
      </c>
      <c r="AX26" s="9">
        <f t="shared" ca="1" si="54"/>
        <v>1</v>
      </c>
      <c r="AY26" s="9">
        <f t="shared" ca="1" si="54"/>
        <v>0</v>
      </c>
      <c r="AZ26" s="9">
        <f t="shared" ca="1" si="54"/>
        <v>0</v>
      </c>
      <c r="BA26" s="9">
        <f t="shared" ca="1" si="54"/>
        <v>0</v>
      </c>
      <c r="BB26" s="9">
        <f t="shared" ca="1" si="54"/>
        <v>0</v>
      </c>
      <c r="BC26" s="9">
        <f t="shared" ca="1" si="54"/>
        <v>0</v>
      </c>
      <c r="BD26" s="9">
        <f t="shared" ca="1" si="54"/>
        <v>0</v>
      </c>
      <c r="BE26" s="9">
        <f t="shared" ca="1" si="54"/>
        <v>0</v>
      </c>
      <c r="BF26" s="9">
        <f t="shared" ca="1" si="54"/>
        <v>0</v>
      </c>
      <c r="BG26" s="9">
        <f t="shared" ca="1" si="54"/>
        <v>0</v>
      </c>
      <c r="BH26" s="42"/>
    </row>
    <row r="27" spans="1:60" s="81" customFormat="1" ht="12.75" x14ac:dyDescent="0.2">
      <c r="A27" s="80"/>
      <c r="B27" s="84"/>
      <c r="C27" s="81" t="s">
        <v>223</v>
      </c>
      <c r="F27" s="175">
        <f>vida_equipo_impresion</f>
        <v>5</v>
      </c>
      <c r="G27" s="83" t="s">
        <v>126</v>
      </c>
      <c r="I27" s="12"/>
      <c r="J27" s="9">
        <f t="shared" ref="J27:BG27" ca="1" si="55">IF($F27=1,J20,IF(J$3&lt;=$F27,MAX(0,J20-I20),MAX(0,J20-SUM(OFFSET(J27,0,-($F27-1),,$F27-1)))))</f>
        <v>28</v>
      </c>
      <c r="K27" s="9">
        <f t="shared" ca="1" si="55"/>
        <v>0</v>
      </c>
      <c r="L27" s="9">
        <f t="shared" ca="1" si="55"/>
        <v>0</v>
      </c>
      <c r="M27" s="9">
        <f t="shared" ca="1" si="55"/>
        <v>0</v>
      </c>
      <c r="N27" s="9">
        <f t="shared" ca="1" si="55"/>
        <v>0</v>
      </c>
      <c r="O27" s="9">
        <f t="shared" ca="1" si="55"/>
        <v>23</v>
      </c>
      <c r="P27" s="9">
        <f t="shared" ca="1" si="55"/>
        <v>0</v>
      </c>
      <c r="Q27" s="9">
        <f t="shared" ca="1" si="55"/>
        <v>0</v>
      </c>
      <c r="R27" s="9">
        <f t="shared" ca="1" si="55"/>
        <v>0</v>
      </c>
      <c r="S27" s="9">
        <f t="shared" ca="1" si="55"/>
        <v>0</v>
      </c>
      <c r="T27" s="9">
        <f t="shared" ca="1" si="55"/>
        <v>22</v>
      </c>
      <c r="U27" s="9">
        <f t="shared" ca="1" si="55"/>
        <v>0</v>
      </c>
      <c r="V27" s="9">
        <f t="shared" ca="1" si="55"/>
        <v>0</v>
      </c>
      <c r="W27" s="9">
        <f t="shared" ca="1" si="55"/>
        <v>0</v>
      </c>
      <c r="X27" s="9">
        <f t="shared" ca="1" si="55"/>
        <v>0</v>
      </c>
      <c r="Y27" s="9">
        <f t="shared" ca="1" si="55"/>
        <v>22</v>
      </c>
      <c r="Z27" s="9">
        <f t="shared" ca="1" si="55"/>
        <v>0</v>
      </c>
      <c r="AA27" s="9">
        <f t="shared" ca="1" si="55"/>
        <v>1</v>
      </c>
      <c r="AB27" s="9">
        <f t="shared" ca="1" si="55"/>
        <v>0</v>
      </c>
      <c r="AC27" s="9">
        <f t="shared" ca="1" si="55"/>
        <v>0</v>
      </c>
      <c r="AD27" s="9">
        <f t="shared" ca="1" si="55"/>
        <v>23</v>
      </c>
      <c r="AE27" s="9">
        <f t="shared" ca="1" si="55"/>
        <v>0</v>
      </c>
      <c r="AF27" s="9">
        <f t="shared" ca="1" si="55"/>
        <v>1</v>
      </c>
      <c r="AG27" s="9">
        <f t="shared" ca="1" si="55"/>
        <v>0</v>
      </c>
      <c r="AH27" s="9">
        <f t="shared" ca="1" si="55"/>
        <v>1</v>
      </c>
      <c r="AI27" s="9">
        <f t="shared" ca="1" si="55"/>
        <v>23</v>
      </c>
      <c r="AJ27" s="9">
        <f t="shared" ca="1" si="55"/>
        <v>0</v>
      </c>
      <c r="AK27" s="9">
        <f t="shared" ca="1" si="55"/>
        <v>1</v>
      </c>
      <c r="AL27" s="9">
        <f t="shared" ca="1" si="55"/>
        <v>0</v>
      </c>
      <c r="AM27" s="9">
        <f t="shared" ca="1" si="55"/>
        <v>2</v>
      </c>
      <c r="AN27" s="9">
        <f t="shared" ca="1" si="55"/>
        <v>23</v>
      </c>
      <c r="AO27" s="9">
        <f t="shared" ca="1" si="55"/>
        <v>0</v>
      </c>
      <c r="AP27" s="9">
        <f t="shared" ca="1" si="55"/>
        <v>1</v>
      </c>
      <c r="AQ27" s="9">
        <f t="shared" ca="1" si="55"/>
        <v>0</v>
      </c>
      <c r="AR27" s="9">
        <f t="shared" ca="1" si="55"/>
        <v>2</v>
      </c>
      <c r="AS27" s="9">
        <f t="shared" ca="1" si="55"/>
        <v>23</v>
      </c>
      <c r="AT27" s="9">
        <f t="shared" ca="1" si="55"/>
        <v>1</v>
      </c>
      <c r="AU27" s="9">
        <f t="shared" ca="1" si="55"/>
        <v>1</v>
      </c>
      <c r="AV27" s="9">
        <f t="shared" ca="1" si="55"/>
        <v>0</v>
      </c>
      <c r="AW27" s="9">
        <f t="shared" ca="1" si="55"/>
        <v>2</v>
      </c>
      <c r="AX27" s="9">
        <f t="shared" ca="1" si="55"/>
        <v>23</v>
      </c>
      <c r="AY27" s="9">
        <f t="shared" ca="1" si="55"/>
        <v>1</v>
      </c>
      <c r="AZ27" s="9">
        <f t="shared" ca="1" si="55"/>
        <v>1</v>
      </c>
      <c r="BA27" s="9">
        <f t="shared" ca="1" si="55"/>
        <v>0</v>
      </c>
      <c r="BB27" s="9">
        <f t="shared" ca="1" si="55"/>
        <v>2</v>
      </c>
      <c r="BC27" s="9">
        <f t="shared" ca="1" si="55"/>
        <v>23</v>
      </c>
      <c r="BD27" s="9">
        <f t="shared" ca="1" si="55"/>
        <v>1</v>
      </c>
      <c r="BE27" s="9">
        <f t="shared" ca="1" si="55"/>
        <v>1</v>
      </c>
      <c r="BF27" s="9">
        <f t="shared" ca="1" si="55"/>
        <v>0</v>
      </c>
      <c r="BG27" s="9">
        <f t="shared" ca="1" si="55"/>
        <v>2</v>
      </c>
      <c r="BH27" s="42"/>
    </row>
    <row r="28" spans="1:60" s="81" customFormat="1" ht="12.75" x14ac:dyDescent="0.2">
      <c r="A28" s="80"/>
      <c r="B28" s="84"/>
      <c r="C28" s="81" t="s">
        <v>297</v>
      </c>
      <c r="F28" s="175">
        <f>vida_equipo_sobreteo</f>
        <v>5</v>
      </c>
      <c r="G28" s="83" t="s">
        <v>126</v>
      </c>
      <c r="I28" s="12"/>
      <c r="J28" s="9">
        <f t="shared" ref="J28:BG28" ca="1" si="56">IF($F28=1,J21,IF(J$3&lt;=$F28,MAX(0,J21-I21),MAX(0,J21-SUM(OFFSET(J28,0,-($F28-1),,$F28-1)))))</f>
        <v>28</v>
      </c>
      <c r="K28" s="9">
        <f t="shared" ca="1" si="56"/>
        <v>0</v>
      </c>
      <c r="L28" s="9">
        <f t="shared" ca="1" si="56"/>
        <v>0</v>
      </c>
      <c r="M28" s="9">
        <f t="shared" ca="1" si="56"/>
        <v>0</v>
      </c>
      <c r="N28" s="9">
        <f t="shared" ca="1" si="56"/>
        <v>0</v>
      </c>
      <c r="O28" s="9">
        <f t="shared" ca="1" si="56"/>
        <v>23</v>
      </c>
      <c r="P28" s="9">
        <f t="shared" ca="1" si="56"/>
        <v>0</v>
      </c>
      <c r="Q28" s="9">
        <f t="shared" ca="1" si="56"/>
        <v>0</v>
      </c>
      <c r="R28" s="9">
        <f t="shared" ca="1" si="56"/>
        <v>0</v>
      </c>
      <c r="S28" s="9">
        <f t="shared" ca="1" si="56"/>
        <v>0</v>
      </c>
      <c r="T28" s="9">
        <f t="shared" ca="1" si="56"/>
        <v>22</v>
      </c>
      <c r="U28" s="9">
        <f t="shared" ca="1" si="56"/>
        <v>0</v>
      </c>
      <c r="V28" s="9">
        <f t="shared" ca="1" si="56"/>
        <v>0</v>
      </c>
      <c r="W28" s="9">
        <f t="shared" ca="1" si="56"/>
        <v>0</v>
      </c>
      <c r="X28" s="9">
        <f t="shared" ca="1" si="56"/>
        <v>0</v>
      </c>
      <c r="Y28" s="9">
        <f t="shared" ca="1" si="56"/>
        <v>22</v>
      </c>
      <c r="Z28" s="9">
        <f t="shared" ca="1" si="56"/>
        <v>0</v>
      </c>
      <c r="AA28" s="9">
        <f t="shared" ca="1" si="56"/>
        <v>1</v>
      </c>
      <c r="AB28" s="9">
        <f t="shared" ca="1" si="56"/>
        <v>0</v>
      </c>
      <c r="AC28" s="9">
        <f t="shared" ca="1" si="56"/>
        <v>0</v>
      </c>
      <c r="AD28" s="9">
        <f t="shared" ca="1" si="56"/>
        <v>23</v>
      </c>
      <c r="AE28" s="9">
        <f t="shared" ca="1" si="56"/>
        <v>0</v>
      </c>
      <c r="AF28" s="9">
        <f t="shared" ca="1" si="56"/>
        <v>1</v>
      </c>
      <c r="AG28" s="9">
        <f t="shared" ca="1" si="56"/>
        <v>0</v>
      </c>
      <c r="AH28" s="9">
        <f t="shared" ca="1" si="56"/>
        <v>1</v>
      </c>
      <c r="AI28" s="9">
        <f t="shared" ca="1" si="56"/>
        <v>23</v>
      </c>
      <c r="AJ28" s="9">
        <f t="shared" ca="1" si="56"/>
        <v>0</v>
      </c>
      <c r="AK28" s="9">
        <f t="shared" ca="1" si="56"/>
        <v>1</v>
      </c>
      <c r="AL28" s="9">
        <f t="shared" ca="1" si="56"/>
        <v>0</v>
      </c>
      <c r="AM28" s="9">
        <f t="shared" ca="1" si="56"/>
        <v>2</v>
      </c>
      <c r="AN28" s="9">
        <f t="shared" ca="1" si="56"/>
        <v>23</v>
      </c>
      <c r="AO28" s="9">
        <f t="shared" ca="1" si="56"/>
        <v>0</v>
      </c>
      <c r="AP28" s="9">
        <f t="shared" ca="1" si="56"/>
        <v>1</v>
      </c>
      <c r="AQ28" s="9">
        <f t="shared" ca="1" si="56"/>
        <v>0</v>
      </c>
      <c r="AR28" s="9">
        <f t="shared" ca="1" si="56"/>
        <v>2</v>
      </c>
      <c r="AS28" s="9">
        <f t="shared" ca="1" si="56"/>
        <v>23</v>
      </c>
      <c r="AT28" s="9">
        <f t="shared" ca="1" si="56"/>
        <v>1</v>
      </c>
      <c r="AU28" s="9">
        <f t="shared" ca="1" si="56"/>
        <v>1</v>
      </c>
      <c r="AV28" s="9">
        <f t="shared" ca="1" si="56"/>
        <v>0</v>
      </c>
      <c r="AW28" s="9">
        <f t="shared" ca="1" si="56"/>
        <v>2</v>
      </c>
      <c r="AX28" s="9">
        <f t="shared" ca="1" si="56"/>
        <v>23</v>
      </c>
      <c r="AY28" s="9">
        <f t="shared" ca="1" si="56"/>
        <v>1</v>
      </c>
      <c r="AZ28" s="9">
        <f t="shared" ca="1" si="56"/>
        <v>1</v>
      </c>
      <c r="BA28" s="9">
        <f t="shared" ca="1" si="56"/>
        <v>0</v>
      </c>
      <c r="BB28" s="9">
        <f t="shared" ca="1" si="56"/>
        <v>2</v>
      </c>
      <c r="BC28" s="9">
        <f t="shared" ca="1" si="56"/>
        <v>23</v>
      </c>
      <c r="BD28" s="9">
        <f t="shared" ca="1" si="56"/>
        <v>1</v>
      </c>
      <c r="BE28" s="9">
        <f t="shared" ca="1" si="56"/>
        <v>1</v>
      </c>
      <c r="BF28" s="9">
        <f t="shared" ca="1" si="56"/>
        <v>0</v>
      </c>
      <c r="BG28" s="9">
        <f t="shared" ca="1" si="56"/>
        <v>2</v>
      </c>
      <c r="BH28" s="42"/>
    </row>
    <row r="29" spans="1:60" s="81" customFormat="1" ht="12.75" x14ac:dyDescent="0.2">
      <c r="A29" s="80"/>
      <c r="B29" s="84"/>
      <c r="C29" s="169" t="s">
        <v>247</v>
      </c>
      <c r="F29" s="171"/>
      <c r="G29" s="83" t="s">
        <v>126</v>
      </c>
      <c r="I29" s="12"/>
      <c r="J29" s="177">
        <f t="shared" ref="J29:BG29" ca="1" si="57">IF($F29=1,J22,IF(J$3&lt;=$F29,MAX(0,J22-I22),MAX(0,J22-SUM(OFFSET(J29,0,-($F29-1),,$F29-1)))))</f>
        <v>0</v>
      </c>
      <c r="K29" s="177">
        <f t="shared" ca="1" si="57"/>
        <v>0</v>
      </c>
      <c r="L29" s="177">
        <f t="shared" ca="1" si="57"/>
        <v>0</v>
      </c>
      <c r="M29" s="177">
        <f t="shared" ca="1" si="57"/>
        <v>0</v>
      </c>
      <c r="N29" s="177">
        <f t="shared" ca="1" si="57"/>
        <v>0</v>
      </c>
      <c r="O29" s="177">
        <f t="shared" ca="1" si="57"/>
        <v>0</v>
      </c>
      <c r="P29" s="177">
        <f t="shared" ca="1" si="57"/>
        <v>0</v>
      </c>
      <c r="Q29" s="177">
        <f t="shared" ca="1" si="57"/>
        <v>0</v>
      </c>
      <c r="R29" s="177">
        <f t="shared" ca="1" si="57"/>
        <v>0</v>
      </c>
      <c r="S29" s="177">
        <f t="shared" ca="1" si="57"/>
        <v>0</v>
      </c>
      <c r="T29" s="177">
        <f t="shared" ca="1" si="57"/>
        <v>0</v>
      </c>
      <c r="U29" s="177">
        <f t="shared" ca="1" si="57"/>
        <v>0</v>
      </c>
      <c r="V29" s="177">
        <f t="shared" ca="1" si="57"/>
        <v>0</v>
      </c>
      <c r="W29" s="177">
        <f t="shared" ca="1" si="57"/>
        <v>0</v>
      </c>
      <c r="X29" s="177">
        <f t="shared" ca="1" si="57"/>
        <v>0</v>
      </c>
      <c r="Y29" s="177">
        <f t="shared" ca="1" si="57"/>
        <v>0</v>
      </c>
      <c r="Z29" s="177">
        <f t="shared" ca="1" si="57"/>
        <v>0</v>
      </c>
      <c r="AA29" s="177">
        <f t="shared" ca="1" si="57"/>
        <v>0</v>
      </c>
      <c r="AB29" s="177">
        <f t="shared" ca="1" si="57"/>
        <v>0</v>
      </c>
      <c r="AC29" s="177">
        <f t="shared" ca="1" si="57"/>
        <v>0</v>
      </c>
      <c r="AD29" s="177">
        <f t="shared" ca="1" si="57"/>
        <v>0</v>
      </c>
      <c r="AE29" s="177">
        <f t="shared" ca="1" si="57"/>
        <v>0</v>
      </c>
      <c r="AF29" s="177">
        <f t="shared" ca="1" si="57"/>
        <v>0</v>
      </c>
      <c r="AG29" s="177">
        <f t="shared" ca="1" si="57"/>
        <v>0</v>
      </c>
      <c r="AH29" s="177">
        <f t="shared" ca="1" si="57"/>
        <v>0</v>
      </c>
      <c r="AI29" s="177">
        <f t="shared" ca="1" si="57"/>
        <v>0</v>
      </c>
      <c r="AJ29" s="177">
        <f t="shared" ca="1" si="57"/>
        <v>0</v>
      </c>
      <c r="AK29" s="177">
        <f t="shared" ca="1" si="57"/>
        <v>0</v>
      </c>
      <c r="AL29" s="177">
        <f t="shared" ca="1" si="57"/>
        <v>0</v>
      </c>
      <c r="AM29" s="177">
        <f t="shared" ca="1" si="57"/>
        <v>0</v>
      </c>
      <c r="AN29" s="177">
        <f t="shared" ca="1" si="57"/>
        <v>0</v>
      </c>
      <c r="AO29" s="177">
        <f t="shared" ca="1" si="57"/>
        <v>0</v>
      </c>
      <c r="AP29" s="177">
        <f t="shared" ca="1" si="57"/>
        <v>0</v>
      </c>
      <c r="AQ29" s="177">
        <f t="shared" ca="1" si="57"/>
        <v>0</v>
      </c>
      <c r="AR29" s="177">
        <f t="shared" ca="1" si="57"/>
        <v>0</v>
      </c>
      <c r="AS29" s="177">
        <f t="shared" ca="1" si="57"/>
        <v>0</v>
      </c>
      <c r="AT29" s="177">
        <f t="shared" ca="1" si="57"/>
        <v>0</v>
      </c>
      <c r="AU29" s="177">
        <f t="shared" ca="1" si="57"/>
        <v>0</v>
      </c>
      <c r="AV29" s="177">
        <f t="shared" ca="1" si="57"/>
        <v>0</v>
      </c>
      <c r="AW29" s="177">
        <f t="shared" ca="1" si="57"/>
        <v>0</v>
      </c>
      <c r="AX29" s="177">
        <f t="shared" ca="1" si="57"/>
        <v>0</v>
      </c>
      <c r="AY29" s="177">
        <f t="shared" ca="1" si="57"/>
        <v>0</v>
      </c>
      <c r="AZ29" s="177">
        <f t="shared" ca="1" si="57"/>
        <v>0</v>
      </c>
      <c r="BA29" s="177">
        <f t="shared" ca="1" si="57"/>
        <v>0</v>
      </c>
      <c r="BB29" s="177">
        <f t="shared" ca="1" si="57"/>
        <v>0</v>
      </c>
      <c r="BC29" s="177">
        <f t="shared" ca="1" si="57"/>
        <v>0</v>
      </c>
      <c r="BD29" s="177">
        <f t="shared" ca="1" si="57"/>
        <v>0</v>
      </c>
      <c r="BE29" s="177">
        <f t="shared" ca="1" si="57"/>
        <v>0</v>
      </c>
      <c r="BF29" s="177">
        <f t="shared" ca="1" si="57"/>
        <v>0</v>
      </c>
      <c r="BG29" s="177">
        <f t="shared" ca="1" si="57"/>
        <v>0</v>
      </c>
      <c r="BH29" s="42"/>
    </row>
    <row r="30" spans="1:60" s="81" customFormat="1" ht="12.75" x14ac:dyDescent="0.2">
      <c r="A30" s="80"/>
      <c r="B30" s="84"/>
      <c r="C30" s="169" t="s">
        <v>248</v>
      </c>
      <c r="F30" s="171"/>
      <c r="G30" s="83" t="s">
        <v>126</v>
      </c>
      <c r="I30" s="12"/>
      <c r="J30" s="177">
        <f t="shared" ref="J30:BG30" ca="1" si="58">IF($F30=1,J23,IF(J$3&lt;=$F30,MAX(0,J23-I23),MAX(0,J23-SUM(OFFSET(J30,0,-($F30-1),,$F30-1)))))</f>
        <v>0</v>
      </c>
      <c r="K30" s="177">
        <f t="shared" ca="1" si="58"/>
        <v>0</v>
      </c>
      <c r="L30" s="177">
        <f t="shared" ca="1" si="58"/>
        <v>0</v>
      </c>
      <c r="M30" s="177">
        <f t="shared" ca="1" si="58"/>
        <v>0</v>
      </c>
      <c r="N30" s="177">
        <f t="shared" ca="1" si="58"/>
        <v>0</v>
      </c>
      <c r="O30" s="177">
        <f t="shared" ca="1" si="58"/>
        <v>0</v>
      </c>
      <c r="P30" s="177">
        <f t="shared" ca="1" si="58"/>
        <v>0</v>
      </c>
      <c r="Q30" s="177">
        <f t="shared" ca="1" si="58"/>
        <v>0</v>
      </c>
      <c r="R30" s="177">
        <f t="shared" ca="1" si="58"/>
        <v>0</v>
      </c>
      <c r="S30" s="177">
        <f t="shared" ca="1" si="58"/>
        <v>0</v>
      </c>
      <c r="T30" s="177">
        <f t="shared" ca="1" si="58"/>
        <v>0</v>
      </c>
      <c r="U30" s="177">
        <f t="shared" ca="1" si="58"/>
        <v>0</v>
      </c>
      <c r="V30" s="177">
        <f t="shared" ca="1" si="58"/>
        <v>0</v>
      </c>
      <c r="W30" s="177">
        <f t="shared" ca="1" si="58"/>
        <v>0</v>
      </c>
      <c r="X30" s="177">
        <f t="shared" ca="1" si="58"/>
        <v>0</v>
      </c>
      <c r="Y30" s="177">
        <f t="shared" ca="1" si="58"/>
        <v>0</v>
      </c>
      <c r="Z30" s="177">
        <f t="shared" ca="1" si="58"/>
        <v>0</v>
      </c>
      <c r="AA30" s="177">
        <f t="shared" ca="1" si="58"/>
        <v>0</v>
      </c>
      <c r="AB30" s="177">
        <f t="shared" ca="1" si="58"/>
        <v>0</v>
      </c>
      <c r="AC30" s="177">
        <f t="shared" ca="1" si="58"/>
        <v>0</v>
      </c>
      <c r="AD30" s="177">
        <f t="shared" ca="1" si="58"/>
        <v>0</v>
      </c>
      <c r="AE30" s="177">
        <f t="shared" ca="1" si="58"/>
        <v>0</v>
      </c>
      <c r="AF30" s="177">
        <f t="shared" ca="1" si="58"/>
        <v>0</v>
      </c>
      <c r="AG30" s="177">
        <f t="shared" ca="1" si="58"/>
        <v>0</v>
      </c>
      <c r="AH30" s="177">
        <f t="shared" ca="1" si="58"/>
        <v>0</v>
      </c>
      <c r="AI30" s="177">
        <f t="shared" ca="1" si="58"/>
        <v>0</v>
      </c>
      <c r="AJ30" s="177">
        <f t="shared" ca="1" si="58"/>
        <v>0</v>
      </c>
      <c r="AK30" s="177">
        <f t="shared" ca="1" si="58"/>
        <v>0</v>
      </c>
      <c r="AL30" s="177">
        <f t="shared" ca="1" si="58"/>
        <v>0</v>
      </c>
      <c r="AM30" s="177">
        <f t="shared" ca="1" si="58"/>
        <v>0</v>
      </c>
      <c r="AN30" s="177">
        <f t="shared" ca="1" si="58"/>
        <v>0</v>
      </c>
      <c r="AO30" s="177">
        <f t="shared" ca="1" si="58"/>
        <v>0</v>
      </c>
      <c r="AP30" s="177">
        <f t="shared" ca="1" si="58"/>
        <v>0</v>
      </c>
      <c r="AQ30" s="177">
        <f t="shared" ca="1" si="58"/>
        <v>0</v>
      </c>
      <c r="AR30" s="177">
        <f t="shared" ca="1" si="58"/>
        <v>0</v>
      </c>
      <c r="AS30" s="177">
        <f t="shared" ca="1" si="58"/>
        <v>0</v>
      </c>
      <c r="AT30" s="177">
        <f t="shared" ca="1" si="58"/>
        <v>0</v>
      </c>
      <c r="AU30" s="177">
        <f t="shared" ca="1" si="58"/>
        <v>0</v>
      </c>
      <c r="AV30" s="177">
        <f t="shared" ca="1" si="58"/>
        <v>0</v>
      </c>
      <c r="AW30" s="177">
        <f t="shared" ca="1" si="58"/>
        <v>0</v>
      </c>
      <c r="AX30" s="177">
        <f t="shared" ca="1" si="58"/>
        <v>0</v>
      </c>
      <c r="AY30" s="177">
        <f t="shared" ca="1" si="58"/>
        <v>0</v>
      </c>
      <c r="AZ30" s="177">
        <f t="shared" ca="1" si="58"/>
        <v>0</v>
      </c>
      <c r="BA30" s="177">
        <f t="shared" ca="1" si="58"/>
        <v>0</v>
      </c>
      <c r="BB30" s="177">
        <f t="shared" ca="1" si="58"/>
        <v>0</v>
      </c>
      <c r="BC30" s="177">
        <f t="shared" ca="1" si="58"/>
        <v>0</v>
      </c>
      <c r="BD30" s="177">
        <f t="shared" ca="1" si="58"/>
        <v>0</v>
      </c>
      <c r="BE30" s="177">
        <f t="shared" ca="1" si="58"/>
        <v>0</v>
      </c>
      <c r="BF30" s="177">
        <f t="shared" ca="1" si="58"/>
        <v>0</v>
      </c>
      <c r="BG30" s="177">
        <f t="shared" ca="1" si="58"/>
        <v>0</v>
      </c>
      <c r="BH30" s="42"/>
    </row>
    <row r="31" spans="1:60" ht="12.75" x14ac:dyDescent="0.2">
      <c r="B31" s="92" t="s">
        <v>155</v>
      </c>
      <c r="F31" s="83"/>
      <c r="G31" s="83"/>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row>
    <row r="32" spans="1:60" ht="12.75" x14ac:dyDescent="0.2">
      <c r="B32" s="92"/>
      <c r="C32" s="81" t="s">
        <v>141</v>
      </c>
      <c r="F32" s="83"/>
      <c r="G32" s="83" t="s">
        <v>139</v>
      </c>
      <c r="I32" s="90"/>
      <c r="J32" s="9">
        <f t="shared" ref="J32:Q32" ca="1" si="59">J25*J9</f>
        <v>40816326.530612245</v>
      </c>
      <c r="K32" s="9">
        <f t="shared" ca="1" si="59"/>
        <v>0</v>
      </c>
      <c r="L32" s="9">
        <f t="shared" ca="1" si="59"/>
        <v>0</v>
      </c>
      <c r="M32" s="9">
        <f t="shared" ca="1" si="59"/>
        <v>0</v>
      </c>
      <c r="N32" s="9">
        <f t="shared" ca="1" si="59"/>
        <v>0</v>
      </c>
      <c r="O32" s="9">
        <f t="shared" ca="1" si="59"/>
        <v>0</v>
      </c>
      <c r="P32" s="9">
        <f t="shared" ca="1" si="59"/>
        <v>0</v>
      </c>
      <c r="Q32" s="9">
        <f t="shared" ca="1" si="59"/>
        <v>0</v>
      </c>
      <c r="R32" s="9">
        <f t="shared" ref="R32" ca="1" si="60">R25*R9</f>
        <v>0</v>
      </c>
      <c r="S32" s="9">
        <f t="shared" ref="S32:BG32" ca="1" si="61">S25*S9</f>
        <v>0</v>
      </c>
      <c r="T32" s="9">
        <f t="shared" ca="1" si="61"/>
        <v>18078415.935999997</v>
      </c>
      <c r="U32" s="9">
        <f t="shared" ca="1" si="61"/>
        <v>0</v>
      </c>
      <c r="V32" s="9">
        <f t="shared" ca="1" si="61"/>
        <v>0</v>
      </c>
      <c r="W32" s="9">
        <f t="shared" ca="1" si="61"/>
        <v>0</v>
      </c>
      <c r="X32" s="9">
        <f t="shared" ca="1" si="61"/>
        <v>0</v>
      </c>
      <c r="Y32" s="9">
        <f t="shared" ca="1" si="61"/>
        <v>0</v>
      </c>
      <c r="Z32" s="9">
        <f t="shared" ca="1" si="61"/>
        <v>0</v>
      </c>
      <c r="AA32" s="9">
        <f t="shared" ca="1" si="61"/>
        <v>0</v>
      </c>
      <c r="AB32" s="9">
        <f t="shared" ca="1" si="61"/>
        <v>0</v>
      </c>
      <c r="AC32" s="9">
        <f t="shared" ca="1" si="61"/>
        <v>0</v>
      </c>
      <c r="AD32" s="9">
        <f t="shared" ca="1" si="61"/>
        <v>14771382.052908072</v>
      </c>
      <c r="AE32" s="9">
        <f t="shared" ca="1" si="61"/>
        <v>0</v>
      </c>
      <c r="AF32" s="9">
        <f t="shared" ca="1" si="61"/>
        <v>0</v>
      </c>
      <c r="AG32" s="9">
        <f t="shared" ca="1" si="61"/>
        <v>0</v>
      </c>
      <c r="AH32" s="9">
        <f t="shared" ca="1" si="61"/>
        <v>0</v>
      </c>
      <c r="AI32" s="9">
        <f t="shared" ca="1" si="61"/>
        <v>0</v>
      </c>
      <c r="AJ32" s="9">
        <f t="shared" ca="1" si="61"/>
        <v>0</v>
      </c>
      <c r="AK32" s="9">
        <f t="shared" ca="1" si="61"/>
        <v>0</v>
      </c>
      <c r="AL32" s="9">
        <f t="shared" ca="1" si="61"/>
        <v>0</v>
      </c>
      <c r="AM32" s="9">
        <f t="shared" ca="1" si="61"/>
        <v>0</v>
      </c>
      <c r="AN32" s="9">
        <f t="shared" ca="1" si="61"/>
        <v>12069294.595577931</v>
      </c>
      <c r="AO32" s="9">
        <f t="shared" ca="1" si="61"/>
        <v>0</v>
      </c>
      <c r="AP32" s="9">
        <f t="shared" ca="1" si="61"/>
        <v>0</v>
      </c>
      <c r="AQ32" s="9">
        <f t="shared" ca="1" si="61"/>
        <v>0</v>
      </c>
      <c r="AR32" s="9">
        <f t="shared" ca="1" si="61"/>
        <v>0</v>
      </c>
      <c r="AS32" s="9">
        <f t="shared" ca="1" si="61"/>
        <v>0</v>
      </c>
      <c r="AT32" s="9">
        <f t="shared" ca="1" si="61"/>
        <v>0</v>
      </c>
      <c r="AU32" s="9">
        <f t="shared" ca="1" si="61"/>
        <v>0</v>
      </c>
      <c r="AV32" s="9">
        <f t="shared" ca="1" si="61"/>
        <v>0</v>
      </c>
      <c r="AW32" s="9">
        <f t="shared" ca="1" si="61"/>
        <v>0</v>
      </c>
      <c r="AX32" s="9">
        <f t="shared" ca="1" si="61"/>
        <v>9861492.4123615604</v>
      </c>
      <c r="AY32" s="9">
        <f t="shared" ca="1" si="61"/>
        <v>0</v>
      </c>
      <c r="AZ32" s="9">
        <f t="shared" ca="1" si="61"/>
        <v>0</v>
      </c>
      <c r="BA32" s="9">
        <f t="shared" ca="1" si="61"/>
        <v>0</v>
      </c>
      <c r="BB32" s="9">
        <f t="shared" ca="1" si="61"/>
        <v>0</v>
      </c>
      <c r="BC32" s="9">
        <f t="shared" ca="1" si="61"/>
        <v>0</v>
      </c>
      <c r="BD32" s="9">
        <f t="shared" ca="1" si="61"/>
        <v>0</v>
      </c>
      <c r="BE32" s="9">
        <f t="shared" ca="1" si="61"/>
        <v>0</v>
      </c>
      <c r="BF32" s="9">
        <f t="shared" ca="1" si="61"/>
        <v>0</v>
      </c>
      <c r="BG32" s="9">
        <f t="shared" ca="1" si="61"/>
        <v>0</v>
      </c>
    </row>
    <row r="33" spans="2:59" ht="12.75" x14ac:dyDescent="0.2">
      <c r="B33" s="92"/>
      <c r="C33" s="81" t="s">
        <v>159</v>
      </c>
      <c r="F33" s="83"/>
      <c r="G33" s="83" t="s">
        <v>139</v>
      </c>
      <c r="I33" s="90"/>
      <c r="J33" s="9">
        <f t="shared" ref="J33:Q33" ca="1" si="62">J26*J10</f>
        <v>122448979.59183674</v>
      </c>
      <c r="K33" s="9">
        <f t="shared" ca="1" si="62"/>
        <v>0</v>
      </c>
      <c r="L33" s="9">
        <f t="shared" ca="1" si="62"/>
        <v>0</v>
      </c>
      <c r="M33" s="9">
        <f t="shared" ca="1" si="62"/>
        <v>0</v>
      </c>
      <c r="N33" s="9">
        <f t="shared" ca="1" si="62"/>
        <v>0</v>
      </c>
      <c r="O33" s="9">
        <f t="shared" ca="1" si="62"/>
        <v>0</v>
      </c>
      <c r="P33" s="9">
        <f t="shared" ca="1" si="62"/>
        <v>0</v>
      </c>
      <c r="Q33" s="9">
        <f t="shared" ca="1" si="62"/>
        <v>0</v>
      </c>
      <c r="R33" s="9">
        <f t="shared" ref="R33" ca="1" si="63">R26*R10</f>
        <v>0</v>
      </c>
      <c r="S33" s="9">
        <f t="shared" ref="S33:BG33" ca="1" si="64">S26*S10</f>
        <v>0</v>
      </c>
      <c r="T33" s="9">
        <f t="shared" ca="1" si="64"/>
        <v>54235247.807999991</v>
      </c>
      <c r="U33" s="9">
        <f t="shared" ca="1" si="64"/>
        <v>0</v>
      </c>
      <c r="V33" s="9">
        <f t="shared" ca="1" si="64"/>
        <v>0</v>
      </c>
      <c r="W33" s="9">
        <f t="shared" ca="1" si="64"/>
        <v>0</v>
      </c>
      <c r="X33" s="9">
        <f t="shared" ca="1" si="64"/>
        <v>0</v>
      </c>
      <c r="Y33" s="9">
        <f t="shared" ca="1" si="64"/>
        <v>0</v>
      </c>
      <c r="Z33" s="9">
        <f t="shared" ca="1" si="64"/>
        <v>0</v>
      </c>
      <c r="AA33" s="9">
        <f t="shared" ca="1" si="64"/>
        <v>0</v>
      </c>
      <c r="AB33" s="9">
        <f t="shared" ca="1" si="64"/>
        <v>0</v>
      </c>
      <c r="AC33" s="9">
        <f t="shared" ca="1" si="64"/>
        <v>0</v>
      </c>
      <c r="AD33" s="9">
        <f t="shared" ca="1" si="64"/>
        <v>44314146.158724219</v>
      </c>
      <c r="AE33" s="9">
        <f t="shared" ca="1" si="64"/>
        <v>0</v>
      </c>
      <c r="AF33" s="9">
        <f t="shared" ca="1" si="64"/>
        <v>0</v>
      </c>
      <c r="AG33" s="9">
        <f t="shared" ca="1" si="64"/>
        <v>0</v>
      </c>
      <c r="AH33" s="9">
        <f t="shared" ca="1" si="64"/>
        <v>0</v>
      </c>
      <c r="AI33" s="9">
        <f t="shared" ca="1" si="64"/>
        <v>0</v>
      </c>
      <c r="AJ33" s="9">
        <f t="shared" ca="1" si="64"/>
        <v>0</v>
      </c>
      <c r="AK33" s="9">
        <f t="shared" ca="1" si="64"/>
        <v>0</v>
      </c>
      <c r="AL33" s="9">
        <f t="shared" ca="1" si="64"/>
        <v>0</v>
      </c>
      <c r="AM33" s="9">
        <f t="shared" ca="1" si="64"/>
        <v>0</v>
      </c>
      <c r="AN33" s="9">
        <f t="shared" ca="1" si="64"/>
        <v>36207883.786733791</v>
      </c>
      <c r="AO33" s="9">
        <f t="shared" ca="1" si="64"/>
        <v>0</v>
      </c>
      <c r="AP33" s="9">
        <f t="shared" ca="1" si="64"/>
        <v>0</v>
      </c>
      <c r="AQ33" s="9">
        <f t="shared" ca="1" si="64"/>
        <v>0</v>
      </c>
      <c r="AR33" s="9">
        <f t="shared" ca="1" si="64"/>
        <v>0</v>
      </c>
      <c r="AS33" s="9">
        <f t="shared" ca="1" si="64"/>
        <v>0</v>
      </c>
      <c r="AT33" s="9">
        <f t="shared" ca="1" si="64"/>
        <v>0</v>
      </c>
      <c r="AU33" s="9">
        <f t="shared" ca="1" si="64"/>
        <v>0</v>
      </c>
      <c r="AV33" s="9">
        <f t="shared" ca="1" si="64"/>
        <v>0</v>
      </c>
      <c r="AW33" s="9">
        <f t="shared" ca="1" si="64"/>
        <v>0</v>
      </c>
      <c r="AX33" s="9">
        <f t="shared" ca="1" si="64"/>
        <v>29584477.237084679</v>
      </c>
      <c r="AY33" s="9">
        <f t="shared" ca="1" si="64"/>
        <v>0</v>
      </c>
      <c r="AZ33" s="9">
        <f t="shared" ca="1" si="64"/>
        <v>0</v>
      </c>
      <c r="BA33" s="9">
        <f t="shared" ca="1" si="64"/>
        <v>0</v>
      </c>
      <c r="BB33" s="9">
        <f t="shared" ca="1" si="64"/>
        <v>0</v>
      </c>
      <c r="BC33" s="9">
        <f t="shared" ca="1" si="64"/>
        <v>0</v>
      </c>
      <c r="BD33" s="9">
        <f t="shared" ca="1" si="64"/>
        <v>0</v>
      </c>
      <c r="BE33" s="9">
        <f t="shared" ca="1" si="64"/>
        <v>0</v>
      </c>
      <c r="BF33" s="9">
        <f t="shared" ca="1" si="64"/>
        <v>0</v>
      </c>
      <c r="BG33" s="9">
        <f t="shared" ca="1" si="64"/>
        <v>0</v>
      </c>
    </row>
    <row r="34" spans="2:59" ht="12.75" x14ac:dyDescent="0.2">
      <c r="B34" s="92"/>
      <c r="C34" s="81" t="s">
        <v>223</v>
      </c>
      <c r="F34" s="83"/>
      <c r="G34" s="83" t="s">
        <v>139</v>
      </c>
      <c r="I34" s="90"/>
      <c r="J34" s="9">
        <f t="shared" ref="J34:Q34" ca="1" si="65">J27*J11</f>
        <v>0</v>
      </c>
      <c r="K34" s="9">
        <f t="shared" ca="1" si="65"/>
        <v>0</v>
      </c>
      <c r="L34" s="9">
        <f t="shared" ca="1" si="65"/>
        <v>0</v>
      </c>
      <c r="M34" s="9">
        <f t="shared" ca="1" si="65"/>
        <v>0</v>
      </c>
      <c r="N34" s="9">
        <f t="shared" ca="1" si="65"/>
        <v>0</v>
      </c>
      <c r="O34" s="9">
        <f t="shared" ca="1" si="65"/>
        <v>0</v>
      </c>
      <c r="P34" s="9">
        <f t="shared" ca="1" si="65"/>
        <v>0</v>
      </c>
      <c r="Q34" s="9">
        <f t="shared" ca="1" si="65"/>
        <v>0</v>
      </c>
      <c r="R34" s="9">
        <f t="shared" ref="R34" ca="1" si="66">R27*R11</f>
        <v>0</v>
      </c>
      <c r="S34" s="9">
        <f t="shared" ref="S34:BG34" ca="1" si="67">S27*S11</f>
        <v>0</v>
      </c>
      <c r="T34" s="9">
        <f t="shared" ca="1" si="67"/>
        <v>0</v>
      </c>
      <c r="U34" s="9">
        <f t="shared" ca="1" si="67"/>
        <v>0</v>
      </c>
      <c r="V34" s="9">
        <f t="shared" ca="1" si="67"/>
        <v>0</v>
      </c>
      <c r="W34" s="9">
        <f t="shared" ca="1" si="67"/>
        <v>0</v>
      </c>
      <c r="X34" s="9">
        <f t="shared" ca="1" si="67"/>
        <v>0</v>
      </c>
      <c r="Y34" s="9">
        <f t="shared" ca="1" si="67"/>
        <v>0</v>
      </c>
      <c r="Z34" s="9">
        <f t="shared" ca="1" si="67"/>
        <v>0</v>
      </c>
      <c r="AA34" s="9">
        <f t="shared" ca="1" si="67"/>
        <v>0</v>
      </c>
      <c r="AB34" s="9">
        <f t="shared" ca="1" si="67"/>
        <v>0</v>
      </c>
      <c r="AC34" s="9">
        <f t="shared" ca="1" si="67"/>
        <v>0</v>
      </c>
      <c r="AD34" s="9">
        <f t="shared" ca="1" si="67"/>
        <v>0</v>
      </c>
      <c r="AE34" s="9">
        <f t="shared" ca="1" si="67"/>
        <v>0</v>
      </c>
      <c r="AF34" s="9">
        <f t="shared" ca="1" si="67"/>
        <v>0</v>
      </c>
      <c r="AG34" s="9">
        <f t="shared" ca="1" si="67"/>
        <v>0</v>
      </c>
      <c r="AH34" s="9">
        <f t="shared" ca="1" si="67"/>
        <v>0</v>
      </c>
      <c r="AI34" s="9">
        <f t="shared" ca="1" si="67"/>
        <v>0</v>
      </c>
      <c r="AJ34" s="9">
        <f t="shared" ca="1" si="67"/>
        <v>0</v>
      </c>
      <c r="AK34" s="9">
        <f t="shared" ca="1" si="67"/>
        <v>0</v>
      </c>
      <c r="AL34" s="9">
        <f t="shared" ca="1" si="67"/>
        <v>0</v>
      </c>
      <c r="AM34" s="9">
        <f t="shared" ca="1" si="67"/>
        <v>0</v>
      </c>
      <c r="AN34" s="9">
        <f t="shared" ca="1" si="67"/>
        <v>0</v>
      </c>
      <c r="AO34" s="9">
        <f t="shared" ca="1" si="67"/>
        <v>0</v>
      </c>
      <c r="AP34" s="9">
        <f t="shared" ca="1" si="67"/>
        <v>0</v>
      </c>
      <c r="AQ34" s="9">
        <f t="shared" ca="1" si="67"/>
        <v>0</v>
      </c>
      <c r="AR34" s="9">
        <f t="shared" ca="1" si="67"/>
        <v>0</v>
      </c>
      <c r="AS34" s="9">
        <f t="shared" ca="1" si="67"/>
        <v>0</v>
      </c>
      <c r="AT34" s="9">
        <f t="shared" ca="1" si="67"/>
        <v>0</v>
      </c>
      <c r="AU34" s="9">
        <f t="shared" ca="1" si="67"/>
        <v>0</v>
      </c>
      <c r="AV34" s="9">
        <f t="shared" ca="1" si="67"/>
        <v>0</v>
      </c>
      <c r="AW34" s="9">
        <f t="shared" ca="1" si="67"/>
        <v>0</v>
      </c>
      <c r="AX34" s="9">
        <f t="shared" ca="1" si="67"/>
        <v>0</v>
      </c>
      <c r="AY34" s="9">
        <f t="shared" ca="1" si="67"/>
        <v>0</v>
      </c>
      <c r="AZ34" s="9">
        <f t="shared" ca="1" si="67"/>
        <v>0</v>
      </c>
      <c r="BA34" s="9">
        <f t="shared" ca="1" si="67"/>
        <v>0</v>
      </c>
      <c r="BB34" s="9">
        <f t="shared" ca="1" si="67"/>
        <v>0</v>
      </c>
      <c r="BC34" s="9">
        <f t="shared" ca="1" si="67"/>
        <v>0</v>
      </c>
      <c r="BD34" s="9">
        <f t="shared" ca="1" si="67"/>
        <v>0</v>
      </c>
      <c r="BE34" s="9">
        <f t="shared" ca="1" si="67"/>
        <v>0</v>
      </c>
      <c r="BF34" s="9">
        <f t="shared" ca="1" si="67"/>
        <v>0</v>
      </c>
      <c r="BG34" s="9">
        <f t="shared" ca="1" si="67"/>
        <v>0</v>
      </c>
    </row>
    <row r="35" spans="2:59" ht="12.75" x14ac:dyDescent="0.2">
      <c r="B35" s="92"/>
      <c r="C35" s="81" t="s">
        <v>297</v>
      </c>
      <c r="F35" s="83"/>
      <c r="G35" s="83" t="s">
        <v>139</v>
      </c>
      <c r="I35" s="90"/>
      <c r="J35" s="9">
        <f t="shared" ref="J35:Q35" ca="1" si="68">J28*J12</f>
        <v>0</v>
      </c>
      <c r="K35" s="9">
        <f t="shared" ca="1" si="68"/>
        <v>0</v>
      </c>
      <c r="L35" s="9">
        <f t="shared" ca="1" si="68"/>
        <v>0</v>
      </c>
      <c r="M35" s="9">
        <f t="shared" ca="1" si="68"/>
        <v>0</v>
      </c>
      <c r="N35" s="9">
        <f t="shared" ca="1" si="68"/>
        <v>0</v>
      </c>
      <c r="O35" s="9">
        <f t="shared" ca="1" si="68"/>
        <v>0</v>
      </c>
      <c r="P35" s="9">
        <f t="shared" ca="1" si="68"/>
        <v>0</v>
      </c>
      <c r="Q35" s="9">
        <f t="shared" ca="1" si="68"/>
        <v>0</v>
      </c>
      <c r="R35" s="9">
        <f t="shared" ref="R35" ca="1" si="69">R28*R12</f>
        <v>0</v>
      </c>
      <c r="S35" s="9">
        <f t="shared" ref="S35:BG35" ca="1" si="70">S28*S12</f>
        <v>0</v>
      </c>
      <c r="T35" s="9">
        <f t="shared" ca="1" si="70"/>
        <v>0</v>
      </c>
      <c r="U35" s="9">
        <f t="shared" ca="1" si="70"/>
        <v>0</v>
      </c>
      <c r="V35" s="9">
        <f t="shared" ca="1" si="70"/>
        <v>0</v>
      </c>
      <c r="W35" s="9">
        <f t="shared" ca="1" si="70"/>
        <v>0</v>
      </c>
      <c r="X35" s="9">
        <f t="shared" ca="1" si="70"/>
        <v>0</v>
      </c>
      <c r="Y35" s="9">
        <f t="shared" ca="1" si="70"/>
        <v>0</v>
      </c>
      <c r="Z35" s="9">
        <f t="shared" ca="1" si="70"/>
        <v>0</v>
      </c>
      <c r="AA35" s="9">
        <f t="shared" ca="1" si="70"/>
        <v>0</v>
      </c>
      <c r="AB35" s="9">
        <f t="shared" ca="1" si="70"/>
        <v>0</v>
      </c>
      <c r="AC35" s="9">
        <f t="shared" ca="1" si="70"/>
        <v>0</v>
      </c>
      <c r="AD35" s="9">
        <f t="shared" ca="1" si="70"/>
        <v>0</v>
      </c>
      <c r="AE35" s="9">
        <f t="shared" ca="1" si="70"/>
        <v>0</v>
      </c>
      <c r="AF35" s="9">
        <f t="shared" ca="1" si="70"/>
        <v>0</v>
      </c>
      <c r="AG35" s="9">
        <f t="shared" ca="1" si="70"/>
        <v>0</v>
      </c>
      <c r="AH35" s="9">
        <f t="shared" ca="1" si="70"/>
        <v>0</v>
      </c>
      <c r="AI35" s="9">
        <f t="shared" ca="1" si="70"/>
        <v>0</v>
      </c>
      <c r="AJ35" s="9">
        <f t="shared" ca="1" si="70"/>
        <v>0</v>
      </c>
      <c r="AK35" s="9">
        <f t="shared" ca="1" si="70"/>
        <v>0</v>
      </c>
      <c r="AL35" s="9">
        <f t="shared" ca="1" si="70"/>
        <v>0</v>
      </c>
      <c r="AM35" s="9">
        <f t="shared" ca="1" si="70"/>
        <v>0</v>
      </c>
      <c r="AN35" s="9">
        <f t="shared" ca="1" si="70"/>
        <v>0</v>
      </c>
      <c r="AO35" s="9">
        <f t="shared" ca="1" si="70"/>
        <v>0</v>
      </c>
      <c r="AP35" s="9">
        <f t="shared" ca="1" si="70"/>
        <v>0</v>
      </c>
      <c r="AQ35" s="9">
        <f t="shared" ca="1" si="70"/>
        <v>0</v>
      </c>
      <c r="AR35" s="9">
        <f t="shared" ca="1" si="70"/>
        <v>0</v>
      </c>
      <c r="AS35" s="9">
        <f t="shared" ca="1" si="70"/>
        <v>0</v>
      </c>
      <c r="AT35" s="9">
        <f t="shared" ca="1" si="70"/>
        <v>0</v>
      </c>
      <c r="AU35" s="9">
        <f t="shared" ca="1" si="70"/>
        <v>0</v>
      </c>
      <c r="AV35" s="9">
        <f t="shared" ca="1" si="70"/>
        <v>0</v>
      </c>
      <c r="AW35" s="9">
        <f t="shared" ca="1" si="70"/>
        <v>0</v>
      </c>
      <c r="AX35" s="9">
        <f t="shared" ca="1" si="70"/>
        <v>0</v>
      </c>
      <c r="AY35" s="9">
        <f t="shared" ca="1" si="70"/>
        <v>0</v>
      </c>
      <c r="AZ35" s="9">
        <f t="shared" ca="1" si="70"/>
        <v>0</v>
      </c>
      <c r="BA35" s="9">
        <f t="shared" ca="1" si="70"/>
        <v>0</v>
      </c>
      <c r="BB35" s="9">
        <f t="shared" ca="1" si="70"/>
        <v>0</v>
      </c>
      <c r="BC35" s="9">
        <f t="shared" ca="1" si="70"/>
        <v>0</v>
      </c>
      <c r="BD35" s="9">
        <f t="shared" ca="1" si="70"/>
        <v>0</v>
      </c>
      <c r="BE35" s="9">
        <f t="shared" ca="1" si="70"/>
        <v>0</v>
      </c>
      <c r="BF35" s="9">
        <f t="shared" ca="1" si="70"/>
        <v>0</v>
      </c>
      <c r="BG35" s="9">
        <f t="shared" ca="1" si="70"/>
        <v>0</v>
      </c>
    </row>
    <row r="36" spans="2:59" ht="12.75" x14ac:dyDescent="0.2">
      <c r="B36" s="92"/>
      <c r="C36" s="169" t="s">
        <v>247</v>
      </c>
      <c r="F36" s="83"/>
      <c r="G36" s="83" t="s">
        <v>139</v>
      </c>
      <c r="I36" s="90"/>
      <c r="J36" s="177">
        <f t="shared" ref="J36:BG36" ca="1" si="71">J29*J13</f>
        <v>0</v>
      </c>
      <c r="K36" s="177">
        <f t="shared" ca="1" si="71"/>
        <v>0</v>
      </c>
      <c r="L36" s="177">
        <f t="shared" ca="1" si="71"/>
        <v>0</v>
      </c>
      <c r="M36" s="177">
        <f t="shared" ca="1" si="71"/>
        <v>0</v>
      </c>
      <c r="N36" s="177">
        <f t="shared" ca="1" si="71"/>
        <v>0</v>
      </c>
      <c r="O36" s="177">
        <f t="shared" ca="1" si="71"/>
        <v>0</v>
      </c>
      <c r="P36" s="177">
        <f t="shared" ca="1" si="71"/>
        <v>0</v>
      </c>
      <c r="Q36" s="177">
        <f t="shared" ca="1" si="71"/>
        <v>0</v>
      </c>
      <c r="R36" s="177">
        <f t="shared" ca="1" si="71"/>
        <v>0</v>
      </c>
      <c r="S36" s="177">
        <f t="shared" ca="1" si="71"/>
        <v>0</v>
      </c>
      <c r="T36" s="177">
        <f t="shared" ca="1" si="71"/>
        <v>0</v>
      </c>
      <c r="U36" s="177">
        <f t="shared" ca="1" si="71"/>
        <v>0</v>
      </c>
      <c r="V36" s="177">
        <f t="shared" ca="1" si="71"/>
        <v>0</v>
      </c>
      <c r="W36" s="177">
        <f t="shared" ca="1" si="71"/>
        <v>0</v>
      </c>
      <c r="X36" s="177">
        <f t="shared" ca="1" si="71"/>
        <v>0</v>
      </c>
      <c r="Y36" s="177">
        <f t="shared" ca="1" si="71"/>
        <v>0</v>
      </c>
      <c r="Z36" s="177">
        <f t="shared" ca="1" si="71"/>
        <v>0</v>
      </c>
      <c r="AA36" s="177">
        <f t="shared" ca="1" si="71"/>
        <v>0</v>
      </c>
      <c r="AB36" s="177">
        <f t="shared" ca="1" si="71"/>
        <v>0</v>
      </c>
      <c r="AC36" s="177">
        <f t="shared" ca="1" si="71"/>
        <v>0</v>
      </c>
      <c r="AD36" s="177">
        <f t="shared" ca="1" si="71"/>
        <v>0</v>
      </c>
      <c r="AE36" s="177">
        <f t="shared" ca="1" si="71"/>
        <v>0</v>
      </c>
      <c r="AF36" s="177">
        <f t="shared" ca="1" si="71"/>
        <v>0</v>
      </c>
      <c r="AG36" s="177">
        <f t="shared" ca="1" si="71"/>
        <v>0</v>
      </c>
      <c r="AH36" s="177">
        <f t="shared" ca="1" si="71"/>
        <v>0</v>
      </c>
      <c r="AI36" s="177">
        <f t="shared" ca="1" si="71"/>
        <v>0</v>
      </c>
      <c r="AJ36" s="177">
        <f t="shared" ca="1" si="71"/>
        <v>0</v>
      </c>
      <c r="AK36" s="177">
        <f t="shared" ca="1" si="71"/>
        <v>0</v>
      </c>
      <c r="AL36" s="177">
        <f t="shared" ca="1" si="71"/>
        <v>0</v>
      </c>
      <c r="AM36" s="177">
        <f t="shared" ca="1" si="71"/>
        <v>0</v>
      </c>
      <c r="AN36" s="177">
        <f t="shared" ca="1" si="71"/>
        <v>0</v>
      </c>
      <c r="AO36" s="177">
        <f t="shared" ca="1" si="71"/>
        <v>0</v>
      </c>
      <c r="AP36" s="177">
        <f t="shared" ca="1" si="71"/>
        <v>0</v>
      </c>
      <c r="AQ36" s="177">
        <f t="shared" ca="1" si="71"/>
        <v>0</v>
      </c>
      <c r="AR36" s="177">
        <f t="shared" ca="1" si="71"/>
        <v>0</v>
      </c>
      <c r="AS36" s="177">
        <f t="shared" ca="1" si="71"/>
        <v>0</v>
      </c>
      <c r="AT36" s="177">
        <f t="shared" ca="1" si="71"/>
        <v>0</v>
      </c>
      <c r="AU36" s="177">
        <f t="shared" ca="1" si="71"/>
        <v>0</v>
      </c>
      <c r="AV36" s="177">
        <f t="shared" ca="1" si="71"/>
        <v>0</v>
      </c>
      <c r="AW36" s="177">
        <f t="shared" ca="1" si="71"/>
        <v>0</v>
      </c>
      <c r="AX36" s="177">
        <f t="shared" ca="1" si="71"/>
        <v>0</v>
      </c>
      <c r="AY36" s="177">
        <f t="shared" ca="1" si="71"/>
        <v>0</v>
      </c>
      <c r="AZ36" s="177">
        <f t="shared" ca="1" si="71"/>
        <v>0</v>
      </c>
      <c r="BA36" s="177">
        <f t="shared" ca="1" si="71"/>
        <v>0</v>
      </c>
      <c r="BB36" s="177">
        <f t="shared" ca="1" si="71"/>
        <v>0</v>
      </c>
      <c r="BC36" s="177">
        <f t="shared" ca="1" si="71"/>
        <v>0</v>
      </c>
      <c r="BD36" s="177">
        <f t="shared" ca="1" si="71"/>
        <v>0</v>
      </c>
      <c r="BE36" s="177">
        <f t="shared" ca="1" si="71"/>
        <v>0</v>
      </c>
      <c r="BF36" s="177">
        <f t="shared" ca="1" si="71"/>
        <v>0</v>
      </c>
      <c r="BG36" s="177">
        <f t="shared" ca="1" si="71"/>
        <v>0</v>
      </c>
    </row>
    <row r="37" spans="2:59" ht="12.75" x14ac:dyDescent="0.2">
      <c r="B37" s="92"/>
      <c r="C37" s="169" t="s">
        <v>248</v>
      </c>
      <c r="F37" s="83"/>
      <c r="G37" s="83" t="s">
        <v>139</v>
      </c>
      <c r="I37" s="90"/>
      <c r="J37" s="177">
        <f t="shared" ref="J37:BG37" ca="1" si="72">J30*J14</f>
        <v>0</v>
      </c>
      <c r="K37" s="177">
        <f t="shared" ca="1" si="72"/>
        <v>0</v>
      </c>
      <c r="L37" s="177">
        <f t="shared" ca="1" si="72"/>
        <v>0</v>
      </c>
      <c r="M37" s="177">
        <f t="shared" ca="1" si="72"/>
        <v>0</v>
      </c>
      <c r="N37" s="177">
        <f t="shared" ca="1" si="72"/>
        <v>0</v>
      </c>
      <c r="O37" s="177">
        <f t="shared" ca="1" si="72"/>
        <v>0</v>
      </c>
      <c r="P37" s="177">
        <f t="shared" ca="1" si="72"/>
        <v>0</v>
      </c>
      <c r="Q37" s="177">
        <f t="shared" ca="1" si="72"/>
        <v>0</v>
      </c>
      <c r="R37" s="177">
        <f t="shared" ca="1" si="72"/>
        <v>0</v>
      </c>
      <c r="S37" s="177">
        <f t="shared" ca="1" si="72"/>
        <v>0</v>
      </c>
      <c r="T37" s="177">
        <f t="shared" ca="1" si="72"/>
        <v>0</v>
      </c>
      <c r="U37" s="177">
        <f t="shared" ca="1" si="72"/>
        <v>0</v>
      </c>
      <c r="V37" s="177">
        <f t="shared" ca="1" si="72"/>
        <v>0</v>
      </c>
      <c r="W37" s="177">
        <f t="shared" ca="1" si="72"/>
        <v>0</v>
      </c>
      <c r="X37" s="177">
        <f t="shared" ca="1" si="72"/>
        <v>0</v>
      </c>
      <c r="Y37" s="177">
        <f t="shared" ca="1" si="72"/>
        <v>0</v>
      </c>
      <c r="Z37" s="177">
        <f t="shared" ca="1" si="72"/>
        <v>0</v>
      </c>
      <c r="AA37" s="177">
        <f t="shared" ca="1" si="72"/>
        <v>0</v>
      </c>
      <c r="AB37" s="177">
        <f t="shared" ca="1" si="72"/>
        <v>0</v>
      </c>
      <c r="AC37" s="177">
        <f t="shared" ca="1" si="72"/>
        <v>0</v>
      </c>
      <c r="AD37" s="177">
        <f t="shared" ca="1" si="72"/>
        <v>0</v>
      </c>
      <c r="AE37" s="177">
        <f t="shared" ca="1" si="72"/>
        <v>0</v>
      </c>
      <c r="AF37" s="177">
        <f t="shared" ca="1" si="72"/>
        <v>0</v>
      </c>
      <c r="AG37" s="177">
        <f t="shared" ca="1" si="72"/>
        <v>0</v>
      </c>
      <c r="AH37" s="177">
        <f t="shared" ca="1" si="72"/>
        <v>0</v>
      </c>
      <c r="AI37" s="177">
        <f t="shared" ca="1" si="72"/>
        <v>0</v>
      </c>
      <c r="AJ37" s="177">
        <f t="shared" ca="1" si="72"/>
        <v>0</v>
      </c>
      <c r="AK37" s="177">
        <f t="shared" ca="1" si="72"/>
        <v>0</v>
      </c>
      <c r="AL37" s="177">
        <f t="shared" ca="1" si="72"/>
        <v>0</v>
      </c>
      <c r="AM37" s="177">
        <f t="shared" ca="1" si="72"/>
        <v>0</v>
      </c>
      <c r="AN37" s="177">
        <f t="shared" ca="1" si="72"/>
        <v>0</v>
      </c>
      <c r="AO37" s="177">
        <f t="shared" ca="1" si="72"/>
        <v>0</v>
      </c>
      <c r="AP37" s="177">
        <f t="shared" ca="1" si="72"/>
        <v>0</v>
      </c>
      <c r="AQ37" s="177">
        <f t="shared" ca="1" si="72"/>
        <v>0</v>
      </c>
      <c r="AR37" s="177">
        <f t="shared" ca="1" si="72"/>
        <v>0</v>
      </c>
      <c r="AS37" s="177">
        <f t="shared" ca="1" si="72"/>
        <v>0</v>
      </c>
      <c r="AT37" s="177">
        <f t="shared" ca="1" si="72"/>
        <v>0</v>
      </c>
      <c r="AU37" s="177">
        <f t="shared" ca="1" si="72"/>
        <v>0</v>
      </c>
      <c r="AV37" s="177">
        <f t="shared" ca="1" si="72"/>
        <v>0</v>
      </c>
      <c r="AW37" s="177">
        <f t="shared" ca="1" si="72"/>
        <v>0</v>
      </c>
      <c r="AX37" s="177">
        <f t="shared" ca="1" si="72"/>
        <v>0</v>
      </c>
      <c r="AY37" s="177">
        <f t="shared" ca="1" si="72"/>
        <v>0</v>
      </c>
      <c r="AZ37" s="177">
        <f t="shared" ca="1" si="72"/>
        <v>0</v>
      </c>
      <c r="BA37" s="177">
        <f t="shared" ca="1" si="72"/>
        <v>0</v>
      </c>
      <c r="BB37" s="177">
        <f t="shared" ca="1" si="72"/>
        <v>0</v>
      </c>
      <c r="BC37" s="177">
        <f t="shared" ca="1" si="72"/>
        <v>0</v>
      </c>
      <c r="BD37" s="177">
        <f t="shared" ca="1" si="72"/>
        <v>0</v>
      </c>
      <c r="BE37" s="177">
        <f t="shared" ca="1" si="72"/>
        <v>0</v>
      </c>
      <c r="BF37" s="177">
        <f t="shared" ca="1" si="72"/>
        <v>0</v>
      </c>
      <c r="BG37" s="177">
        <f t="shared" ca="1" si="72"/>
        <v>0</v>
      </c>
    </row>
    <row r="38" spans="2:59" ht="12.75" x14ac:dyDescent="0.2">
      <c r="B38" s="92" t="s">
        <v>253</v>
      </c>
      <c r="F38" s="83"/>
      <c r="G38" s="83"/>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row>
    <row r="39" spans="2:59" ht="12.75" x14ac:dyDescent="0.2">
      <c r="B39" s="92"/>
      <c r="C39" s="81" t="s">
        <v>141</v>
      </c>
      <c r="F39" s="83"/>
      <c r="G39" s="83"/>
      <c r="I39" s="90"/>
      <c r="J39" s="9">
        <f t="array" ref="J39:BG39">promedio_usuarios_fijos*recibos_ano</f>
        <v>182430726</v>
      </c>
      <c r="K39" s="9">
        <v>176391564</v>
      </c>
      <c r="L39" s="9">
        <v>168579720</v>
      </c>
      <c r="M39" s="9">
        <v>161242824</v>
      </c>
      <c r="N39" s="9">
        <v>154614972</v>
      </c>
      <c r="O39" s="9">
        <v>152050188</v>
      </c>
      <c r="P39" s="9">
        <v>138414133.63796523</v>
      </c>
      <c r="Q39" s="9">
        <v>139420102.755</v>
      </c>
      <c r="R39" s="9">
        <v>142703955.405</v>
      </c>
      <c r="S39" s="9">
        <v>143758508.66712838</v>
      </c>
      <c r="T39" s="9">
        <v>141932686.42615175</v>
      </c>
      <c r="U39" s="9">
        <v>142869934.44371352</v>
      </c>
      <c r="V39" s="9">
        <v>143721272.6004608</v>
      </c>
      <c r="W39" s="9">
        <v>144488194.99462241</v>
      </c>
      <c r="X39" s="9">
        <v>145187018.86178967</v>
      </c>
      <c r="Y39" s="9">
        <v>145825255.21825343</v>
      </c>
      <c r="Z39" s="9">
        <v>147126953.92262694</v>
      </c>
      <c r="AA39" s="9">
        <v>149084846.04170057</v>
      </c>
      <c r="AB39" s="9">
        <v>150970822.59474623</v>
      </c>
      <c r="AC39" s="9">
        <v>152798702.20921773</v>
      </c>
      <c r="AD39" s="9">
        <v>154595586.90434223</v>
      </c>
      <c r="AE39" s="9">
        <v>156371296.78219604</v>
      </c>
      <c r="AF39" s="9">
        <v>158094651.06360397</v>
      </c>
      <c r="AG39" s="9">
        <v>159746518.37377924</v>
      </c>
      <c r="AH39" s="9">
        <v>161334900.84161413</v>
      </c>
      <c r="AI39" s="9">
        <v>162866009.02913141</v>
      </c>
      <c r="AJ39" s="9">
        <v>164336674.17860228</v>
      </c>
      <c r="AK39" s="9">
        <v>165739787.91331449</v>
      </c>
      <c r="AL39" s="9">
        <v>167074199.52733633</v>
      </c>
      <c r="AM39" s="9">
        <v>168344511.84439412</v>
      </c>
      <c r="AN39" s="9">
        <v>169554002.29435664</v>
      </c>
      <c r="AO39" s="9">
        <v>170698597.19541305</v>
      </c>
      <c r="AP39" s="9">
        <v>171771389.26509148</v>
      </c>
      <c r="AQ39" s="9">
        <v>172770662.09295556</v>
      </c>
      <c r="AR39" s="9">
        <v>173699989.67209727</v>
      </c>
      <c r="AS39" s="9">
        <v>174562525.52583313</v>
      </c>
      <c r="AT39" s="9">
        <v>175355694.02288115</v>
      </c>
      <c r="AU39" s="9">
        <v>176074410.93209079</v>
      </c>
      <c r="AV39" s="9">
        <v>176717716.48549616</v>
      </c>
      <c r="AW39" s="9">
        <v>177289146.08234519</v>
      </c>
      <c r="AX39" s="9">
        <v>177683400.48143664</v>
      </c>
      <c r="AY39" s="9">
        <v>177935342.86836404</v>
      </c>
      <c r="AZ39" s="9">
        <v>178187642.49162388</v>
      </c>
      <c r="BA39" s="9">
        <v>178440299.85775185</v>
      </c>
      <c r="BB39" s="9">
        <v>178693315.4740018</v>
      </c>
      <c r="BC39" s="9">
        <v>178946689.84834683</v>
      </c>
      <c r="BD39" s="9">
        <v>179200423.48948044</v>
      </c>
      <c r="BE39" s="9">
        <v>179454516.90681708</v>
      </c>
      <c r="BF39" s="9">
        <v>179708970.61049396</v>
      </c>
      <c r="BG39" s="9">
        <v>179963785.11137134</v>
      </c>
    </row>
    <row r="40" spans="2:59" ht="12.75" x14ac:dyDescent="0.2">
      <c r="B40" s="92"/>
      <c r="C40" s="81" t="s">
        <v>159</v>
      </c>
      <c r="F40" s="83"/>
      <c r="G40" s="83"/>
      <c r="I40" s="90"/>
      <c r="J40" s="9">
        <f t="array" ref="J40:BG40">promedio_usuarios_fijos*recibos_ano</f>
        <v>182430726</v>
      </c>
      <c r="K40" s="9">
        <v>176391564</v>
      </c>
      <c r="L40" s="9">
        <v>168579720</v>
      </c>
      <c r="M40" s="9">
        <v>161242824</v>
      </c>
      <c r="N40" s="9">
        <v>154614972</v>
      </c>
      <c r="O40" s="9">
        <v>152050188</v>
      </c>
      <c r="P40" s="9">
        <v>138414133.63796523</v>
      </c>
      <c r="Q40" s="9">
        <v>139420102.755</v>
      </c>
      <c r="R40" s="9">
        <v>142703955.405</v>
      </c>
      <c r="S40" s="9">
        <v>143758508.66712838</v>
      </c>
      <c r="T40" s="9">
        <v>141932686.42615175</v>
      </c>
      <c r="U40" s="9">
        <v>142869934.44371352</v>
      </c>
      <c r="V40" s="9">
        <v>143721272.6004608</v>
      </c>
      <c r="W40" s="9">
        <v>144488194.99462241</v>
      </c>
      <c r="X40" s="9">
        <v>145187018.86178967</v>
      </c>
      <c r="Y40" s="9">
        <v>145825255.21825343</v>
      </c>
      <c r="Z40" s="9">
        <v>147126953.92262694</v>
      </c>
      <c r="AA40" s="9">
        <v>149084846.04170057</v>
      </c>
      <c r="AB40" s="9">
        <v>150970822.59474623</v>
      </c>
      <c r="AC40" s="9">
        <v>152798702.20921773</v>
      </c>
      <c r="AD40" s="9">
        <v>154595586.90434223</v>
      </c>
      <c r="AE40" s="9">
        <v>156371296.78219604</v>
      </c>
      <c r="AF40" s="9">
        <v>158094651.06360397</v>
      </c>
      <c r="AG40" s="9">
        <v>159746518.37377924</v>
      </c>
      <c r="AH40" s="9">
        <v>161334900.84161413</v>
      </c>
      <c r="AI40" s="9">
        <v>162866009.02913141</v>
      </c>
      <c r="AJ40" s="9">
        <v>164336674.17860228</v>
      </c>
      <c r="AK40" s="9">
        <v>165739787.91331449</v>
      </c>
      <c r="AL40" s="9">
        <v>167074199.52733633</v>
      </c>
      <c r="AM40" s="9">
        <v>168344511.84439412</v>
      </c>
      <c r="AN40" s="9">
        <v>169554002.29435664</v>
      </c>
      <c r="AO40" s="9">
        <v>170698597.19541305</v>
      </c>
      <c r="AP40" s="9">
        <v>171771389.26509148</v>
      </c>
      <c r="AQ40" s="9">
        <v>172770662.09295556</v>
      </c>
      <c r="AR40" s="9">
        <v>173699989.67209727</v>
      </c>
      <c r="AS40" s="9">
        <v>174562525.52583313</v>
      </c>
      <c r="AT40" s="9">
        <v>175355694.02288115</v>
      </c>
      <c r="AU40" s="9">
        <v>176074410.93209079</v>
      </c>
      <c r="AV40" s="9">
        <v>176717716.48549616</v>
      </c>
      <c r="AW40" s="9">
        <v>177289146.08234519</v>
      </c>
      <c r="AX40" s="9">
        <v>177683400.48143664</v>
      </c>
      <c r="AY40" s="9">
        <v>177935342.86836404</v>
      </c>
      <c r="AZ40" s="9">
        <v>178187642.49162388</v>
      </c>
      <c r="BA40" s="9">
        <v>178440299.85775185</v>
      </c>
      <c r="BB40" s="9">
        <v>178693315.4740018</v>
      </c>
      <c r="BC40" s="9">
        <v>178946689.84834683</v>
      </c>
      <c r="BD40" s="9">
        <v>179200423.48948044</v>
      </c>
      <c r="BE40" s="9">
        <v>179454516.90681708</v>
      </c>
      <c r="BF40" s="9">
        <v>179708970.61049396</v>
      </c>
      <c r="BG40" s="9">
        <v>179963785.11137134</v>
      </c>
    </row>
    <row r="41" spans="2:59" ht="12.75" x14ac:dyDescent="0.2">
      <c r="B41" s="92"/>
      <c r="C41" s="81" t="s">
        <v>223</v>
      </c>
      <c r="F41" s="83"/>
      <c r="G41" s="83"/>
      <c r="I41" s="90"/>
      <c r="J41" s="9">
        <f t="array" ref="J41:BG41">promedio_usuarios_fijos*recibos_ano</f>
        <v>182430726</v>
      </c>
      <c r="K41" s="9">
        <v>176391564</v>
      </c>
      <c r="L41" s="9">
        <v>168579720</v>
      </c>
      <c r="M41" s="9">
        <v>161242824</v>
      </c>
      <c r="N41" s="9">
        <v>154614972</v>
      </c>
      <c r="O41" s="9">
        <v>152050188</v>
      </c>
      <c r="P41" s="9">
        <v>138414133.63796523</v>
      </c>
      <c r="Q41" s="9">
        <v>139420102.755</v>
      </c>
      <c r="R41" s="9">
        <v>142703955.405</v>
      </c>
      <c r="S41" s="9">
        <v>143758508.66712838</v>
      </c>
      <c r="T41" s="9">
        <v>141932686.42615175</v>
      </c>
      <c r="U41" s="9">
        <v>142869934.44371352</v>
      </c>
      <c r="V41" s="9">
        <v>143721272.6004608</v>
      </c>
      <c r="W41" s="9">
        <v>144488194.99462241</v>
      </c>
      <c r="X41" s="9">
        <v>145187018.86178967</v>
      </c>
      <c r="Y41" s="9">
        <v>145825255.21825343</v>
      </c>
      <c r="Z41" s="9">
        <v>147126953.92262694</v>
      </c>
      <c r="AA41" s="9">
        <v>149084846.04170057</v>
      </c>
      <c r="AB41" s="9">
        <v>150970822.59474623</v>
      </c>
      <c r="AC41" s="9">
        <v>152798702.20921773</v>
      </c>
      <c r="AD41" s="9">
        <v>154595586.90434223</v>
      </c>
      <c r="AE41" s="9">
        <v>156371296.78219604</v>
      </c>
      <c r="AF41" s="9">
        <v>158094651.06360397</v>
      </c>
      <c r="AG41" s="9">
        <v>159746518.37377924</v>
      </c>
      <c r="AH41" s="9">
        <v>161334900.84161413</v>
      </c>
      <c r="AI41" s="9">
        <v>162866009.02913141</v>
      </c>
      <c r="AJ41" s="9">
        <v>164336674.17860228</v>
      </c>
      <c r="AK41" s="9">
        <v>165739787.91331449</v>
      </c>
      <c r="AL41" s="9">
        <v>167074199.52733633</v>
      </c>
      <c r="AM41" s="9">
        <v>168344511.84439412</v>
      </c>
      <c r="AN41" s="9">
        <v>169554002.29435664</v>
      </c>
      <c r="AO41" s="9">
        <v>170698597.19541305</v>
      </c>
      <c r="AP41" s="9">
        <v>171771389.26509148</v>
      </c>
      <c r="AQ41" s="9">
        <v>172770662.09295556</v>
      </c>
      <c r="AR41" s="9">
        <v>173699989.67209727</v>
      </c>
      <c r="AS41" s="9">
        <v>174562525.52583313</v>
      </c>
      <c r="AT41" s="9">
        <v>175355694.02288115</v>
      </c>
      <c r="AU41" s="9">
        <v>176074410.93209079</v>
      </c>
      <c r="AV41" s="9">
        <v>176717716.48549616</v>
      </c>
      <c r="AW41" s="9">
        <v>177289146.08234519</v>
      </c>
      <c r="AX41" s="9">
        <v>177683400.48143664</v>
      </c>
      <c r="AY41" s="9">
        <v>177935342.86836404</v>
      </c>
      <c r="AZ41" s="9">
        <v>178187642.49162388</v>
      </c>
      <c r="BA41" s="9">
        <v>178440299.85775185</v>
      </c>
      <c r="BB41" s="9">
        <v>178693315.4740018</v>
      </c>
      <c r="BC41" s="9">
        <v>178946689.84834683</v>
      </c>
      <c r="BD41" s="9">
        <v>179200423.48948044</v>
      </c>
      <c r="BE41" s="9">
        <v>179454516.90681708</v>
      </c>
      <c r="BF41" s="9">
        <v>179708970.61049396</v>
      </c>
      <c r="BG41" s="9">
        <v>179963785.11137134</v>
      </c>
    </row>
    <row r="42" spans="2:59" ht="12.75" x14ac:dyDescent="0.2">
      <c r="B42" s="92"/>
      <c r="C42" s="81" t="s">
        <v>297</v>
      </c>
      <c r="F42" s="83"/>
      <c r="G42" s="83"/>
      <c r="I42" s="90"/>
      <c r="J42" s="9">
        <f t="array" ref="J42:BG42">promedio_usuarios_fijos*recibos_ano</f>
        <v>182430726</v>
      </c>
      <c r="K42" s="9">
        <v>176391564</v>
      </c>
      <c r="L42" s="9">
        <v>168579720</v>
      </c>
      <c r="M42" s="9">
        <v>161242824</v>
      </c>
      <c r="N42" s="9">
        <v>154614972</v>
      </c>
      <c r="O42" s="9">
        <v>152050188</v>
      </c>
      <c r="P42" s="9">
        <v>138414133.63796523</v>
      </c>
      <c r="Q42" s="9">
        <v>139420102.755</v>
      </c>
      <c r="R42" s="9">
        <v>142703955.405</v>
      </c>
      <c r="S42" s="9">
        <v>143758508.66712838</v>
      </c>
      <c r="T42" s="9">
        <v>141932686.42615175</v>
      </c>
      <c r="U42" s="9">
        <v>142869934.44371352</v>
      </c>
      <c r="V42" s="9">
        <v>143721272.6004608</v>
      </c>
      <c r="W42" s="9">
        <v>144488194.99462241</v>
      </c>
      <c r="X42" s="9">
        <v>145187018.86178967</v>
      </c>
      <c r="Y42" s="9">
        <v>145825255.21825343</v>
      </c>
      <c r="Z42" s="9">
        <v>147126953.92262694</v>
      </c>
      <c r="AA42" s="9">
        <v>149084846.04170057</v>
      </c>
      <c r="AB42" s="9">
        <v>150970822.59474623</v>
      </c>
      <c r="AC42" s="9">
        <v>152798702.20921773</v>
      </c>
      <c r="AD42" s="9">
        <v>154595586.90434223</v>
      </c>
      <c r="AE42" s="9">
        <v>156371296.78219604</v>
      </c>
      <c r="AF42" s="9">
        <v>158094651.06360397</v>
      </c>
      <c r="AG42" s="9">
        <v>159746518.37377924</v>
      </c>
      <c r="AH42" s="9">
        <v>161334900.84161413</v>
      </c>
      <c r="AI42" s="9">
        <v>162866009.02913141</v>
      </c>
      <c r="AJ42" s="9">
        <v>164336674.17860228</v>
      </c>
      <c r="AK42" s="9">
        <v>165739787.91331449</v>
      </c>
      <c r="AL42" s="9">
        <v>167074199.52733633</v>
      </c>
      <c r="AM42" s="9">
        <v>168344511.84439412</v>
      </c>
      <c r="AN42" s="9">
        <v>169554002.29435664</v>
      </c>
      <c r="AO42" s="9">
        <v>170698597.19541305</v>
      </c>
      <c r="AP42" s="9">
        <v>171771389.26509148</v>
      </c>
      <c r="AQ42" s="9">
        <v>172770662.09295556</v>
      </c>
      <c r="AR42" s="9">
        <v>173699989.67209727</v>
      </c>
      <c r="AS42" s="9">
        <v>174562525.52583313</v>
      </c>
      <c r="AT42" s="9">
        <v>175355694.02288115</v>
      </c>
      <c r="AU42" s="9">
        <v>176074410.93209079</v>
      </c>
      <c r="AV42" s="9">
        <v>176717716.48549616</v>
      </c>
      <c r="AW42" s="9">
        <v>177289146.08234519</v>
      </c>
      <c r="AX42" s="9">
        <v>177683400.48143664</v>
      </c>
      <c r="AY42" s="9">
        <v>177935342.86836404</v>
      </c>
      <c r="AZ42" s="9">
        <v>178187642.49162388</v>
      </c>
      <c r="BA42" s="9">
        <v>178440299.85775185</v>
      </c>
      <c r="BB42" s="9">
        <v>178693315.4740018</v>
      </c>
      <c r="BC42" s="9">
        <v>178946689.84834683</v>
      </c>
      <c r="BD42" s="9">
        <v>179200423.48948044</v>
      </c>
      <c r="BE42" s="9">
        <v>179454516.90681708</v>
      </c>
      <c r="BF42" s="9">
        <v>179708970.61049396</v>
      </c>
      <c r="BG42" s="9">
        <v>179963785.11137134</v>
      </c>
    </row>
    <row r="43" spans="2:59" ht="12.75" x14ac:dyDescent="0.2">
      <c r="B43" s="92"/>
      <c r="C43" s="169" t="s">
        <v>247</v>
      </c>
      <c r="F43" s="83"/>
      <c r="G43" s="83"/>
      <c r="I43" s="90"/>
      <c r="J43" s="177">
        <f>'Datos de entrada'!J$8*recibos_ano</f>
        <v>182430726</v>
      </c>
      <c r="K43" s="177">
        <f>'Datos de entrada'!K$8*recibos_ano</f>
        <v>176391564</v>
      </c>
      <c r="L43" s="177">
        <f>'Datos de entrada'!L$8*recibos_ano</f>
        <v>168579720</v>
      </c>
      <c r="M43" s="177">
        <f>'Datos de entrada'!M$8*recibos_ano</f>
        <v>161242824</v>
      </c>
      <c r="N43" s="177">
        <f>'Datos de entrada'!N$8*recibos_ano</f>
        <v>154614972</v>
      </c>
      <c r="O43" s="177">
        <f>'Datos de entrada'!O$8*recibos_ano</f>
        <v>152050188</v>
      </c>
      <c r="P43" s="177">
        <f>'Datos de entrada'!P$8*recibos_ano</f>
        <v>138414133.63796523</v>
      </c>
      <c r="Q43" s="177">
        <f>'Datos de entrada'!Q$8*recibos_ano</f>
        <v>139420102.755</v>
      </c>
      <c r="R43" s="177">
        <f>'Datos de entrada'!R$8*recibos_ano</f>
        <v>142703955.405</v>
      </c>
      <c r="S43" s="177">
        <f>'Datos de entrada'!S$8*recibos_ano</f>
        <v>143758508.66712838</v>
      </c>
      <c r="T43" s="177">
        <f>'Datos de entrada'!T$8*recibos_ano</f>
        <v>141932686.42615175</v>
      </c>
      <c r="U43" s="177">
        <f>'Datos de entrada'!U$8*recibos_ano</f>
        <v>142869934.44371352</v>
      </c>
      <c r="V43" s="177">
        <f>'Datos de entrada'!V$8*recibos_ano</f>
        <v>143721272.6004608</v>
      </c>
      <c r="W43" s="177">
        <f>'Datos de entrada'!W$8*recibos_ano</f>
        <v>144488194.99462241</v>
      </c>
      <c r="X43" s="177">
        <f>'Datos de entrada'!X$8*recibos_ano</f>
        <v>145187018.86178967</v>
      </c>
      <c r="Y43" s="177">
        <f>'Datos de entrada'!Y$8*recibos_ano</f>
        <v>145825255.21825343</v>
      </c>
      <c r="Z43" s="177">
        <f>'Datos de entrada'!Z$8*recibos_ano</f>
        <v>147126953.92262694</v>
      </c>
      <c r="AA43" s="177">
        <f>'Datos de entrada'!AA$8*recibos_ano</f>
        <v>149084846.04170057</v>
      </c>
      <c r="AB43" s="177">
        <f>'Datos de entrada'!AB$8*recibos_ano</f>
        <v>150970822.59474623</v>
      </c>
      <c r="AC43" s="177">
        <f>'Datos de entrada'!AC$8*recibos_ano</f>
        <v>152798702.20921773</v>
      </c>
      <c r="AD43" s="177">
        <f>'Datos de entrada'!AD$8*recibos_ano</f>
        <v>154595586.90434223</v>
      </c>
      <c r="AE43" s="177">
        <f>'Datos de entrada'!AE$8*recibos_ano</f>
        <v>156371296.78219604</v>
      </c>
      <c r="AF43" s="177">
        <f>'Datos de entrada'!AF$8*recibos_ano</f>
        <v>158094651.06360397</v>
      </c>
      <c r="AG43" s="177">
        <f>'Datos de entrada'!AG$8*recibos_ano</f>
        <v>159746518.37377924</v>
      </c>
      <c r="AH43" s="177">
        <f>'Datos de entrada'!AH$8*recibos_ano</f>
        <v>161334900.84161413</v>
      </c>
      <c r="AI43" s="177">
        <f>'Datos de entrada'!AI$8*recibos_ano</f>
        <v>162866009.02913141</v>
      </c>
      <c r="AJ43" s="177">
        <f>'Datos de entrada'!AJ$8*recibos_ano</f>
        <v>164336674.17860228</v>
      </c>
      <c r="AK43" s="177">
        <f>'Datos de entrada'!AK$8*recibos_ano</f>
        <v>165739787.91331449</v>
      </c>
      <c r="AL43" s="177">
        <f>'Datos de entrada'!AL$8*recibos_ano</f>
        <v>167074199.52733633</v>
      </c>
      <c r="AM43" s="177">
        <f>'Datos de entrada'!AM$8*recibos_ano</f>
        <v>168344511.84439412</v>
      </c>
      <c r="AN43" s="177">
        <f>'Datos de entrada'!AN$8*recibos_ano</f>
        <v>169554002.29435664</v>
      </c>
      <c r="AO43" s="177">
        <f>'Datos de entrada'!AO$8*recibos_ano</f>
        <v>170698597.19541305</v>
      </c>
      <c r="AP43" s="177">
        <f>'Datos de entrada'!AP$8*recibos_ano</f>
        <v>171771389.26509148</v>
      </c>
      <c r="AQ43" s="177">
        <f>'Datos de entrada'!AQ$8*recibos_ano</f>
        <v>172770662.09295556</v>
      </c>
      <c r="AR43" s="177">
        <f>'Datos de entrada'!AR$8*recibos_ano</f>
        <v>173699989.67209727</v>
      </c>
      <c r="AS43" s="177">
        <f>'Datos de entrada'!AS$8*recibos_ano</f>
        <v>174562525.52583313</v>
      </c>
      <c r="AT43" s="177">
        <f>'Datos de entrada'!AT$8*recibos_ano</f>
        <v>175355694.02288115</v>
      </c>
      <c r="AU43" s="177">
        <f>'Datos de entrada'!AU$8*recibos_ano</f>
        <v>176074410.93209079</v>
      </c>
      <c r="AV43" s="177">
        <f>'Datos de entrada'!AV$8*recibos_ano</f>
        <v>176717716.48549616</v>
      </c>
      <c r="AW43" s="177">
        <f>'Datos de entrada'!AW$8*recibos_ano</f>
        <v>177289146.08234519</v>
      </c>
      <c r="AX43" s="177">
        <f>'Datos de entrada'!AX$8*recibos_ano</f>
        <v>177683400.48143664</v>
      </c>
      <c r="AY43" s="177">
        <f>'Datos de entrada'!AY$8*recibos_ano</f>
        <v>177935342.86836404</v>
      </c>
      <c r="AZ43" s="177">
        <f>'Datos de entrada'!AZ$8*recibos_ano</f>
        <v>178187642.49162388</v>
      </c>
      <c r="BA43" s="177">
        <f>'Datos de entrada'!BA$8*recibos_ano</f>
        <v>178440299.85775185</v>
      </c>
      <c r="BB43" s="177">
        <f>'Datos de entrada'!BB$8*recibos_ano</f>
        <v>178693315.4740018</v>
      </c>
      <c r="BC43" s="177">
        <f>'Datos de entrada'!BC$8*recibos_ano</f>
        <v>178946689.84834683</v>
      </c>
      <c r="BD43" s="177">
        <f>'Datos de entrada'!BD$8*recibos_ano</f>
        <v>179200423.48948044</v>
      </c>
      <c r="BE43" s="177">
        <f>'Datos de entrada'!BE$8*recibos_ano</f>
        <v>179454516.90681708</v>
      </c>
      <c r="BF43" s="177">
        <f>'Datos de entrada'!BF$8*recibos_ano</f>
        <v>179708970.61049396</v>
      </c>
      <c r="BG43" s="177">
        <f>'Datos de entrada'!BG$8*recibos_ano</f>
        <v>179963785.11137134</v>
      </c>
    </row>
    <row r="44" spans="2:59" ht="12.75" x14ac:dyDescent="0.2">
      <c r="B44" s="92"/>
      <c r="C44" s="169" t="s">
        <v>248</v>
      </c>
      <c r="F44" s="83"/>
      <c r="G44" s="83"/>
      <c r="I44" s="90"/>
      <c r="J44" s="177">
        <f>'Datos de entrada'!J$8*recibos_ano</f>
        <v>182430726</v>
      </c>
      <c r="K44" s="177">
        <f>'Datos de entrada'!K$8*recibos_ano</f>
        <v>176391564</v>
      </c>
      <c r="L44" s="177">
        <f>'Datos de entrada'!L$8*recibos_ano</f>
        <v>168579720</v>
      </c>
      <c r="M44" s="177">
        <f>'Datos de entrada'!M$8*recibos_ano</f>
        <v>161242824</v>
      </c>
      <c r="N44" s="177">
        <f>'Datos de entrada'!N$8*recibos_ano</f>
        <v>154614972</v>
      </c>
      <c r="O44" s="177">
        <f>'Datos de entrada'!O$8*recibos_ano</f>
        <v>152050188</v>
      </c>
      <c r="P44" s="177">
        <f>'Datos de entrada'!P$8*recibos_ano</f>
        <v>138414133.63796523</v>
      </c>
      <c r="Q44" s="177">
        <f>'Datos de entrada'!Q$8*recibos_ano</f>
        <v>139420102.755</v>
      </c>
      <c r="R44" s="177">
        <f>'Datos de entrada'!R$8*recibos_ano</f>
        <v>142703955.405</v>
      </c>
      <c r="S44" s="177">
        <f>'Datos de entrada'!S$8*recibos_ano</f>
        <v>143758508.66712838</v>
      </c>
      <c r="T44" s="177">
        <f>'Datos de entrada'!T$8*recibos_ano</f>
        <v>141932686.42615175</v>
      </c>
      <c r="U44" s="177">
        <f>'Datos de entrada'!U$8*recibos_ano</f>
        <v>142869934.44371352</v>
      </c>
      <c r="V44" s="177">
        <f>'Datos de entrada'!V$8*recibos_ano</f>
        <v>143721272.6004608</v>
      </c>
      <c r="W44" s="177">
        <f>'Datos de entrada'!W$8*recibos_ano</f>
        <v>144488194.99462241</v>
      </c>
      <c r="X44" s="177">
        <f>'Datos de entrada'!X$8*recibos_ano</f>
        <v>145187018.86178967</v>
      </c>
      <c r="Y44" s="177">
        <f>'Datos de entrada'!Y$8*recibos_ano</f>
        <v>145825255.21825343</v>
      </c>
      <c r="Z44" s="177">
        <f>'Datos de entrada'!Z$8*recibos_ano</f>
        <v>147126953.92262694</v>
      </c>
      <c r="AA44" s="177">
        <f>'Datos de entrada'!AA$8*recibos_ano</f>
        <v>149084846.04170057</v>
      </c>
      <c r="AB44" s="177">
        <f>'Datos de entrada'!AB$8*recibos_ano</f>
        <v>150970822.59474623</v>
      </c>
      <c r="AC44" s="177">
        <f>'Datos de entrada'!AC$8*recibos_ano</f>
        <v>152798702.20921773</v>
      </c>
      <c r="AD44" s="177">
        <f>'Datos de entrada'!AD$8*recibos_ano</f>
        <v>154595586.90434223</v>
      </c>
      <c r="AE44" s="177">
        <f>'Datos de entrada'!AE$8*recibos_ano</f>
        <v>156371296.78219604</v>
      </c>
      <c r="AF44" s="177">
        <f>'Datos de entrada'!AF$8*recibos_ano</f>
        <v>158094651.06360397</v>
      </c>
      <c r="AG44" s="177">
        <f>'Datos de entrada'!AG$8*recibos_ano</f>
        <v>159746518.37377924</v>
      </c>
      <c r="AH44" s="177">
        <f>'Datos de entrada'!AH$8*recibos_ano</f>
        <v>161334900.84161413</v>
      </c>
      <c r="AI44" s="177">
        <f>'Datos de entrada'!AI$8*recibos_ano</f>
        <v>162866009.02913141</v>
      </c>
      <c r="AJ44" s="177">
        <f>'Datos de entrada'!AJ$8*recibos_ano</f>
        <v>164336674.17860228</v>
      </c>
      <c r="AK44" s="177">
        <f>'Datos de entrada'!AK$8*recibos_ano</f>
        <v>165739787.91331449</v>
      </c>
      <c r="AL44" s="177">
        <f>'Datos de entrada'!AL$8*recibos_ano</f>
        <v>167074199.52733633</v>
      </c>
      <c r="AM44" s="177">
        <f>'Datos de entrada'!AM$8*recibos_ano</f>
        <v>168344511.84439412</v>
      </c>
      <c r="AN44" s="177">
        <f>'Datos de entrada'!AN$8*recibos_ano</f>
        <v>169554002.29435664</v>
      </c>
      <c r="AO44" s="177">
        <f>'Datos de entrada'!AO$8*recibos_ano</f>
        <v>170698597.19541305</v>
      </c>
      <c r="AP44" s="177">
        <f>'Datos de entrada'!AP$8*recibos_ano</f>
        <v>171771389.26509148</v>
      </c>
      <c r="AQ44" s="177">
        <f>'Datos de entrada'!AQ$8*recibos_ano</f>
        <v>172770662.09295556</v>
      </c>
      <c r="AR44" s="177">
        <f>'Datos de entrada'!AR$8*recibos_ano</f>
        <v>173699989.67209727</v>
      </c>
      <c r="AS44" s="177">
        <f>'Datos de entrada'!AS$8*recibos_ano</f>
        <v>174562525.52583313</v>
      </c>
      <c r="AT44" s="177">
        <f>'Datos de entrada'!AT$8*recibos_ano</f>
        <v>175355694.02288115</v>
      </c>
      <c r="AU44" s="177">
        <f>'Datos de entrada'!AU$8*recibos_ano</f>
        <v>176074410.93209079</v>
      </c>
      <c r="AV44" s="177">
        <f>'Datos de entrada'!AV$8*recibos_ano</f>
        <v>176717716.48549616</v>
      </c>
      <c r="AW44" s="177">
        <f>'Datos de entrada'!AW$8*recibos_ano</f>
        <v>177289146.08234519</v>
      </c>
      <c r="AX44" s="177">
        <f>'Datos de entrada'!AX$8*recibos_ano</f>
        <v>177683400.48143664</v>
      </c>
      <c r="AY44" s="177">
        <f>'Datos de entrada'!AY$8*recibos_ano</f>
        <v>177935342.86836404</v>
      </c>
      <c r="AZ44" s="177">
        <f>'Datos de entrada'!AZ$8*recibos_ano</f>
        <v>178187642.49162388</v>
      </c>
      <c r="BA44" s="177">
        <f>'Datos de entrada'!BA$8*recibos_ano</f>
        <v>178440299.85775185</v>
      </c>
      <c r="BB44" s="177">
        <f>'Datos de entrada'!BB$8*recibos_ano</f>
        <v>178693315.4740018</v>
      </c>
      <c r="BC44" s="177">
        <f>'Datos de entrada'!BC$8*recibos_ano</f>
        <v>178946689.84834683</v>
      </c>
      <c r="BD44" s="177">
        <f>'Datos de entrada'!BD$8*recibos_ano</f>
        <v>179200423.48948044</v>
      </c>
      <c r="BE44" s="177">
        <f>'Datos de entrada'!BE$8*recibos_ano</f>
        <v>179454516.90681708</v>
      </c>
      <c r="BF44" s="177">
        <f>'Datos de entrada'!BF$8*recibos_ano</f>
        <v>179708970.61049396</v>
      </c>
      <c r="BG44" s="177">
        <f>'Datos de entrada'!BG$8*recibos_ano</f>
        <v>179963785.11137134</v>
      </c>
    </row>
    <row r="45" spans="2:59" ht="12.75" x14ac:dyDescent="0.2">
      <c r="B45" s="92" t="s">
        <v>167</v>
      </c>
      <c r="F45" s="83"/>
      <c r="G45" s="83"/>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row>
    <row r="46" spans="2:59" ht="12.75" x14ac:dyDescent="0.2">
      <c r="B46" s="92"/>
      <c r="C46" s="81" t="s">
        <v>141</v>
      </c>
      <c r="F46" s="83"/>
      <c r="G46" s="83"/>
      <c r="I46" s="90"/>
      <c r="J46" s="9">
        <f t="shared" ref="J46:Q46" si="73">J39*J$16</f>
        <v>186153802.04081634</v>
      </c>
      <c r="K46" s="9">
        <f t="shared" si="73"/>
        <v>179991391.83673471</v>
      </c>
      <c r="L46" s="9">
        <f t="shared" si="73"/>
        <v>172020122.44897959</v>
      </c>
      <c r="M46" s="9">
        <f t="shared" si="73"/>
        <v>164533493.87755102</v>
      </c>
      <c r="N46" s="9">
        <f t="shared" si="73"/>
        <v>157770379.59183675</v>
      </c>
      <c r="O46" s="9">
        <f t="shared" si="73"/>
        <v>152050188</v>
      </c>
      <c r="P46" s="9">
        <f t="shared" si="73"/>
        <v>135645850.96520594</v>
      </c>
      <c r="Q46" s="9">
        <f t="shared" si="73"/>
        <v>133899066.68590198</v>
      </c>
      <c r="R46" s="9">
        <f t="shared" ref="R46:BG51" si="74">R39*R$16</f>
        <v>134311821.19554275</v>
      </c>
      <c r="S46" s="9">
        <f t="shared" si="74"/>
        <v>132598271.12364325</v>
      </c>
      <c r="T46" s="9">
        <f t="shared" si="74"/>
        <v>128295907.00629161</v>
      </c>
      <c r="U46" s="9">
        <f t="shared" si="74"/>
        <v>126560242.88150275</v>
      </c>
      <c r="V46" s="9">
        <f t="shared" si="74"/>
        <v>124768106.41517222</v>
      </c>
      <c r="W46" s="9">
        <f t="shared" si="74"/>
        <v>122925213.50101136</v>
      </c>
      <c r="X46" s="9">
        <f t="shared" si="74"/>
        <v>121049352.06636497</v>
      </c>
      <c r="Y46" s="9">
        <f t="shared" si="74"/>
        <v>119149850.5962712</v>
      </c>
      <c r="Z46" s="9">
        <f t="shared" si="74"/>
        <v>117809164.54616803</v>
      </c>
      <c r="AA46" s="9">
        <f t="shared" si="74"/>
        <v>116989371.94435032</v>
      </c>
      <c r="AB46" s="9">
        <f t="shared" si="74"/>
        <v>116099942.70037501</v>
      </c>
      <c r="AC46" s="9">
        <f t="shared" si="74"/>
        <v>115155510.5878002</v>
      </c>
      <c r="AD46" s="9">
        <f t="shared" si="74"/>
        <v>114179523.89287956</v>
      </c>
      <c r="AE46" s="9">
        <f t="shared" si="74"/>
        <v>113181188.17704614</v>
      </c>
      <c r="AF46" s="9">
        <f t="shared" si="74"/>
        <v>112139977.11614846</v>
      </c>
      <c r="AG46" s="9">
        <f t="shared" si="74"/>
        <v>111045448.90301609</v>
      </c>
      <c r="AH46" s="9">
        <f t="shared" si="74"/>
        <v>109906597.88181557</v>
      </c>
      <c r="AI46" s="9">
        <f t="shared" si="74"/>
        <v>108730645.95578529</v>
      </c>
      <c r="AJ46" s="9">
        <f t="shared" si="74"/>
        <v>107518224.25868733</v>
      </c>
      <c r="AK46" s="9">
        <f t="shared" si="74"/>
        <v>106267495.18346944</v>
      </c>
      <c r="AL46" s="9">
        <f t="shared" si="74"/>
        <v>104980619.19074288</v>
      </c>
      <c r="AM46" s="9">
        <f t="shared" si="74"/>
        <v>103663240.15299751</v>
      </c>
      <c r="AN46" s="9">
        <f t="shared" si="74"/>
        <v>102319860.17749433</v>
      </c>
      <c r="AO46" s="9">
        <f t="shared" si="74"/>
        <v>100950371.17356332</v>
      </c>
      <c r="AP46" s="9">
        <f t="shared" si="74"/>
        <v>99553119.196342558</v>
      </c>
      <c r="AQ46" s="9">
        <f t="shared" si="74"/>
        <v>98129619.97191675</v>
      </c>
      <c r="AR46" s="9">
        <f t="shared" si="74"/>
        <v>96684306.778592139</v>
      </c>
      <c r="AS46" s="9">
        <f t="shared" si="74"/>
        <v>95221120.426138356</v>
      </c>
      <c r="AT46" s="9">
        <f t="shared" si="74"/>
        <v>93740705.775828049</v>
      </c>
      <c r="AU46" s="9">
        <f t="shared" si="74"/>
        <v>92242415.331720024</v>
      </c>
      <c r="AV46" s="9">
        <f t="shared" si="74"/>
        <v>90727843.619928256</v>
      </c>
      <c r="AW46" s="9">
        <f t="shared" si="74"/>
        <v>89200794.330872819</v>
      </c>
      <c r="AX46" s="9">
        <f t="shared" si="74"/>
        <v>87611175.282514393</v>
      </c>
      <c r="AY46" s="9">
        <f t="shared" si="74"/>
        <v>85980693.645778909</v>
      </c>
      <c r="AZ46" s="9">
        <f t="shared" si="74"/>
        <v>84380555.973259822</v>
      </c>
      <c r="BA46" s="9">
        <f t="shared" si="74"/>
        <v>82810197.550738007</v>
      </c>
      <c r="BB46" s="9">
        <f t="shared" si="74"/>
        <v>81269064.173568651</v>
      </c>
      <c r="BC46" s="9">
        <f t="shared" si="74"/>
        <v>79756611.951093674</v>
      </c>
      <c r="BD46" s="9">
        <f t="shared" si="74"/>
        <v>78272307.114694014</v>
      </c>
      <c r="BE46" s="9">
        <f t="shared" si="74"/>
        <v>76815625.829413921</v>
      </c>
      <c r="BF46" s="9">
        <f t="shared" si="74"/>
        <v>75386054.009091571</v>
      </c>
      <c r="BG46" s="9">
        <f t="shared" si="74"/>
        <v>73983087.134929508</v>
      </c>
    </row>
    <row r="47" spans="2:59" ht="12.75" x14ac:dyDescent="0.2">
      <c r="B47" s="92"/>
      <c r="C47" s="81" t="s">
        <v>159</v>
      </c>
      <c r="F47" s="83"/>
      <c r="G47" s="83"/>
      <c r="I47" s="90"/>
      <c r="J47" s="9">
        <f t="shared" ref="J47:Q47" si="75">J40*J$16</f>
        <v>186153802.04081634</v>
      </c>
      <c r="K47" s="9">
        <f t="shared" si="75"/>
        <v>179991391.83673471</v>
      </c>
      <c r="L47" s="9">
        <f t="shared" si="75"/>
        <v>172020122.44897959</v>
      </c>
      <c r="M47" s="9">
        <f t="shared" si="75"/>
        <v>164533493.87755102</v>
      </c>
      <c r="N47" s="9">
        <f t="shared" si="75"/>
        <v>157770379.59183675</v>
      </c>
      <c r="O47" s="9">
        <f t="shared" si="75"/>
        <v>152050188</v>
      </c>
      <c r="P47" s="9">
        <f t="shared" si="75"/>
        <v>135645850.96520594</v>
      </c>
      <c r="Q47" s="9">
        <f t="shared" si="75"/>
        <v>133899066.68590198</v>
      </c>
      <c r="R47" s="9">
        <f t="shared" ref="R47:AB47" si="76">R40*R$16</f>
        <v>134311821.19554275</v>
      </c>
      <c r="S47" s="9">
        <f t="shared" si="76"/>
        <v>132598271.12364325</v>
      </c>
      <c r="T47" s="9">
        <f t="shared" si="76"/>
        <v>128295907.00629161</v>
      </c>
      <c r="U47" s="9">
        <f t="shared" si="76"/>
        <v>126560242.88150275</v>
      </c>
      <c r="V47" s="9">
        <f t="shared" si="76"/>
        <v>124768106.41517222</v>
      </c>
      <c r="W47" s="9">
        <f t="shared" si="76"/>
        <v>122925213.50101136</v>
      </c>
      <c r="X47" s="9">
        <f t="shared" si="76"/>
        <v>121049352.06636497</v>
      </c>
      <c r="Y47" s="9">
        <f t="shared" si="76"/>
        <v>119149850.5962712</v>
      </c>
      <c r="Z47" s="9">
        <f t="shared" si="76"/>
        <v>117809164.54616803</v>
      </c>
      <c r="AA47" s="9">
        <f t="shared" si="76"/>
        <v>116989371.94435032</v>
      </c>
      <c r="AB47" s="9">
        <f t="shared" si="76"/>
        <v>116099942.70037501</v>
      </c>
      <c r="AC47" s="9">
        <f t="shared" si="74"/>
        <v>115155510.5878002</v>
      </c>
      <c r="AD47" s="9">
        <f t="shared" si="74"/>
        <v>114179523.89287956</v>
      </c>
      <c r="AE47" s="9">
        <f t="shared" si="74"/>
        <v>113181188.17704614</v>
      </c>
      <c r="AF47" s="9">
        <f t="shared" si="74"/>
        <v>112139977.11614846</v>
      </c>
      <c r="AG47" s="9">
        <f t="shared" si="74"/>
        <v>111045448.90301609</v>
      </c>
      <c r="AH47" s="9">
        <f t="shared" si="74"/>
        <v>109906597.88181557</v>
      </c>
      <c r="AI47" s="9">
        <f t="shared" si="74"/>
        <v>108730645.95578529</v>
      </c>
      <c r="AJ47" s="9">
        <f t="shared" si="74"/>
        <v>107518224.25868733</v>
      </c>
      <c r="AK47" s="9">
        <f t="shared" si="74"/>
        <v>106267495.18346944</v>
      </c>
      <c r="AL47" s="9">
        <f t="shared" si="74"/>
        <v>104980619.19074288</v>
      </c>
      <c r="AM47" s="9">
        <f t="shared" si="74"/>
        <v>103663240.15299751</v>
      </c>
      <c r="AN47" s="9">
        <f t="shared" si="74"/>
        <v>102319860.17749433</v>
      </c>
      <c r="AO47" s="9">
        <f t="shared" si="74"/>
        <v>100950371.17356332</v>
      </c>
      <c r="AP47" s="9">
        <f t="shared" si="74"/>
        <v>99553119.196342558</v>
      </c>
      <c r="AQ47" s="9">
        <f t="shared" si="74"/>
        <v>98129619.97191675</v>
      </c>
      <c r="AR47" s="9">
        <f t="shared" si="74"/>
        <v>96684306.778592139</v>
      </c>
      <c r="AS47" s="9">
        <f t="shared" si="74"/>
        <v>95221120.426138356</v>
      </c>
      <c r="AT47" s="9">
        <f t="shared" si="74"/>
        <v>93740705.775828049</v>
      </c>
      <c r="AU47" s="9">
        <f t="shared" si="74"/>
        <v>92242415.331720024</v>
      </c>
      <c r="AV47" s="9">
        <f t="shared" si="74"/>
        <v>90727843.619928256</v>
      </c>
      <c r="AW47" s="9">
        <f t="shared" si="74"/>
        <v>89200794.330872819</v>
      </c>
      <c r="AX47" s="9">
        <f t="shared" si="74"/>
        <v>87611175.282514393</v>
      </c>
      <c r="AY47" s="9">
        <f t="shared" si="74"/>
        <v>85980693.645778909</v>
      </c>
      <c r="AZ47" s="9">
        <f t="shared" si="74"/>
        <v>84380555.973259822</v>
      </c>
      <c r="BA47" s="9">
        <f t="shared" si="74"/>
        <v>82810197.550738007</v>
      </c>
      <c r="BB47" s="9">
        <f t="shared" si="74"/>
        <v>81269064.173568651</v>
      </c>
      <c r="BC47" s="9">
        <f t="shared" si="74"/>
        <v>79756611.951093674</v>
      </c>
      <c r="BD47" s="9">
        <f t="shared" si="74"/>
        <v>78272307.114694014</v>
      </c>
      <c r="BE47" s="9">
        <f t="shared" si="74"/>
        <v>76815625.829413921</v>
      </c>
      <c r="BF47" s="9">
        <f t="shared" si="74"/>
        <v>75386054.009091571</v>
      </c>
      <c r="BG47" s="9">
        <f t="shared" si="74"/>
        <v>73983087.134929508</v>
      </c>
    </row>
    <row r="48" spans="2:59" ht="12.75" x14ac:dyDescent="0.2">
      <c r="B48" s="92"/>
      <c r="C48" s="81" t="s">
        <v>223</v>
      </c>
      <c r="F48" s="83"/>
      <c r="G48" s="83"/>
      <c r="I48" s="90"/>
      <c r="J48" s="9">
        <f t="shared" ref="J48:Q48" si="77">J41*J$16</f>
        <v>186153802.04081634</v>
      </c>
      <c r="K48" s="9">
        <f t="shared" si="77"/>
        <v>179991391.83673471</v>
      </c>
      <c r="L48" s="9">
        <f t="shared" si="77"/>
        <v>172020122.44897959</v>
      </c>
      <c r="M48" s="9">
        <f t="shared" si="77"/>
        <v>164533493.87755102</v>
      </c>
      <c r="N48" s="9">
        <f t="shared" si="77"/>
        <v>157770379.59183675</v>
      </c>
      <c r="O48" s="9">
        <f t="shared" si="77"/>
        <v>152050188</v>
      </c>
      <c r="P48" s="9">
        <f t="shared" si="77"/>
        <v>135645850.96520594</v>
      </c>
      <c r="Q48" s="9">
        <f t="shared" si="77"/>
        <v>133899066.68590198</v>
      </c>
      <c r="R48" s="9">
        <f t="shared" si="74"/>
        <v>134311821.19554275</v>
      </c>
      <c r="S48" s="9">
        <f t="shared" si="74"/>
        <v>132598271.12364325</v>
      </c>
      <c r="T48" s="9">
        <f t="shared" si="74"/>
        <v>128295907.00629161</v>
      </c>
      <c r="U48" s="9">
        <f t="shared" si="74"/>
        <v>126560242.88150275</v>
      </c>
      <c r="V48" s="9">
        <f t="shared" si="74"/>
        <v>124768106.41517222</v>
      </c>
      <c r="W48" s="9">
        <f t="shared" si="74"/>
        <v>122925213.50101136</v>
      </c>
      <c r="X48" s="9">
        <f t="shared" si="74"/>
        <v>121049352.06636497</v>
      </c>
      <c r="Y48" s="9">
        <f t="shared" si="74"/>
        <v>119149850.5962712</v>
      </c>
      <c r="Z48" s="9">
        <f t="shared" si="74"/>
        <v>117809164.54616803</v>
      </c>
      <c r="AA48" s="9">
        <f t="shared" si="74"/>
        <v>116989371.94435032</v>
      </c>
      <c r="AB48" s="9">
        <f t="shared" si="74"/>
        <v>116099942.70037501</v>
      </c>
      <c r="AC48" s="9">
        <f t="shared" si="74"/>
        <v>115155510.5878002</v>
      </c>
      <c r="AD48" s="9">
        <f t="shared" si="74"/>
        <v>114179523.89287956</v>
      </c>
      <c r="AE48" s="9">
        <f t="shared" si="74"/>
        <v>113181188.17704614</v>
      </c>
      <c r="AF48" s="9">
        <f t="shared" si="74"/>
        <v>112139977.11614846</v>
      </c>
      <c r="AG48" s="9">
        <f t="shared" si="74"/>
        <v>111045448.90301609</v>
      </c>
      <c r="AH48" s="9">
        <f t="shared" si="74"/>
        <v>109906597.88181557</v>
      </c>
      <c r="AI48" s="9">
        <f t="shared" si="74"/>
        <v>108730645.95578529</v>
      </c>
      <c r="AJ48" s="9">
        <f t="shared" si="74"/>
        <v>107518224.25868733</v>
      </c>
      <c r="AK48" s="9">
        <f t="shared" si="74"/>
        <v>106267495.18346944</v>
      </c>
      <c r="AL48" s="9">
        <f t="shared" si="74"/>
        <v>104980619.19074288</v>
      </c>
      <c r="AM48" s="9">
        <f t="shared" si="74"/>
        <v>103663240.15299751</v>
      </c>
      <c r="AN48" s="9">
        <f t="shared" si="74"/>
        <v>102319860.17749433</v>
      </c>
      <c r="AO48" s="9">
        <f t="shared" si="74"/>
        <v>100950371.17356332</v>
      </c>
      <c r="AP48" s="9">
        <f t="shared" si="74"/>
        <v>99553119.196342558</v>
      </c>
      <c r="AQ48" s="9">
        <f t="shared" si="74"/>
        <v>98129619.97191675</v>
      </c>
      <c r="AR48" s="9">
        <f t="shared" si="74"/>
        <v>96684306.778592139</v>
      </c>
      <c r="AS48" s="9">
        <f t="shared" si="74"/>
        <v>95221120.426138356</v>
      </c>
      <c r="AT48" s="9">
        <f t="shared" si="74"/>
        <v>93740705.775828049</v>
      </c>
      <c r="AU48" s="9">
        <f t="shared" si="74"/>
        <v>92242415.331720024</v>
      </c>
      <c r="AV48" s="9">
        <f t="shared" si="74"/>
        <v>90727843.619928256</v>
      </c>
      <c r="AW48" s="9">
        <f t="shared" si="74"/>
        <v>89200794.330872819</v>
      </c>
      <c r="AX48" s="9">
        <f t="shared" si="74"/>
        <v>87611175.282514393</v>
      </c>
      <c r="AY48" s="9">
        <f t="shared" si="74"/>
        <v>85980693.645778909</v>
      </c>
      <c r="AZ48" s="9">
        <f t="shared" si="74"/>
        <v>84380555.973259822</v>
      </c>
      <c r="BA48" s="9">
        <f t="shared" si="74"/>
        <v>82810197.550738007</v>
      </c>
      <c r="BB48" s="9">
        <f t="shared" si="74"/>
        <v>81269064.173568651</v>
      </c>
      <c r="BC48" s="9">
        <f t="shared" si="74"/>
        <v>79756611.951093674</v>
      </c>
      <c r="BD48" s="9">
        <f t="shared" si="74"/>
        <v>78272307.114694014</v>
      </c>
      <c r="BE48" s="9">
        <f t="shared" si="74"/>
        <v>76815625.829413921</v>
      </c>
      <c r="BF48" s="9">
        <f t="shared" si="74"/>
        <v>75386054.009091571</v>
      </c>
      <c r="BG48" s="9">
        <f t="shared" si="74"/>
        <v>73983087.134929508</v>
      </c>
    </row>
    <row r="49" spans="1:158" ht="12.75" x14ac:dyDescent="0.2">
      <c r="B49" s="92"/>
      <c r="C49" s="81" t="s">
        <v>297</v>
      </c>
      <c r="F49" s="83"/>
      <c r="G49" s="83"/>
      <c r="I49" s="90"/>
      <c r="J49" s="9">
        <f t="shared" ref="J49:Q49" si="78">J42*J$16</f>
        <v>186153802.04081634</v>
      </c>
      <c r="K49" s="9">
        <f t="shared" si="78"/>
        <v>179991391.83673471</v>
      </c>
      <c r="L49" s="9">
        <f t="shared" si="78"/>
        <v>172020122.44897959</v>
      </c>
      <c r="M49" s="9">
        <f t="shared" si="78"/>
        <v>164533493.87755102</v>
      </c>
      <c r="N49" s="9">
        <f t="shared" si="78"/>
        <v>157770379.59183675</v>
      </c>
      <c r="O49" s="9">
        <f t="shared" si="78"/>
        <v>152050188</v>
      </c>
      <c r="P49" s="9">
        <f t="shared" si="78"/>
        <v>135645850.96520594</v>
      </c>
      <c r="Q49" s="9">
        <f t="shared" si="78"/>
        <v>133899066.68590198</v>
      </c>
      <c r="R49" s="9">
        <f t="shared" si="74"/>
        <v>134311821.19554275</v>
      </c>
      <c r="S49" s="9">
        <f t="shared" si="74"/>
        <v>132598271.12364325</v>
      </c>
      <c r="T49" s="9">
        <f t="shared" si="74"/>
        <v>128295907.00629161</v>
      </c>
      <c r="U49" s="9">
        <f t="shared" si="74"/>
        <v>126560242.88150275</v>
      </c>
      <c r="V49" s="9">
        <f t="shared" si="74"/>
        <v>124768106.41517222</v>
      </c>
      <c r="W49" s="9">
        <f t="shared" si="74"/>
        <v>122925213.50101136</v>
      </c>
      <c r="X49" s="9">
        <f t="shared" si="74"/>
        <v>121049352.06636497</v>
      </c>
      <c r="Y49" s="9">
        <f t="shared" si="74"/>
        <v>119149850.5962712</v>
      </c>
      <c r="Z49" s="9">
        <f t="shared" si="74"/>
        <v>117809164.54616803</v>
      </c>
      <c r="AA49" s="9">
        <f t="shared" si="74"/>
        <v>116989371.94435032</v>
      </c>
      <c r="AB49" s="9">
        <f t="shared" si="74"/>
        <v>116099942.70037501</v>
      </c>
      <c r="AC49" s="9">
        <f t="shared" si="74"/>
        <v>115155510.5878002</v>
      </c>
      <c r="AD49" s="9">
        <f t="shared" si="74"/>
        <v>114179523.89287956</v>
      </c>
      <c r="AE49" s="9">
        <f t="shared" si="74"/>
        <v>113181188.17704614</v>
      </c>
      <c r="AF49" s="9">
        <f t="shared" si="74"/>
        <v>112139977.11614846</v>
      </c>
      <c r="AG49" s="9">
        <f t="shared" si="74"/>
        <v>111045448.90301609</v>
      </c>
      <c r="AH49" s="9">
        <f t="shared" si="74"/>
        <v>109906597.88181557</v>
      </c>
      <c r="AI49" s="9">
        <f t="shared" si="74"/>
        <v>108730645.95578529</v>
      </c>
      <c r="AJ49" s="9">
        <f t="shared" si="74"/>
        <v>107518224.25868733</v>
      </c>
      <c r="AK49" s="9">
        <f t="shared" si="74"/>
        <v>106267495.18346944</v>
      </c>
      <c r="AL49" s="9">
        <f t="shared" si="74"/>
        <v>104980619.19074288</v>
      </c>
      <c r="AM49" s="9">
        <f t="shared" si="74"/>
        <v>103663240.15299751</v>
      </c>
      <c r="AN49" s="9">
        <f t="shared" si="74"/>
        <v>102319860.17749433</v>
      </c>
      <c r="AO49" s="9">
        <f t="shared" si="74"/>
        <v>100950371.17356332</v>
      </c>
      <c r="AP49" s="9">
        <f t="shared" si="74"/>
        <v>99553119.196342558</v>
      </c>
      <c r="AQ49" s="9">
        <f t="shared" si="74"/>
        <v>98129619.97191675</v>
      </c>
      <c r="AR49" s="9">
        <f t="shared" si="74"/>
        <v>96684306.778592139</v>
      </c>
      <c r="AS49" s="9">
        <f t="shared" si="74"/>
        <v>95221120.426138356</v>
      </c>
      <c r="AT49" s="9">
        <f t="shared" si="74"/>
        <v>93740705.775828049</v>
      </c>
      <c r="AU49" s="9">
        <f t="shared" si="74"/>
        <v>92242415.331720024</v>
      </c>
      <c r="AV49" s="9">
        <f t="shared" si="74"/>
        <v>90727843.619928256</v>
      </c>
      <c r="AW49" s="9">
        <f t="shared" si="74"/>
        <v>89200794.330872819</v>
      </c>
      <c r="AX49" s="9">
        <f t="shared" si="74"/>
        <v>87611175.282514393</v>
      </c>
      <c r="AY49" s="9">
        <f t="shared" si="74"/>
        <v>85980693.645778909</v>
      </c>
      <c r="AZ49" s="9">
        <f t="shared" si="74"/>
        <v>84380555.973259822</v>
      </c>
      <c r="BA49" s="9">
        <f t="shared" si="74"/>
        <v>82810197.550738007</v>
      </c>
      <c r="BB49" s="9">
        <f t="shared" si="74"/>
        <v>81269064.173568651</v>
      </c>
      <c r="BC49" s="9">
        <f t="shared" si="74"/>
        <v>79756611.951093674</v>
      </c>
      <c r="BD49" s="9">
        <f t="shared" si="74"/>
        <v>78272307.114694014</v>
      </c>
      <c r="BE49" s="9">
        <f t="shared" si="74"/>
        <v>76815625.829413921</v>
      </c>
      <c r="BF49" s="9">
        <f t="shared" si="74"/>
        <v>75386054.009091571</v>
      </c>
      <c r="BG49" s="9">
        <f t="shared" si="74"/>
        <v>73983087.134929508</v>
      </c>
    </row>
    <row r="50" spans="1:158" ht="12.75" x14ac:dyDescent="0.2">
      <c r="B50" s="92"/>
      <c r="C50" s="169" t="s">
        <v>247</v>
      </c>
      <c r="F50" s="83"/>
      <c r="G50" s="83"/>
      <c r="I50" s="90"/>
      <c r="J50" s="177">
        <f t="shared" ref="J50:Q50" si="79">J43*J$16</f>
        <v>186153802.04081634</v>
      </c>
      <c r="K50" s="177">
        <f t="shared" si="79"/>
        <v>179991391.83673471</v>
      </c>
      <c r="L50" s="177">
        <f t="shared" si="79"/>
        <v>172020122.44897959</v>
      </c>
      <c r="M50" s="177">
        <f t="shared" si="79"/>
        <v>164533493.87755102</v>
      </c>
      <c r="N50" s="177">
        <f t="shared" si="79"/>
        <v>157770379.59183675</v>
      </c>
      <c r="O50" s="177">
        <f t="shared" si="79"/>
        <v>152050188</v>
      </c>
      <c r="P50" s="177">
        <f t="shared" si="79"/>
        <v>135645850.96520594</v>
      </c>
      <c r="Q50" s="177">
        <f t="shared" si="79"/>
        <v>133899066.68590198</v>
      </c>
      <c r="R50" s="177">
        <f t="shared" si="74"/>
        <v>134311821.19554275</v>
      </c>
      <c r="S50" s="177">
        <f t="shared" si="74"/>
        <v>132598271.12364325</v>
      </c>
      <c r="T50" s="177">
        <f t="shared" si="74"/>
        <v>128295907.00629161</v>
      </c>
      <c r="U50" s="177">
        <f t="shared" si="74"/>
        <v>126560242.88150275</v>
      </c>
      <c r="V50" s="177">
        <f t="shared" si="74"/>
        <v>124768106.41517222</v>
      </c>
      <c r="W50" s="177">
        <f t="shared" si="74"/>
        <v>122925213.50101136</v>
      </c>
      <c r="X50" s="177">
        <f t="shared" si="74"/>
        <v>121049352.06636497</v>
      </c>
      <c r="Y50" s="177">
        <f t="shared" si="74"/>
        <v>119149850.5962712</v>
      </c>
      <c r="Z50" s="177">
        <f t="shared" si="74"/>
        <v>117809164.54616803</v>
      </c>
      <c r="AA50" s="177">
        <f t="shared" si="74"/>
        <v>116989371.94435032</v>
      </c>
      <c r="AB50" s="177">
        <f t="shared" si="74"/>
        <v>116099942.70037501</v>
      </c>
      <c r="AC50" s="177">
        <f t="shared" si="74"/>
        <v>115155510.5878002</v>
      </c>
      <c r="AD50" s="177">
        <f t="shared" si="74"/>
        <v>114179523.89287956</v>
      </c>
      <c r="AE50" s="177">
        <f t="shared" si="74"/>
        <v>113181188.17704614</v>
      </c>
      <c r="AF50" s="177">
        <f t="shared" si="74"/>
        <v>112139977.11614846</v>
      </c>
      <c r="AG50" s="177">
        <f t="shared" si="74"/>
        <v>111045448.90301609</v>
      </c>
      <c r="AH50" s="177">
        <f t="shared" si="74"/>
        <v>109906597.88181557</v>
      </c>
      <c r="AI50" s="177">
        <f t="shared" si="74"/>
        <v>108730645.95578529</v>
      </c>
      <c r="AJ50" s="177">
        <f t="shared" si="74"/>
        <v>107518224.25868733</v>
      </c>
      <c r="AK50" s="177">
        <f t="shared" si="74"/>
        <v>106267495.18346944</v>
      </c>
      <c r="AL50" s="177">
        <f t="shared" si="74"/>
        <v>104980619.19074288</v>
      </c>
      <c r="AM50" s="177">
        <f t="shared" si="74"/>
        <v>103663240.15299751</v>
      </c>
      <c r="AN50" s="177">
        <f t="shared" si="74"/>
        <v>102319860.17749433</v>
      </c>
      <c r="AO50" s="177">
        <f t="shared" si="74"/>
        <v>100950371.17356332</v>
      </c>
      <c r="AP50" s="177">
        <f t="shared" si="74"/>
        <v>99553119.196342558</v>
      </c>
      <c r="AQ50" s="177">
        <f t="shared" si="74"/>
        <v>98129619.97191675</v>
      </c>
      <c r="AR50" s="177">
        <f t="shared" si="74"/>
        <v>96684306.778592139</v>
      </c>
      <c r="AS50" s="177">
        <f t="shared" si="74"/>
        <v>95221120.426138356</v>
      </c>
      <c r="AT50" s="177">
        <f t="shared" si="74"/>
        <v>93740705.775828049</v>
      </c>
      <c r="AU50" s="177">
        <f t="shared" si="74"/>
        <v>92242415.331720024</v>
      </c>
      <c r="AV50" s="177">
        <f t="shared" si="74"/>
        <v>90727843.619928256</v>
      </c>
      <c r="AW50" s="177">
        <f t="shared" si="74"/>
        <v>89200794.330872819</v>
      </c>
      <c r="AX50" s="177">
        <f t="shared" si="74"/>
        <v>87611175.282514393</v>
      </c>
      <c r="AY50" s="177">
        <f t="shared" si="74"/>
        <v>85980693.645778909</v>
      </c>
      <c r="AZ50" s="177">
        <f t="shared" si="74"/>
        <v>84380555.973259822</v>
      </c>
      <c r="BA50" s="177">
        <f t="shared" si="74"/>
        <v>82810197.550738007</v>
      </c>
      <c r="BB50" s="177">
        <f t="shared" si="74"/>
        <v>81269064.173568651</v>
      </c>
      <c r="BC50" s="177">
        <f t="shared" si="74"/>
        <v>79756611.951093674</v>
      </c>
      <c r="BD50" s="177">
        <f t="shared" si="74"/>
        <v>78272307.114694014</v>
      </c>
      <c r="BE50" s="177">
        <f t="shared" si="74"/>
        <v>76815625.829413921</v>
      </c>
      <c r="BF50" s="177">
        <f t="shared" si="74"/>
        <v>75386054.009091571</v>
      </c>
      <c r="BG50" s="177">
        <f t="shared" si="74"/>
        <v>73983087.134929508</v>
      </c>
    </row>
    <row r="51" spans="1:158" ht="12.75" x14ac:dyDescent="0.2">
      <c r="B51" s="92"/>
      <c r="C51" s="169" t="s">
        <v>248</v>
      </c>
      <c r="F51" s="83"/>
      <c r="G51" s="83"/>
      <c r="I51" s="90"/>
      <c r="J51" s="177">
        <f t="shared" ref="J51:Q51" si="80">J44*J$16</f>
        <v>186153802.04081634</v>
      </c>
      <c r="K51" s="177">
        <f t="shared" si="80"/>
        <v>179991391.83673471</v>
      </c>
      <c r="L51" s="177">
        <f t="shared" si="80"/>
        <v>172020122.44897959</v>
      </c>
      <c r="M51" s="177">
        <f t="shared" si="80"/>
        <v>164533493.87755102</v>
      </c>
      <c r="N51" s="177">
        <f t="shared" si="80"/>
        <v>157770379.59183675</v>
      </c>
      <c r="O51" s="177">
        <f t="shared" si="80"/>
        <v>152050188</v>
      </c>
      <c r="P51" s="177">
        <f t="shared" si="80"/>
        <v>135645850.96520594</v>
      </c>
      <c r="Q51" s="177">
        <f t="shared" si="80"/>
        <v>133899066.68590198</v>
      </c>
      <c r="R51" s="177">
        <f t="shared" si="74"/>
        <v>134311821.19554275</v>
      </c>
      <c r="S51" s="177">
        <f t="shared" si="74"/>
        <v>132598271.12364325</v>
      </c>
      <c r="T51" s="177">
        <f t="shared" si="74"/>
        <v>128295907.00629161</v>
      </c>
      <c r="U51" s="177">
        <f t="shared" si="74"/>
        <v>126560242.88150275</v>
      </c>
      <c r="V51" s="177">
        <f t="shared" si="74"/>
        <v>124768106.41517222</v>
      </c>
      <c r="W51" s="177">
        <f t="shared" si="74"/>
        <v>122925213.50101136</v>
      </c>
      <c r="X51" s="177">
        <f t="shared" si="74"/>
        <v>121049352.06636497</v>
      </c>
      <c r="Y51" s="177">
        <f t="shared" si="74"/>
        <v>119149850.5962712</v>
      </c>
      <c r="Z51" s="177">
        <f t="shared" si="74"/>
        <v>117809164.54616803</v>
      </c>
      <c r="AA51" s="177">
        <f t="shared" si="74"/>
        <v>116989371.94435032</v>
      </c>
      <c r="AB51" s="177">
        <f t="shared" si="74"/>
        <v>116099942.70037501</v>
      </c>
      <c r="AC51" s="177">
        <f t="shared" si="74"/>
        <v>115155510.5878002</v>
      </c>
      <c r="AD51" s="177">
        <f t="shared" si="74"/>
        <v>114179523.89287956</v>
      </c>
      <c r="AE51" s="177">
        <f t="shared" si="74"/>
        <v>113181188.17704614</v>
      </c>
      <c r="AF51" s="177">
        <f t="shared" si="74"/>
        <v>112139977.11614846</v>
      </c>
      <c r="AG51" s="177">
        <f t="shared" si="74"/>
        <v>111045448.90301609</v>
      </c>
      <c r="AH51" s="177">
        <f t="shared" si="74"/>
        <v>109906597.88181557</v>
      </c>
      <c r="AI51" s="177">
        <f t="shared" si="74"/>
        <v>108730645.95578529</v>
      </c>
      <c r="AJ51" s="177">
        <f t="shared" si="74"/>
        <v>107518224.25868733</v>
      </c>
      <c r="AK51" s="177">
        <f t="shared" si="74"/>
        <v>106267495.18346944</v>
      </c>
      <c r="AL51" s="177">
        <f t="shared" si="74"/>
        <v>104980619.19074288</v>
      </c>
      <c r="AM51" s="177">
        <f t="shared" si="74"/>
        <v>103663240.15299751</v>
      </c>
      <c r="AN51" s="177">
        <f t="shared" si="74"/>
        <v>102319860.17749433</v>
      </c>
      <c r="AO51" s="177">
        <f t="shared" si="74"/>
        <v>100950371.17356332</v>
      </c>
      <c r="AP51" s="177">
        <f t="shared" si="74"/>
        <v>99553119.196342558</v>
      </c>
      <c r="AQ51" s="177">
        <f t="shared" si="74"/>
        <v>98129619.97191675</v>
      </c>
      <c r="AR51" s="177">
        <f t="shared" si="74"/>
        <v>96684306.778592139</v>
      </c>
      <c r="AS51" s="177">
        <f t="shared" si="74"/>
        <v>95221120.426138356</v>
      </c>
      <c r="AT51" s="177">
        <f t="shared" si="74"/>
        <v>93740705.775828049</v>
      </c>
      <c r="AU51" s="177">
        <f t="shared" si="74"/>
        <v>92242415.331720024</v>
      </c>
      <c r="AV51" s="177">
        <f t="shared" si="74"/>
        <v>90727843.619928256</v>
      </c>
      <c r="AW51" s="177">
        <f t="shared" si="74"/>
        <v>89200794.330872819</v>
      </c>
      <c r="AX51" s="177">
        <f t="shared" si="74"/>
        <v>87611175.282514393</v>
      </c>
      <c r="AY51" s="177">
        <f t="shared" si="74"/>
        <v>85980693.645778909</v>
      </c>
      <c r="AZ51" s="177">
        <f t="shared" si="74"/>
        <v>84380555.973259822</v>
      </c>
      <c r="BA51" s="177">
        <f t="shared" si="74"/>
        <v>82810197.550738007</v>
      </c>
      <c r="BB51" s="177">
        <f t="shared" ref="BB51:BG51" si="81">BB44*BB$16</f>
        <v>81269064.173568651</v>
      </c>
      <c r="BC51" s="177">
        <f t="shared" si="81"/>
        <v>79756611.951093674</v>
      </c>
      <c r="BD51" s="177">
        <f t="shared" si="81"/>
        <v>78272307.114694014</v>
      </c>
      <c r="BE51" s="177">
        <f t="shared" si="81"/>
        <v>76815625.829413921</v>
      </c>
      <c r="BF51" s="177">
        <f t="shared" si="81"/>
        <v>75386054.009091571</v>
      </c>
      <c r="BG51" s="177">
        <f t="shared" si="81"/>
        <v>73983087.134929508</v>
      </c>
    </row>
    <row r="52" spans="1:158" ht="12.75" x14ac:dyDescent="0.2">
      <c r="B52" s="92" t="s">
        <v>168</v>
      </c>
      <c r="F52" s="83"/>
      <c r="G52" s="83"/>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row>
    <row r="53" spans="1:158" ht="12.75" x14ac:dyDescent="0.2">
      <c r="B53" s="92"/>
      <c r="C53" s="81" t="s">
        <v>141</v>
      </c>
      <c r="F53" s="83"/>
      <c r="G53" s="83"/>
      <c r="I53" s="104"/>
      <c r="J53" s="114">
        <f t="shared" ref="J53:AO53" ca="1" si="82">IF(SUMPRODUCT($J46:$BG46,discount_rate_divider)=0,0,SUMPRODUCT($J32:$BG32,discount_rate_divider)/SUMPRODUCT($J46:$BG46,discount_rate_divider))*J$16</f>
        <v>3.1324817318318446E-2</v>
      </c>
      <c r="K53" s="114">
        <f t="shared" ca="1" si="82"/>
        <v>3.1324817318318446E-2</v>
      </c>
      <c r="L53" s="114">
        <f t="shared" ca="1" si="82"/>
        <v>3.1324817318318446E-2</v>
      </c>
      <c r="M53" s="114">
        <f t="shared" ca="1" si="82"/>
        <v>3.1324817318318446E-2</v>
      </c>
      <c r="N53" s="114">
        <f t="shared" ca="1" si="82"/>
        <v>3.1324817318318446E-2</v>
      </c>
      <c r="O53" s="114">
        <f t="shared" ca="1" si="82"/>
        <v>3.0698320971952079E-2</v>
      </c>
      <c r="P53" s="114">
        <f t="shared" ca="1" si="82"/>
        <v>3.0084354552513036E-2</v>
      </c>
      <c r="Q53" s="114">
        <f t="shared" ca="1" si="82"/>
        <v>2.9482667461462775E-2</v>
      </c>
      <c r="R53" s="114">
        <f t="shared" ca="1" si="82"/>
        <v>2.8893014112233519E-2</v>
      </c>
      <c r="S53" s="114">
        <f t="shared" ca="1" si="82"/>
        <v>2.8315153829988848E-2</v>
      </c>
      <c r="T53" s="114">
        <f t="shared" ca="1" si="82"/>
        <v>2.7748850753389068E-2</v>
      </c>
      <c r="U53" s="114">
        <f t="shared" ca="1" si="82"/>
        <v>2.7193873738321286E-2</v>
      </c>
      <c r="V53" s="114">
        <f t="shared" ca="1" si="82"/>
        <v>2.6649996263554861E-2</v>
      </c>
      <c r="W53" s="114">
        <f t="shared" ca="1" si="82"/>
        <v>2.6116996338283762E-2</v>
      </c>
      <c r="X53" s="114">
        <f t="shared" ca="1" si="82"/>
        <v>2.5594656411518087E-2</v>
      </c>
      <c r="Y53" s="114">
        <f t="shared" ca="1" si="82"/>
        <v>2.5082763283287724E-2</v>
      </c>
      <c r="Z53" s="114">
        <f t="shared" ca="1" si="82"/>
        <v>2.4581108017621971E-2</v>
      </c>
      <c r="AA53" s="114">
        <f t="shared" ca="1" si="82"/>
        <v>2.408948585726953E-2</v>
      </c>
      <c r="AB53" s="114">
        <f t="shared" ca="1" si="82"/>
        <v>2.3607696140124139E-2</v>
      </c>
      <c r="AC53" s="114">
        <f t="shared" ca="1" si="82"/>
        <v>2.3135542217321656E-2</v>
      </c>
      <c r="AD53" s="114">
        <f t="shared" ca="1" si="82"/>
        <v>2.2672831372975221E-2</v>
      </c>
      <c r="AE53" s="114">
        <f t="shared" ca="1" si="82"/>
        <v>2.2219374745515719E-2</v>
      </c>
      <c r="AF53" s="114">
        <f t="shared" ca="1" si="82"/>
        <v>2.1774987250605404E-2</v>
      </c>
      <c r="AG53" s="114">
        <f t="shared" ca="1" si="82"/>
        <v>2.1339487505593294E-2</v>
      </c>
      <c r="AH53" s="114">
        <f t="shared" ca="1" si="82"/>
        <v>2.0912697755481428E-2</v>
      </c>
      <c r="AI53" s="114">
        <f t="shared" ca="1" si="82"/>
        <v>2.0494443800371801E-2</v>
      </c>
      <c r="AJ53" s="114">
        <f t="shared" ca="1" si="82"/>
        <v>2.0084554924364364E-2</v>
      </c>
      <c r="AK53" s="114">
        <f t="shared" ca="1" si="82"/>
        <v>1.9682863825877077E-2</v>
      </c>
      <c r="AL53" s="114">
        <f t="shared" ca="1" si="82"/>
        <v>1.9289206549359533E-2</v>
      </c>
      <c r="AM53" s="114">
        <f t="shared" ca="1" si="82"/>
        <v>1.8903422418372343E-2</v>
      </c>
      <c r="AN53" s="114">
        <f t="shared" ca="1" si="82"/>
        <v>1.8525353970004894E-2</v>
      </c>
      <c r="AO53" s="114">
        <f t="shared" ca="1" si="82"/>
        <v>1.8154846890604797E-2</v>
      </c>
      <c r="AP53" s="114">
        <f t="shared" ref="AP53:BG53" ca="1" si="83">IF(SUMPRODUCT($J46:$BG46,discount_rate_divider)=0,0,SUMPRODUCT($J32:$BG32,discount_rate_divider)/SUMPRODUCT($J46:$BG46,discount_rate_divider))*AP$16</f>
        <v>1.7791749952792701E-2</v>
      </c>
      <c r="AQ53" s="114">
        <f t="shared" ca="1" si="83"/>
        <v>1.7435914953736847E-2</v>
      </c>
      <c r="AR53" s="114">
        <f t="shared" ca="1" si="83"/>
        <v>1.7087196654662112E-2</v>
      </c>
      <c r="AS53" s="114">
        <f t="shared" ca="1" si="83"/>
        <v>1.6745452721568868E-2</v>
      </c>
      <c r="AT53" s="114">
        <f t="shared" ca="1" si="83"/>
        <v>1.6410543667137491E-2</v>
      </c>
      <c r="AU53" s="114">
        <f t="shared" ca="1" si="83"/>
        <v>1.608233279379474E-2</v>
      </c>
      <c r="AV53" s="114">
        <f t="shared" ca="1" si="83"/>
        <v>1.5760686137918846E-2</v>
      </c>
      <c r="AW53" s="114">
        <f t="shared" ca="1" si="83"/>
        <v>1.5445472415160469E-2</v>
      </c>
      <c r="AX53" s="114">
        <f t="shared" ca="1" si="83"/>
        <v>1.5136562966857258E-2</v>
      </c>
      <c r="AY53" s="114">
        <f t="shared" ca="1" si="83"/>
        <v>1.4833831707520114E-2</v>
      </c>
      <c r="AZ53" s="114">
        <f t="shared" ca="1" si="83"/>
        <v>1.4537155073369711E-2</v>
      </c>
      <c r="BA53" s="114">
        <f t="shared" ca="1" si="83"/>
        <v>1.4246411971902316E-2</v>
      </c>
      <c r="BB53" s="114">
        <f t="shared" ca="1" si="83"/>
        <v>1.396148373246427E-2</v>
      </c>
      <c r="BC53" s="114">
        <f t="shared" ca="1" si="83"/>
        <v>1.3682254057814983E-2</v>
      </c>
      <c r="BD53" s="114">
        <f t="shared" ca="1" si="83"/>
        <v>1.3408608976658683E-2</v>
      </c>
      <c r="BE53" s="114">
        <f t="shared" ca="1" si="83"/>
        <v>1.314043679712551E-2</v>
      </c>
      <c r="BF53" s="114">
        <f t="shared" ca="1" si="83"/>
        <v>1.2877628061182998E-2</v>
      </c>
      <c r="BG53" s="114">
        <f t="shared" ca="1" si="83"/>
        <v>1.2620075499959339E-2</v>
      </c>
    </row>
    <row r="54" spans="1:158" ht="12.75" x14ac:dyDescent="0.2">
      <c r="B54" s="92"/>
      <c r="C54" s="81" t="s">
        <v>159</v>
      </c>
      <c r="F54" s="83"/>
      <c r="G54" s="83"/>
      <c r="I54" s="104"/>
      <c r="J54" s="114">
        <f t="shared" ref="J54:AO54" ca="1" si="84">IF(SUMPRODUCT($J47:$BG47,discount_rate_divider)=0,0,SUMPRODUCT($J33:$BG33,discount_rate_divider)/SUMPRODUCT($J47:$BG47,discount_rate_divider))*J$16</f>
        <v>9.3974451954955351E-2</v>
      </c>
      <c r="K54" s="114">
        <f t="shared" ca="1" si="84"/>
        <v>9.3974451954955351E-2</v>
      </c>
      <c r="L54" s="114">
        <f t="shared" ca="1" si="84"/>
        <v>9.3974451954955351E-2</v>
      </c>
      <c r="M54" s="114">
        <f t="shared" ca="1" si="84"/>
        <v>9.3974451954955351E-2</v>
      </c>
      <c r="N54" s="114">
        <f t="shared" ca="1" si="84"/>
        <v>9.3974451954955351E-2</v>
      </c>
      <c r="O54" s="114">
        <f t="shared" ca="1" si="84"/>
        <v>9.2094962915856241E-2</v>
      </c>
      <c r="P54" s="114">
        <f t="shared" ca="1" si="84"/>
        <v>9.0253063657539115E-2</v>
      </c>
      <c r="Q54" s="114">
        <f t="shared" ca="1" si="84"/>
        <v>8.8448002384388325E-2</v>
      </c>
      <c r="R54" s="114">
        <f t="shared" ca="1" si="84"/>
        <v>8.6679042336700554E-2</v>
      </c>
      <c r="S54" s="114">
        <f t="shared" ca="1" si="84"/>
        <v>8.4945461489966539E-2</v>
      </c>
      <c r="T54" s="114">
        <f t="shared" ca="1" si="84"/>
        <v>8.3246552260167209E-2</v>
      </c>
      <c r="U54" s="114">
        <f t="shared" ca="1" si="84"/>
        <v>8.1581621214963859E-2</v>
      </c>
      <c r="V54" s="114">
        <f t="shared" ca="1" si="84"/>
        <v>7.9949988790664589E-2</v>
      </c>
      <c r="W54" s="114">
        <f t="shared" ca="1" si="84"/>
        <v>7.8350989014851283E-2</v>
      </c>
      <c r="X54" s="114">
        <f t="shared" ca="1" si="84"/>
        <v>7.6783969234554258E-2</v>
      </c>
      <c r="Y54" s="114">
        <f t="shared" ca="1" si="84"/>
        <v>7.5248289849863176E-2</v>
      </c>
      <c r="Z54" s="114">
        <f t="shared" ca="1" si="84"/>
        <v>7.3743324052865919E-2</v>
      </c>
      <c r="AA54" s="114">
        <f t="shared" ca="1" si="84"/>
        <v>7.2268457571808595E-2</v>
      </c>
      <c r="AB54" s="114">
        <f t="shared" ca="1" si="84"/>
        <v>7.0823088420372424E-2</v>
      </c>
      <c r="AC54" s="114">
        <f t="shared" ca="1" si="84"/>
        <v>6.9406626651964967E-2</v>
      </c>
      <c r="AD54" s="114">
        <f t="shared" ca="1" si="84"/>
        <v>6.8018494118925674E-2</v>
      </c>
      <c r="AE54" s="114">
        <f t="shared" ca="1" si="84"/>
        <v>6.6658124236547156E-2</v>
      </c>
      <c r="AF54" s="114">
        <f t="shared" ca="1" si="84"/>
        <v>6.5324961751816221E-2</v>
      </c>
      <c r="AG54" s="114">
        <f t="shared" ca="1" si="84"/>
        <v>6.4018462516779881E-2</v>
      </c>
      <c r="AH54" s="114">
        <f t="shared" ca="1" si="84"/>
        <v>6.2738093266444292E-2</v>
      </c>
      <c r="AI54" s="114">
        <f t="shared" ca="1" si="84"/>
        <v>6.1483331401115407E-2</v>
      </c>
      <c r="AJ54" s="114">
        <f t="shared" ca="1" si="84"/>
        <v>6.0253664773093095E-2</v>
      </c>
      <c r="AK54" s="114">
        <f t="shared" ca="1" si="84"/>
        <v>5.9048591477631231E-2</v>
      </c>
      <c r="AL54" s="114">
        <f t="shared" ca="1" si="84"/>
        <v>5.78676196480786E-2</v>
      </c>
      <c r="AM54" s="114">
        <f t="shared" ca="1" si="84"/>
        <v>5.6710267255117026E-2</v>
      </c>
      <c r="AN54" s="114">
        <f t="shared" ca="1" si="84"/>
        <v>5.5576061910014685E-2</v>
      </c>
      <c r="AO54" s="114">
        <f t="shared" ca="1" si="84"/>
        <v>5.4464540671814388E-2</v>
      </c>
      <c r="AP54" s="114">
        <f t="shared" ref="AP54:BG54" ca="1" si="85">IF(SUMPRODUCT($J47:$BG47,discount_rate_divider)=0,0,SUMPRODUCT($J33:$BG33,discount_rate_divider)/SUMPRODUCT($J47:$BG47,discount_rate_divider))*AP$16</f>
        <v>5.3375249858378104E-2</v>
      </c>
      <c r="AQ54" s="114">
        <f t="shared" ca="1" si="85"/>
        <v>5.2307744861210544E-2</v>
      </c>
      <c r="AR54" s="114">
        <f t="shared" ca="1" si="85"/>
        <v>5.1261589963986338E-2</v>
      </c>
      <c r="AS54" s="114">
        <f t="shared" ca="1" si="85"/>
        <v>5.0236358164706611E-2</v>
      </c>
      <c r="AT54" s="114">
        <f t="shared" ca="1" si="85"/>
        <v>4.9231631001412472E-2</v>
      </c>
      <c r="AU54" s="114">
        <f t="shared" ca="1" si="85"/>
        <v>4.8246998381384222E-2</v>
      </c>
      <c r="AV54" s="114">
        <f t="shared" ca="1" si="85"/>
        <v>4.7282058413756538E-2</v>
      </c>
      <c r="AW54" s="114">
        <f t="shared" ca="1" si="85"/>
        <v>4.6336417245481411E-2</v>
      </c>
      <c r="AX54" s="114">
        <f t="shared" ca="1" si="85"/>
        <v>4.540968890057178E-2</v>
      </c>
      <c r="AY54" s="114">
        <f t="shared" ca="1" si="85"/>
        <v>4.4501495122560339E-2</v>
      </c>
      <c r="AZ54" s="114">
        <f t="shared" ca="1" si="85"/>
        <v>4.3611465220109134E-2</v>
      </c>
      <c r="BA54" s="114">
        <f t="shared" ca="1" si="85"/>
        <v>4.2739235915706955E-2</v>
      </c>
      <c r="BB54" s="114">
        <f t="shared" ca="1" si="85"/>
        <v>4.1884451197392814E-2</v>
      </c>
      <c r="BC54" s="114">
        <f t="shared" ca="1" si="85"/>
        <v>4.1046762173444953E-2</v>
      </c>
      <c r="BD54" s="114">
        <f t="shared" ca="1" si="85"/>
        <v>4.0225826929976054E-2</v>
      </c>
      <c r="BE54" s="114">
        <f t="shared" ca="1" si="85"/>
        <v>3.9421310391376529E-2</v>
      </c>
      <c r="BF54" s="114">
        <f t="shared" ca="1" si="85"/>
        <v>3.8632884183548995E-2</v>
      </c>
      <c r="BG54" s="114">
        <f t="shared" ca="1" si="85"/>
        <v>3.7860226499878018E-2</v>
      </c>
    </row>
    <row r="55" spans="1:158" ht="12.75" x14ac:dyDescent="0.2">
      <c r="B55" s="92"/>
      <c r="C55" s="81" t="s">
        <v>223</v>
      </c>
      <c r="F55" s="83"/>
      <c r="G55" s="83"/>
      <c r="I55" s="104"/>
      <c r="J55" s="114">
        <f t="shared" ref="J55:AO55" ca="1" si="86">IF(SUMPRODUCT($J48:$BG48,discount_rate_divider)=0,0,SUMPRODUCT($J34:$BG34,discount_rate_divider)/SUMPRODUCT($J48:$BG48,discount_rate_divider))*J$16</f>
        <v>0</v>
      </c>
      <c r="K55" s="114">
        <f t="shared" ca="1" si="86"/>
        <v>0</v>
      </c>
      <c r="L55" s="114">
        <f t="shared" ca="1" si="86"/>
        <v>0</v>
      </c>
      <c r="M55" s="114">
        <f t="shared" ca="1" si="86"/>
        <v>0</v>
      </c>
      <c r="N55" s="114">
        <f t="shared" ca="1" si="86"/>
        <v>0</v>
      </c>
      <c r="O55" s="114">
        <f t="shared" ca="1" si="86"/>
        <v>0</v>
      </c>
      <c r="P55" s="114">
        <f t="shared" ca="1" si="86"/>
        <v>0</v>
      </c>
      <c r="Q55" s="114">
        <f t="shared" ca="1" si="86"/>
        <v>0</v>
      </c>
      <c r="R55" s="114">
        <f t="shared" ca="1" si="86"/>
        <v>0</v>
      </c>
      <c r="S55" s="114">
        <f t="shared" ca="1" si="86"/>
        <v>0</v>
      </c>
      <c r="T55" s="114">
        <f t="shared" ca="1" si="86"/>
        <v>0</v>
      </c>
      <c r="U55" s="114">
        <f t="shared" ca="1" si="86"/>
        <v>0</v>
      </c>
      <c r="V55" s="114">
        <f t="shared" ca="1" si="86"/>
        <v>0</v>
      </c>
      <c r="W55" s="114">
        <f t="shared" ca="1" si="86"/>
        <v>0</v>
      </c>
      <c r="X55" s="114">
        <f t="shared" ca="1" si="86"/>
        <v>0</v>
      </c>
      <c r="Y55" s="114">
        <f t="shared" ca="1" si="86"/>
        <v>0</v>
      </c>
      <c r="Z55" s="114">
        <f t="shared" ca="1" si="86"/>
        <v>0</v>
      </c>
      <c r="AA55" s="114">
        <f t="shared" ca="1" si="86"/>
        <v>0</v>
      </c>
      <c r="AB55" s="114">
        <f t="shared" ca="1" si="86"/>
        <v>0</v>
      </c>
      <c r="AC55" s="114">
        <f t="shared" ca="1" si="86"/>
        <v>0</v>
      </c>
      <c r="AD55" s="114">
        <f t="shared" ca="1" si="86"/>
        <v>0</v>
      </c>
      <c r="AE55" s="114">
        <f t="shared" ca="1" si="86"/>
        <v>0</v>
      </c>
      <c r="AF55" s="114">
        <f t="shared" ca="1" si="86"/>
        <v>0</v>
      </c>
      <c r="AG55" s="114">
        <f t="shared" ca="1" si="86"/>
        <v>0</v>
      </c>
      <c r="AH55" s="114">
        <f t="shared" ca="1" si="86"/>
        <v>0</v>
      </c>
      <c r="AI55" s="114">
        <f t="shared" ca="1" si="86"/>
        <v>0</v>
      </c>
      <c r="AJ55" s="114">
        <f t="shared" ca="1" si="86"/>
        <v>0</v>
      </c>
      <c r="AK55" s="114">
        <f t="shared" ca="1" si="86"/>
        <v>0</v>
      </c>
      <c r="AL55" s="114">
        <f t="shared" ca="1" si="86"/>
        <v>0</v>
      </c>
      <c r="AM55" s="114">
        <f t="shared" ca="1" si="86"/>
        <v>0</v>
      </c>
      <c r="AN55" s="114">
        <f t="shared" ca="1" si="86"/>
        <v>0</v>
      </c>
      <c r="AO55" s="114">
        <f t="shared" ca="1" si="86"/>
        <v>0</v>
      </c>
      <c r="AP55" s="114">
        <f t="shared" ref="AP55:BG55" ca="1" si="87">IF(SUMPRODUCT($J48:$BG48,discount_rate_divider)=0,0,SUMPRODUCT($J34:$BG34,discount_rate_divider)/SUMPRODUCT($J48:$BG48,discount_rate_divider))*AP$16</f>
        <v>0</v>
      </c>
      <c r="AQ55" s="114">
        <f t="shared" ca="1" si="87"/>
        <v>0</v>
      </c>
      <c r="AR55" s="114">
        <f t="shared" ca="1" si="87"/>
        <v>0</v>
      </c>
      <c r="AS55" s="114">
        <f t="shared" ca="1" si="87"/>
        <v>0</v>
      </c>
      <c r="AT55" s="114">
        <f t="shared" ca="1" si="87"/>
        <v>0</v>
      </c>
      <c r="AU55" s="114">
        <f t="shared" ca="1" si="87"/>
        <v>0</v>
      </c>
      <c r="AV55" s="114">
        <f t="shared" ca="1" si="87"/>
        <v>0</v>
      </c>
      <c r="AW55" s="114">
        <f t="shared" ca="1" si="87"/>
        <v>0</v>
      </c>
      <c r="AX55" s="114">
        <f t="shared" ca="1" si="87"/>
        <v>0</v>
      </c>
      <c r="AY55" s="114">
        <f t="shared" ca="1" si="87"/>
        <v>0</v>
      </c>
      <c r="AZ55" s="114">
        <f t="shared" ca="1" si="87"/>
        <v>0</v>
      </c>
      <c r="BA55" s="114">
        <f t="shared" ca="1" si="87"/>
        <v>0</v>
      </c>
      <c r="BB55" s="114">
        <f t="shared" ca="1" si="87"/>
        <v>0</v>
      </c>
      <c r="BC55" s="114">
        <f t="shared" ca="1" si="87"/>
        <v>0</v>
      </c>
      <c r="BD55" s="114">
        <f t="shared" ca="1" si="87"/>
        <v>0</v>
      </c>
      <c r="BE55" s="114">
        <f t="shared" ca="1" si="87"/>
        <v>0</v>
      </c>
      <c r="BF55" s="114">
        <f t="shared" ca="1" si="87"/>
        <v>0</v>
      </c>
      <c r="BG55" s="114">
        <f t="shared" ca="1" si="87"/>
        <v>0</v>
      </c>
    </row>
    <row r="56" spans="1:158" ht="12.75" x14ac:dyDescent="0.2">
      <c r="B56" s="92"/>
      <c r="C56" s="81" t="s">
        <v>297</v>
      </c>
      <c r="F56" s="83"/>
      <c r="G56" s="83"/>
      <c r="I56" s="104"/>
      <c r="J56" s="114">
        <f t="shared" ref="J56:AO56" ca="1" si="88">IF(SUMPRODUCT($J49:$BG49,discount_rate_divider)=0,0,SUMPRODUCT($J35:$BG35,discount_rate_divider)/SUMPRODUCT($J49:$BG49,discount_rate_divider))*J$16</f>
        <v>0</v>
      </c>
      <c r="K56" s="114">
        <f t="shared" ca="1" si="88"/>
        <v>0</v>
      </c>
      <c r="L56" s="114">
        <f t="shared" ca="1" si="88"/>
        <v>0</v>
      </c>
      <c r="M56" s="114">
        <f t="shared" ca="1" si="88"/>
        <v>0</v>
      </c>
      <c r="N56" s="114">
        <f t="shared" ca="1" si="88"/>
        <v>0</v>
      </c>
      <c r="O56" s="114">
        <f t="shared" ca="1" si="88"/>
        <v>0</v>
      </c>
      <c r="P56" s="114">
        <f t="shared" ca="1" si="88"/>
        <v>0</v>
      </c>
      <c r="Q56" s="114">
        <f t="shared" ca="1" si="88"/>
        <v>0</v>
      </c>
      <c r="R56" s="114">
        <f t="shared" ca="1" si="88"/>
        <v>0</v>
      </c>
      <c r="S56" s="114">
        <f t="shared" ca="1" si="88"/>
        <v>0</v>
      </c>
      <c r="T56" s="114">
        <f t="shared" ca="1" si="88"/>
        <v>0</v>
      </c>
      <c r="U56" s="114">
        <f t="shared" ca="1" si="88"/>
        <v>0</v>
      </c>
      <c r="V56" s="114">
        <f t="shared" ca="1" si="88"/>
        <v>0</v>
      </c>
      <c r="W56" s="114">
        <f t="shared" ca="1" si="88"/>
        <v>0</v>
      </c>
      <c r="X56" s="114">
        <f t="shared" ca="1" si="88"/>
        <v>0</v>
      </c>
      <c r="Y56" s="114">
        <f t="shared" ca="1" si="88"/>
        <v>0</v>
      </c>
      <c r="Z56" s="114">
        <f t="shared" ca="1" si="88"/>
        <v>0</v>
      </c>
      <c r="AA56" s="114">
        <f t="shared" ca="1" si="88"/>
        <v>0</v>
      </c>
      <c r="AB56" s="114">
        <f t="shared" ca="1" si="88"/>
        <v>0</v>
      </c>
      <c r="AC56" s="114">
        <f t="shared" ca="1" si="88"/>
        <v>0</v>
      </c>
      <c r="AD56" s="114">
        <f t="shared" ca="1" si="88"/>
        <v>0</v>
      </c>
      <c r="AE56" s="114">
        <f t="shared" ca="1" si="88"/>
        <v>0</v>
      </c>
      <c r="AF56" s="114">
        <f t="shared" ca="1" si="88"/>
        <v>0</v>
      </c>
      <c r="AG56" s="114">
        <f t="shared" ca="1" si="88"/>
        <v>0</v>
      </c>
      <c r="AH56" s="114">
        <f t="shared" ca="1" si="88"/>
        <v>0</v>
      </c>
      <c r="AI56" s="114">
        <f t="shared" ca="1" si="88"/>
        <v>0</v>
      </c>
      <c r="AJ56" s="114">
        <f t="shared" ca="1" si="88"/>
        <v>0</v>
      </c>
      <c r="AK56" s="114">
        <f t="shared" ca="1" si="88"/>
        <v>0</v>
      </c>
      <c r="AL56" s="114">
        <f t="shared" ca="1" si="88"/>
        <v>0</v>
      </c>
      <c r="AM56" s="114">
        <f t="shared" ca="1" si="88"/>
        <v>0</v>
      </c>
      <c r="AN56" s="114">
        <f t="shared" ca="1" si="88"/>
        <v>0</v>
      </c>
      <c r="AO56" s="114">
        <f t="shared" ca="1" si="88"/>
        <v>0</v>
      </c>
      <c r="AP56" s="114">
        <f t="shared" ref="AP56:BG56" ca="1" si="89">IF(SUMPRODUCT($J49:$BG49,discount_rate_divider)=0,0,SUMPRODUCT($J35:$BG35,discount_rate_divider)/SUMPRODUCT($J49:$BG49,discount_rate_divider))*AP$16</f>
        <v>0</v>
      </c>
      <c r="AQ56" s="114">
        <f t="shared" ca="1" si="89"/>
        <v>0</v>
      </c>
      <c r="AR56" s="114">
        <f t="shared" ca="1" si="89"/>
        <v>0</v>
      </c>
      <c r="AS56" s="114">
        <f t="shared" ca="1" si="89"/>
        <v>0</v>
      </c>
      <c r="AT56" s="114">
        <f t="shared" ca="1" si="89"/>
        <v>0</v>
      </c>
      <c r="AU56" s="114">
        <f t="shared" ca="1" si="89"/>
        <v>0</v>
      </c>
      <c r="AV56" s="114">
        <f t="shared" ca="1" si="89"/>
        <v>0</v>
      </c>
      <c r="AW56" s="114">
        <f t="shared" ca="1" si="89"/>
        <v>0</v>
      </c>
      <c r="AX56" s="114">
        <f t="shared" ca="1" si="89"/>
        <v>0</v>
      </c>
      <c r="AY56" s="114">
        <f t="shared" ca="1" si="89"/>
        <v>0</v>
      </c>
      <c r="AZ56" s="114">
        <f t="shared" ca="1" si="89"/>
        <v>0</v>
      </c>
      <c r="BA56" s="114">
        <f t="shared" ca="1" si="89"/>
        <v>0</v>
      </c>
      <c r="BB56" s="114">
        <f t="shared" ca="1" si="89"/>
        <v>0</v>
      </c>
      <c r="BC56" s="114">
        <f t="shared" ca="1" si="89"/>
        <v>0</v>
      </c>
      <c r="BD56" s="114">
        <f t="shared" ca="1" si="89"/>
        <v>0</v>
      </c>
      <c r="BE56" s="114">
        <f t="shared" ca="1" si="89"/>
        <v>0</v>
      </c>
      <c r="BF56" s="114">
        <f t="shared" ca="1" si="89"/>
        <v>0</v>
      </c>
      <c r="BG56" s="114">
        <f t="shared" ca="1" si="89"/>
        <v>0</v>
      </c>
    </row>
    <row r="57" spans="1:158" ht="12.75" x14ac:dyDescent="0.2">
      <c r="B57" s="92"/>
      <c r="C57" s="169" t="s">
        <v>247</v>
      </c>
      <c r="F57" s="83"/>
      <c r="G57" s="83"/>
      <c r="I57" s="104"/>
      <c r="J57" s="178">
        <f t="shared" ref="J57:AO57" ca="1" si="90">IF(SUMPRODUCT($J50:$BG50,discount_rate_divider)=0,0,SUMPRODUCT($J36:$BG36,discount_rate_divider)/SUMPRODUCT($J50:$BG50,discount_rate_divider))*J$16</f>
        <v>0</v>
      </c>
      <c r="K57" s="178">
        <f t="shared" ca="1" si="90"/>
        <v>0</v>
      </c>
      <c r="L57" s="178">
        <f t="shared" ca="1" si="90"/>
        <v>0</v>
      </c>
      <c r="M57" s="178">
        <f t="shared" ca="1" si="90"/>
        <v>0</v>
      </c>
      <c r="N57" s="178">
        <f t="shared" ca="1" si="90"/>
        <v>0</v>
      </c>
      <c r="O57" s="178">
        <f t="shared" ca="1" si="90"/>
        <v>0</v>
      </c>
      <c r="P57" s="178">
        <f t="shared" ca="1" si="90"/>
        <v>0</v>
      </c>
      <c r="Q57" s="178">
        <f t="shared" ca="1" si="90"/>
        <v>0</v>
      </c>
      <c r="R57" s="178">
        <f t="shared" ca="1" si="90"/>
        <v>0</v>
      </c>
      <c r="S57" s="178">
        <f t="shared" ca="1" si="90"/>
        <v>0</v>
      </c>
      <c r="T57" s="178">
        <f t="shared" ca="1" si="90"/>
        <v>0</v>
      </c>
      <c r="U57" s="178">
        <f t="shared" ca="1" si="90"/>
        <v>0</v>
      </c>
      <c r="V57" s="178">
        <f t="shared" ca="1" si="90"/>
        <v>0</v>
      </c>
      <c r="W57" s="178">
        <f t="shared" ca="1" si="90"/>
        <v>0</v>
      </c>
      <c r="X57" s="178">
        <f t="shared" ca="1" si="90"/>
        <v>0</v>
      </c>
      <c r="Y57" s="178">
        <f t="shared" ca="1" si="90"/>
        <v>0</v>
      </c>
      <c r="Z57" s="178">
        <f t="shared" ca="1" si="90"/>
        <v>0</v>
      </c>
      <c r="AA57" s="178">
        <f t="shared" ca="1" si="90"/>
        <v>0</v>
      </c>
      <c r="AB57" s="178">
        <f t="shared" ca="1" si="90"/>
        <v>0</v>
      </c>
      <c r="AC57" s="178">
        <f t="shared" ca="1" si="90"/>
        <v>0</v>
      </c>
      <c r="AD57" s="178">
        <f t="shared" ca="1" si="90"/>
        <v>0</v>
      </c>
      <c r="AE57" s="178">
        <f t="shared" ca="1" si="90"/>
        <v>0</v>
      </c>
      <c r="AF57" s="178">
        <f t="shared" ca="1" si="90"/>
        <v>0</v>
      </c>
      <c r="AG57" s="178">
        <f t="shared" ca="1" si="90"/>
        <v>0</v>
      </c>
      <c r="AH57" s="178">
        <f t="shared" ca="1" si="90"/>
        <v>0</v>
      </c>
      <c r="AI57" s="178">
        <f t="shared" ca="1" si="90"/>
        <v>0</v>
      </c>
      <c r="AJ57" s="178">
        <f t="shared" ca="1" si="90"/>
        <v>0</v>
      </c>
      <c r="AK57" s="178">
        <f t="shared" ca="1" si="90"/>
        <v>0</v>
      </c>
      <c r="AL57" s="178">
        <f t="shared" ca="1" si="90"/>
        <v>0</v>
      </c>
      <c r="AM57" s="178">
        <f t="shared" ca="1" si="90"/>
        <v>0</v>
      </c>
      <c r="AN57" s="178">
        <f t="shared" ca="1" si="90"/>
        <v>0</v>
      </c>
      <c r="AO57" s="178">
        <f t="shared" ca="1" si="90"/>
        <v>0</v>
      </c>
      <c r="AP57" s="178">
        <f t="shared" ref="AP57:BG57" ca="1" si="91">IF(SUMPRODUCT($J50:$BG50,discount_rate_divider)=0,0,SUMPRODUCT($J36:$BG36,discount_rate_divider)/SUMPRODUCT($J50:$BG50,discount_rate_divider))*AP$16</f>
        <v>0</v>
      </c>
      <c r="AQ57" s="178">
        <f t="shared" ca="1" si="91"/>
        <v>0</v>
      </c>
      <c r="AR57" s="178">
        <f t="shared" ca="1" si="91"/>
        <v>0</v>
      </c>
      <c r="AS57" s="178">
        <f t="shared" ca="1" si="91"/>
        <v>0</v>
      </c>
      <c r="AT57" s="178">
        <f t="shared" ca="1" si="91"/>
        <v>0</v>
      </c>
      <c r="AU57" s="178">
        <f t="shared" ca="1" si="91"/>
        <v>0</v>
      </c>
      <c r="AV57" s="178">
        <f t="shared" ca="1" si="91"/>
        <v>0</v>
      </c>
      <c r="AW57" s="178">
        <f t="shared" ca="1" si="91"/>
        <v>0</v>
      </c>
      <c r="AX57" s="178">
        <f t="shared" ca="1" si="91"/>
        <v>0</v>
      </c>
      <c r="AY57" s="178">
        <f t="shared" ca="1" si="91"/>
        <v>0</v>
      </c>
      <c r="AZ57" s="178">
        <f t="shared" ca="1" si="91"/>
        <v>0</v>
      </c>
      <c r="BA57" s="178">
        <f t="shared" ca="1" si="91"/>
        <v>0</v>
      </c>
      <c r="BB57" s="178">
        <f t="shared" ca="1" si="91"/>
        <v>0</v>
      </c>
      <c r="BC57" s="178">
        <f t="shared" ca="1" si="91"/>
        <v>0</v>
      </c>
      <c r="BD57" s="178">
        <f t="shared" ca="1" si="91"/>
        <v>0</v>
      </c>
      <c r="BE57" s="178">
        <f t="shared" ca="1" si="91"/>
        <v>0</v>
      </c>
      <c r="BF57" s="178">
        <f t="shared" ca="1" si="91"/>
        <v>0</v>
      </c>
      <c r="BG57" s="178">
        <f t="shared" ca="1" si="91"/>
        <v>0</v>
      </c>
    </row>
    <row r="58" spans="1:158" ht="12.75" x14ac:dyDescent="0.2">
      <c r="B58" s="92"/>
      <c r="C58" s="169" t="s">
        <v>248</v>
      </c>
      <c r="F58" s="83"/>
      <c r="G58" s="83"/>
      <c r="I58" s="104"/>
      <c r="J58" s="178">
        <f t="shared" ref="J58:AO58" ca="1" si="92">IF(SUMPRODUCT($J51:$BG51,discount_rate_divider)=0,0,SUMPRODUCT($J37:$BG37,discount_rate_divider)/SUMPRODUCT($J51:$BG51,discount_rate_divider))*J$16</f>
        <v>0</v>
      </c>
      <c r="K58" s="178">
        <f t="shared" ca="1" si="92"/>
        <v>0</v>
      </c>
      <c r="L58" s="178">
        <f t="shared" ca="1" si="92"/>
        <v>0</v>
      </c>
      <c r="M58" s="178">
        <f t="shared" ca="1" si="92"/>
        <v>0</v>
      </c>
      <c r="N58" s="178">
        <f t="shared" ca="1" si="92"/>
        <v>0</v>
      </c>
      <c r="O58" s="178">
        <f t="shared" ca="1" si="92"/>
        <v>0</v>
      </c>
      <c r="P58" s="178">
        <f t="shared" ca="1" si="92"/>
        <v>0</v>
      </c>
      <c r="Q58" s="178">
        <f t="shared" ca="1" si="92"/>
        <v>0</v>
      </c>
      <c r="R58" s="178">
        <f t="shared" ca="1" si="92"/>
        <v>0</v>
      </c>
      <c r="S58" s="178">
        <f t="shared" ca="1" si="92"/>
        <v>0</v>
      </c>
      <c r="T58" s="178">
        <f t="shared" ca="1" si="92"/>
        <v>0</v>
      </c>
      <c r="U58" s="178">
        <f t="shared" ca="1" si="92"/>
        <v>0</v>
      </c>
      <c r="V58" s="178">
        <f t="shared" ca="1" si="92"/>
        <v>0</v>
      </c>
      <c r="W58" s="178">
        <f t="shared" ca="1" si="92"/>
        <v>0</v>
      </c>
      <c r="X58" s="178">
        <f t="shared" ca="1" si="92"/>
        <v>0</v>
      </c>
      <c r="Y58" s="178">
        <f t="shared" ca="1" si="92"/>
        <v>0</v>
      </c>
      <c r="Z58" s="178">
        <f t="shared" ca="1" si="92"/>
        <v>0</v>
      </c>
      <c r="AA58" s="178">
        <f t="shared" ca="1" si="92"/>
        <v>0</v>
      </c>
      <c r="AB58" s="178">
        <f t="shared" ca="1" si="92"/>
        <v>0</v>
      </c>
      <c r="AC58" s="178">
        <f t="shared" ca="1" si="92"/>
        <v>0</v>
      </c>
      <c r="AD58" s="178">
        <f t="shared" ca="1" si="92"/>
        <v>0</v>
      </c>
      <c r="AE58" s="178">
        <f t="shared" ca="1" si="92"/>
        <v>0</v>
      </c>
      <c r="AF58" s="178">
        <f t="shared" ca="1" si="92"/>
        <v>0</v>
      </c>
      <c r="AG58" s="178">
        <f t="shared" ca="1" si="92"/>
        <v>0</v>
      </c>
      <c r="AH58" s="178">
        <f t="shared" ca="1" si="92"/>
        <v>0</v>
      </c>
      <c r="AI58" s="178">
        <f t="shared" ca="1" si="92"/>
        <v>0</v>
      </c>
      <c r="AJ58" s="178">
        <f t="shared" ca="1" si="92"/>
        <v>0</v>
      </c>
      <c r="AK58" s="178">
        <f t="shared" ca="1" si="92"/>
        <v>0</v>
      </c>
      <c r="AL58" s="178">
        <f t="shared" ca="1" si="92"/>
        <v>0</v>
      </c>
      <c r="AM58" s="178">
        <f t="shared" ca="1" si="92"/>
        <v>0</v>
      </c>
      <c r="AN58" s="178">
        <f t="shared" ca="1" si="92"/>
        <v>0</v>
      </c>
      <c r="AO58" s="178">
        <f t="shared" ca="1" si="92"/>
        <v>0</v>
      </c>
      <c r="AP58" s="178">
        <f t="shared" ref="AP58:BG58" ca="1" si="93">IF(SUMPRODUCT($J51:$BG51,discount_rate_divider)=0,0,SUMPRODUCT($J37:$BG37,discount_rate_divider)/SUMPRODUCT($J51:$BG51,discount_rate_divider))*AP$16</f>
        <v>0</v>
      </c>
      <c r="AQ58" s="178">
        <f t="shared" ca="1" si="93"/>
        <v>0</v>
      </c>
      <c r="AR58" s="178">
        <f t="shared" ca="1" si="93"/>
        <v>0</v>
      </c>
      <c r="AS58" s="178">
        <f t="shared" ca="1" si="93"/>
        <v>0</v>
      </c>
      <c r="AT58" s="178">
        <f t="shared" ca="1" si="93"/>
        <v>0</v>
      </c>
      <c r="AU58" s="178">
        <f t="shared" ca="1" si="93"/>
        <v>0</v>
      </c>
      <c r="AV58" s="178">
        <f t="shared" ca="1" si="93"/>
        <v>0</v>
      </c>
      <c r="AW58" s="178">
        <f t="shared" ca="1" si="93"/>
        <v>0</v>
      </c>
      <c r="AX58" s="178">
        <f t="shared" ca="1" si="93"/>
        <v>0</v>
      </c>
      <c r="AY58" s="178">
        <f t="shared" ca="1" si="93"/>
        <v>0</v>
      </c>
      <c r="AZ58" s="178">
        <f t="shared" ca="1" si="93"/>
        <v>0</v>
      </c>
      <c r="BA58" s="178">
        <f t="shared" ca="1" si="93"/>
        <v>0</v>
      </c>
      <c r="BB58" s="178">
        <f t="shared" ca="1" si="93"/>
        <v>0</v>
      </c>
      <c r="BC58" s="178">
        <f t="shared" ca="1" si="93"/>
        <v>0</v>
      </c>
      <c r="BD58" s="178">
        <f t="shared" ca="1" si="93"/>
        <v>0</v>
      </c>
      <c r="BE58" s="178">
        <f t="shared" ca="1" si="93"/>
        <v>0</v>
      </c>
      <c r="BF58" s="178">
        <f t="shared" ca="1" si="93"/>
        <v>0</v>
      </c>
      <c r="BG58" s="178">
        <f t="shared" ca="1" si="93"/>
        <v>0</v>
      </c>
    </row>
    <row r="59" spans="1:158" ht="12.75" x14ac:dyDescent="0.2">
      <c r="B59" s="92"/>
      <c r="F59" s="83"/>
      <c r="G59" s="83"/>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row>
    <row r="60" spans="1:158" ht="18" x14ac:dyDescent="0.25">
      <c r="A60" s="77">
        <v>2</v>
      </c>
      <c r="B60" s="78" t="s">
        <v>156</v>
      </c>
      <c r="C60" s="79"/>
      <c r="D60" s="79"/>
      <c r="E60" s="79"/>
      <c r="F60" s="82"/>
      <c r="G60" s="82"/>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row>
    <row r="61" spans="1:158" s="81" customFormat="1" ht="12" customHeight="1" x14ac:dyDescent="0.2">
      <c r="A61" s="80"/>
      <c r="B61" s="86"/>
    </row>
    <row r="62" spans="1:158" s="81" customFormat="1" ht="12.75" x14ac:dyDescent="0.2">
      <c r="A62" s="80"/>
      <c r="B62" s="84" t="s">
        <v>163</v>
      </c>
      <c r="F62" s="83" t="s">
        <v>202</v>
      </c>
      <c r="G62" s="83"/>
      <c r="BH62" s="42"/>
    </row>
    <row r="63" spans="1:158" s="81" customFormat="1" ht="12.75" x14ac:dyDescent="0.2">
      <c r="A63" s="80"/>
      <c r="B63" s="84"/>
      <c r="C63" s="81" t="s">
        <v>141</v>
      </c>
      <c r="F63" s="180">
        <f>opex_billing</f>
        <v>0.12</v>
      </c>
      <c r="G63" s="83" t="s">
        <v>139</v>
      </c>
      <c r="I63" s="42"/>
      <c r="J63" s="115">
        <f t="shared" ref="J63:N66" si="94">$O63*J$72</f>
        <v>2019610.3212077771</v>
      </c>
      <c r="K63" s="115">
        <f t="shared" si="94"/>
        <v>2096759.4354779143</v>
      </c>
      <c r="L63" s="115">
        <f t="shared" si="94"/>
        <v>2171613.747324476</v>
      </c>
      <c r="M63" s="115">
        <f t="shared" si="94"/>
        <v>2257826.8130932581</v>
      </c>
      <c r="N63" s="115">
        <f t="shared" si="94"/>
        <v>2349946.147067463</v>
      </c>
      <c r="O63" s="9">
        <f>O9*F63</f>
        <v>2400000</v>
      </c>
      <c r="P63" s="115">
        <f t="shared" ref="P63:Y66" si="95">$O63*P$72</f>
        <v>2480640</v>
      </c>
      <c r="Q63" s="115">
        <f t="shared" si="95"/>
        <v>2648579.3280000002</v>
      </c>
      <c r="R63" s="115">
        <f t="shared" si="95"/>
        <v>2776505.7095424002</v>
      </c>
      <c r="S63" s="115">
        <f t="shared" si="95"/>
        <v>2862022.0853963061</v>
      </c>
      <c r="T63" s="115">
        <f t="shared" si="95"/>
        <v>2961906.6561766369</v>
      </c>
      <c r="U63" s="115">
        <f t="shared" si="95"/>
        <v>3050763.8558619358</v>
      </c>
      <c r="V63" s="115">
        <f t="shared" si="95"/>
        <v>3142286.7715377938</v>
      </c>
      <c r="W63" s="115">
        <f t="shared" si="95"/>
        <v>3236555.3746839282</v>
      </c>
      <c r="X63" s="115">
        <f t="shared" si="95"/>
        <v>3333652.0359244463</v>
      </c>
      <c r="Y63" s="115">
        <f t="shared" si="95"/>
        <v>3433661.5970021798</v>
      </c>
      <c r="Z63" s="115">
        <f t="shared" ref="Z63:AI66" si="96">$O63*Z$72</f>
        <v>3536671.4449122455</v>
      </c>
      <c r="AA63" s="115">
        <f t="shared" si="96"/>
        <v>3642771.5882596127</v>
      </c>
      <c r="AB63" s="115">
        <f t="shared" si="96"/>
        <v>3752054.735907401</v>
      </c>
      <c r="AC63" s="115">
        <f t="shared" si="96"/>
        <v>3864616.3779846234</v>
      </c>
      <c r="AD63" s="115">
        <f t="shared" si="96"/>
        <v>3980554.8693241626</v>
      </c>
      <c r="AE63" s="115">
        <f t="shared" si="96"/>
        <v>4099971.5154038877</v>
      </c>
      <c r="AF63" s="115">
        <f t="shared" si="96"/>
        <v>4222970.6608660044</v>
      </c>
      <c r="AG63" s="115">
        <f t="shared" si="96"/>
        <v>4349659.780691985</v>
      </c>
      <c r="AH63" s="115">
        <f t="shared" si="96"/>
        <v>4480149.574112745</v>
      </c>
      <c r="AI63" s="115">
        <f t="shared" si="96"/>
        <v>4614554.0613361271</v>
      </c>
      <c r="AJ63" s="115">
        <f t="shared" ref="AJ63:AS66" si="97">$O63*AJ$72</f>
        <v>4752990.6831762111</v>
      </c>
      <c r="AK63" s="115">
        <f t="shared" si="97"/>
        <v>4895580.4036714975</v>
      </c>
      <c r="AL63" s="115">
        <f t="shared" si="97"/>
        <v>5042447.8157816427</v>
      </c>
      <c r="AM63" s="115">
        <f t="shared" si="97"/>
        <v>5193721.250255092</v>
      </c>
      <c r="AN63" s="115">
        <f t="shared" si="97"/>
        <v>5349532.8877627449</v>
      </c>
      <c r="AO63" s="115">
        <f t="shared" si="97"/>
        <v>5510018.8743956275</v>
      </c>
      <c r="AP63" s="115">
        <f t="shared" si="97"/>
        <v>5675319.4406274967</v>
      </c>
      <c r="AQ63" s="115">
        <f t="shared" si="97"/>
        <v>5845579.0238463217</v>
      </c>
      <c r="AR63" s="115">
        <f t="shared" si="97"/>
        <v>6020946.3945617117</v>
      </c>
      <c r="AS63" s="115">
        <f t="shared" si="97"/>
        <v>6201574.7863985635</v>
      </c>
      <c r="AT63" s="115">
        <f t="shared" ref="AT63:BG66" si="98">$O63*AT$72</f>
        <v>6387622.0299905203</v>
      </c>
      <c r="AU63" s="115">
        <f t="shared" si="98"/>
        <v>6579250.6908902368</v>
      </c>
      <c r="AV63" s="115">
        <f t="shared" si="98"/>
        <v>6776628.2116169436</v>
      </c>
      <c r="AW63" s="115">
        <f t="shared" si="98"/>
        <v>6979927.0579654528</v>
      </c>
      <c r="AX63" s="115">
        <f t="shared" si="98"/>
        <v>7189324.869704417</v>
      </c>
      <c r="AY63" s="115">
        <f t="shared" si="98"/>
        <v>7405004.6157955499</v>
      </c>
      <c r="AZ63" s="115">
        <f t="shared" si="98"/>
        <v>7627154.7542694155</v>
      </c>
      <c r="BA63" s="115">
        <f t="shared" si="98"/>
        <v>7855969.3968974976</v>
      </c>
      <c r="BB63" s="115">
        <f t="shared" si="98"/>
        <v>8091648.4788044225</v>
      </c>
      <c r="BC63" s="115">
        <f t="shared" si="98"/>
        <v>8334397.9331685556</v>
      </c>
      <c r="BD63" s="115">
        <f t="shared" si="98"/>
        <v>8584429.8711636122</v>
      </c>
      <c r="BE63" s="115">
        <f t="shared" si="98"/>
        <v>8841962.7672985215</v>
      </c>
      <c r="BF63" s="115">
        <f t="shared" si="98"/>
        <v>9107221.6503174771</v>
      </c>
      <c r="BG63" s="115">
        <f t="shared" si="98"/>
        <v>9380438.299827002</v>
      </c>
      <c r="BH63" s="42"/>
    </row>
    <row r="64" spans="1:158" s="81" customFormat="1" ht="12.75" x14ac:dyDescent="0.2">
      <c r="A64" s="80"/>
      <c r="B64" s="84"/>
      <c r="C64" s="81" t="s">
        <v>159</v>
      </c>
      <c r="F64" s="180">
        <f>opex_CRM</f>
        <v>0.12</v>
      </c>
      <c r="G64" s="83" t="s">
        <v>139</v>
      </c>
      <c r="I64" s="42"/>
      <c r="J64" s="115">
        <f t="shared" si="94"/>
        <v>6058830.9636233309</v>
      </c>
      <c r="K64" s="115">
        <f t="shared" si="94"/>
        <v>6290278.3064337429</v>
      </c>
      <c r="L64" s="115">
        <f t="shared" si="94"/>
        <v>6514841.2419734281</v>
      </c>
      <c r="M64" s="115">
        <f t="shared" si="94"/>
        <v>6773480.4392797733</v>
      </c>
      <c r="N64" s="115">
        <f t="shared" si="94"/>
        <v>7049838.4412023881</v>
      </c>
      <c r="O64" s="9">
        <f>O10*F64</f>
        <v>7200000</v>
      </c>
      <c r="P64" s="115">
        <f t="shared" si="95"/>
        <v>7441920.0000000009</v>
      </c>
      <c r="Q64" s="115">
        <f t="shared" si="95"/>
        <v>7945737.9840000011</v>
      </c>
      <c r="R64" s="115">
        <f t="shared" si="95"/>
        <v>8329517.1286272006</v>
      </c>
      <c r="S64" s="115">
        <f t="shared" si="95"/>
        <v>8586066.2561889179</v>
      </c>
      <c r="T64" s="115">
        <f t="shared" si="95"/>
        <v>8885719.9685299098</v>
      </c>
      <c r="U64" s="115">
        <f t="shared" si="95"/>
        <v>9152291.5675858073</v>
      </c>
      <c r="V64" s="115">
        <f t="shared" si="95"/>
        <v>9426860.3146133814</v>
      </c>
      <c r="W64" s="115">
        <f t="shared" si="95"/>
        <v>9709666.1240517832</v>
      </c>
      <c r="X64" s="115">
        <f t="shared" si="95"/>
        <v>10000956.107773339</v>
      </c>
      <c r="Y64" s="115">
        <f t="shared" si="95"/>
        <v>10300984.791006539</v>
      </c>
      <c r="Z64" s="115">
        <f t="shared" si="96"/>
        <v>10610014.334736736</v>
      </c>
      <c r="AA64" s="115">
        <f t="shared" si="96"/>
        <v>10928314.764778838</v>
      </c>
      <c r="AB64" s="115">
        <f t="shared" si="96"/>
        <v>11256164.207722204</v>
      </c>
      <c r="AC64" s="115">
        <f t="shared" si="96"/>
        <v>11593849.133953869</v>
      </c>
      <c r="AD64" s="115">
        <f t="shared" si="96"/>
        <v>11941664.607972488</v>
      </c>
      <c r="AE64" s="115">
        <f t="shared" si="96"/>
        <v>12299914.546211664</v>
      </c>
      <c r="AF64" s="115">
        <f t="shared" si="96"/>
        <v>12668911.982598014</v>
      </c>
      <c r="AG64" s="115">
        <f t="shared" si="96"/>
        <v>13048979.342075955</v>
      </c>
      <c r="AH64" s="115">
        <f t="shared" si="96"/>
        <v>13440448.722338233</v>
      </c>
      <c r="AI64" s="115">
        <f t="shared" si="96"/>
        <v>13843662.18400838</v>
      </c>
      <c r="AJ64" s="115">
        <f t="shared" si="97"/>
        <v>14258972.049528632</v>
      </c>
      <c r="AK64" s="115">
        <f t="shared" si="97"/>
        <v>14686741.211014492</v>
      </c>
      <c r="AL64" s="115">
        <f t="shared" si="97"/>
        <v>15127343.447344927</v>
      </c>
      <c r="AM64" s="115">
        <f t="shared" si="97"/>
        <v>15581163.750765277</v>
      </c>
      <c r="AN64" s="115">
        <f t="shared" si="97"/>
        <v>16048598.663288234</v>
      </c>
      <c r="AO64" s="115">
        <f t="shared" si="97"/>
        <v>16530056.623186883</v>
      </c>
      <c r="AP64" s="115">
        <f t="shared" si="97"/>
        <v>17025958.32188249</v>
      </c>
      <c r="AQ64" s="115">
        <f t="shared" si="97"/>
        <v>17536737.071538966</v>
      </c>
      <c r="AR64" s="115">
        <f t="shared" si="97"/>
        <v>18062839.183685135</v>
      </c>
      <c r="AS64" s="115">
        <f t="shared" si="97"/>
        <v>18604724.359195691</v>
      </c>
      <c r="AT64" s="115">
        <f t="shared" si="98"/>
        <v>19162866.089971561</v>
      </c>
      <c r="AU64" s="115">
        <f t="shared" si="98"/>
        <v>19737752.072670709</v>
      </c>
      <c r="AV64" s="115">
        <f t="shared" si="98"/>
        <v>20329884.63485083</v>
      </c>
      <c r="AW64" s="115">
        <f t="shared" si="98"/>
        <v>20939781.173896357</v>
      </c>
      <c r="AX64" s="115">
        <f t="shared" si="98"/>
        <v>21567974.60911325</v>
      </c>
      <c r="AY64" s="115">
        <f t="shared" si="98"/>
        <v>22215013.847386647</v>
      </c>
      <c r="AZ64" s="115">
        <f t="shared" si="98"/>
        <v>22881464.262808248</v>
      </c>
      <c r="BA64" s="115">
        <f t="shared" si="98"/>
        <v>23567908.190692496</v>
      </c>
      <c r="BB64" s="115">
        <f t="shared" si="98"/>
        <v>24274945.436413269</v>
      </c>
      <c r="BC64" s="115">
        <f t="shared" si="98"/>
        <v>25003193.799505666</v>
      </c>
      <c r="BD64" s="115">
        <f t="shared" si="98"/>
        <v>25753289.613490839</v>
      </c>
      <c r="BE64" s="115">
        <f t="shared" si="98"/>
        <v>26525888.301895563</v>
      </c>
      <c r="BF64" s="115">
        <f t="shared" si="98"/>
        <v>27321664.950952429</v>
      </c>
      <c r="BG64" s="115">
        <f t="shared" si="98"/>
        <v>28141314.899481006</v>
      </c>
      <c r="BH64" s="42"/>
    </row>
    <row r="65" spans="1:60" s="81" customFormat="1" ht="12.75" x14ac:dyDescent="0.2">
      <c r="A65" s="80"/>
      <c r="B65" s="84"/>
      <c r="C65" s="81" t="s">
        <v>223</v>
      </c>
      <c r="D65" s="84"/>
      <c r="E65" s="84"/>
      <c r="F65" s="171"/>
      <c r="G65" s="83" t="s">
        <v>139</v>
      </c>
      <c r="I65" s="42"/>
      <c r="J65" s="115">
        <f t="shared" si="94"/>
        <v>187460.23001450585</v>
      </c>
      <c r="K65" s="115">
        <f t="shared" si="94"/>
        <v>194621.21080105999</v>
      </c>
      <c r="L65" s="115">
        <f t="shared" si="94"/>
        <v>201569.18802665785</v>
      </c>
      <c r="M65" s="115">
        <f t="shared" si="94"/>
        <v>209571.48479131621</v>
      </c>
      <c r="N65" s="115">
        <f t="shared" si="94"/>
        <v>218122.00137080191</v>
      </c>
      <c r="O65" s="159">
        <f>costo_anual_equipo_impresion</f>
        <v>222768</v>
      </c>
      <c r="P65" s="115">
        <f t="shared" si="95"/>
        <v>230253.00480000002</v>
      </c>
      <c r="Q65" s="115">
        <f t="shared" si="95"/>
        <v>245841.13322496004</v>
      </c>
      <c r="R65" s="115">
        <f t="shared" si="95"/>
        <v>257715.25995972558</v>
      </c>
      <c r="S65" s="115">
        <f t="shared" si="95"/>
        <v>265652.88996648515</v>
      </c>
      <c r="T65" s="115">
        <f t="shared" si="95"/>
        <v>274924.17582631542</v>
      </c>
      <c r="U65" s="115">
        <f t="shared" si="95"/>
        <v>283171.90110110492</v>
      </c>
      <c r="V65" s="115">
        <f t="shared" si="95"/>
        <v>291667.05813413806</v>
      </c>
      <c r="W65" s="115">
        <f t="shared" si="95"/>
        <v>300417.06987816218</v>
      </c>
      <c r="X65" s="115">
        <f t="shared" si="95"/>
        <v>309429.58197450708</v>
      </c>
      <c r="Y65" s="115">
        <f t="shared" si="95"/>
        <v>318712.46943374234</v>
      </c>
      <c r="Z65" s="115">
        <f t="shared" si="96"/>
        <v>328273.84351675463</v>
      </c>
      <c r="AA65" s="115">
        <f t="shared" si="96"/>
        <v>338122.05882225721</v>
      </c>
      <c r="AB65" s="115">
        <f t="shared" si="96"/>
        <v>348265.72058692499</v>
      </c>
      <c r="AC65" s="115">
        <f t="shared" si="96"/>
        <v>358713.69220453274</v>
      </c>
      <c r="AD65" s="115">
        <f t="shared" si="96"/>
        <v>369475.10297066876</v>
      </c>
      <c r="AE65" s="115">
        <f t="shared" si="96"/>
        <v>380559.35605978884</v>
      </c>
      <c r="AF65" s="115">
        <f t="shared" si="96"/>
        <v>391976.13674158254</v>
      </c>
      <c r="AG65" s="115">
        <f t="shared" si="96"/>
        <v>403735.42084383004</v>
      </c>
      <c r="AH65" s="115">
        <f t="shared" si="96"/>
        <v>415847.48346914497</v>
      </c>
      <c r="AI65" s="115">
        <f t="shared" si="96"/>
        <v>428322.90797321929</v>
      </c>
      <c r="AJ65" s="115">
        <f t="shared" si="97"/>
        <v>441172.59521241591</v>
      </c>
      <c r="AK65" s="115">
        <f t="shared" si="97"/>
        <v>454407.7730687884</v>
      </c>
      <c r="AL65" s="115">
        <f t="shared" si="97"/>
        <v>468040.00626085204</v>
      </c>
      <c r="AM65" s="115">
        <f t="shared" si="97"/>
        <v>482081.20644867764</v>
      </c>
      <c r="AN65" s="115">
        <f t="shared" si="97"/>
        <v>496543.64264213794</v>
      </c>
      <c r="AO65" s="115">
        <f t="shared" si="97"/>
        <v>511439.95192140213</v>
      </c>
      <c r="AP65" s="115">
        <f t="shared" si="97"/>
        <v>526783.1504790443</v>
      </c>
      <c r="AQ65" s="115">
        <f t="shared" si="97"/>
        <v>542586.64499341557</v>
      </c>
      <c r="AR65" s="115">
        <f t="shared" si="97"/>
        <v>558864.24434321804</v>
      </c>
      <c r="AS65" s="115">
        <f t="shared" si="97"/>
        <v>575630.17167351465</v>
      </c>
      <c r="AT65" s="115">
        <f t="shared" si="98"/>
        <v>592899.07682372013</v>
      </c>
      <c r="AU65" s="115">
        <f t="shared" si="98"/>
        <v>610686.04912843171</v>
      </c>
      <c r="AV65" s="115">
        <f t="shared" si="98"/>
        <v>629006.63060228468</v>
      </c>
      <c r="AW65" s="115">
        <f t="shared" si="98"/>
        <v>647876.82952035335</v>
      </c>
      <c r="AX65" s="115">
        <f t="shared" si="98"/>
        <v>667313.13440596405</v>
      </c>
      <c r="AY65" s="115">
        <f t="shared" si="98"/>
        <v>687332.52843814297</v>
      </c>
      <c r="AZ65" s="115">
        <f t="shared" si="98"/>
        <v>707952.50429128716</v>
      </c>
      <c r="BA65" s="115">
        <f t="shared" si="98"/>
        <v>729191.07942002581</v>
      </c>
      <c r="BB65" s="115">
        <f t="shared" si="98"/>
        <v>751066.81180262659</v>
      </c>
      <c r="BC65" s="115">
        <f t="shared" si="98"/>
        <v>773598.81615670538</v>
      </c>
      <c r="BD65" s="115">
        <f t="shared" si="98"/>
        <v>796806.78064140654</v>
      </c>
      <c r="BE65" s="115">
        <f t="shared" si="98"/>
        <v>820710.98406064871</v>
      </c>
      <c r="BF65" s="115">
        <f t="shared" si="98"/>
        <v>845332.3135824682</v>
      </c>
      <c r="BG65" s="115">
        <f t="shared" si="98"/>
        <v>870692.28298994235</v>
      </c>
      <c r="BH65" s="42"/>
    </row>
    <row r="66" spans="1:60" s="81" customFormat="1" ht="12.75" x14ac:dyDescent="0.2">
      <c r="A66" s="80"/>
      <c r="B66" s="84"/>
      <c r="C66" s="81" t="s">
        <v>297</v>
      </c>
      <c r="D66" s="84"/>
      <c r="E66" s="84"/>
      <c r="F66" s="171"/>
      <c r="G66" s="83" t="s">
        <v>139</v>
      </c>
      <c r="I66" s="42"/>
      <c r="J66" s="115">
        <f t="shared" si="94"/>
        <v>49923.619151231564</v>
      </c>
      <c r="K66" s="115">
        <f t="shared" si="94"/>
        <v>51830.701402808612</v>
      </c>
      <c r="L66" s="115">
        <f t="shared" si="94"/>
        <v>53681.057442888887</v>
      </c>
      <c r="M66" s="115">
        <f t="shared" si="94"/>
        <v>55812.195423371581</v>
      </c>
      <c r="N66" s="115">
        <f t="shared" si="94"/>
        <v>58089.332996645142</v>
      </c>
      <c r="O66" s="159">
        <f>costo_anual_equipo_sobreteo</f>
        <v>59326.635789473687</v>
      </c>
      <c r="P66" s="115">
        <f t="shared" si="95"/>
        <v>61320.010752000009</v>
      </c>
      <c r="Q66" s="115">
        <f t="shared" si="95"/>
        <v>65471.375479910406</v>
      </c>
      <c r="R66" s="115">
        <f t="shared" si="95"/>
        <v>68633.642915590084</v>
      </c>
      <c r="S66" s="115">
        <f t="shared" si="95"/>
        <v>70747.55911739025</v>
      </c>
      <c r="T66" s="115">
        <f t="shared" si="95"/>
        <v>73216.648930587166</v>
      </c>
      <c r="U66" s="115">
        <f t="shared" si="95"/>
        <v>75413.148398504782</v>
      </c>
      <c r="V66" s="115">
        <f t="shared" si="95"/>
        <v>77675.542850459926</v>
      </c>
      <c r="W66" s="115">
        <f t="shared" si="95"/>
        <v>80005.80913597373</v>
      </c>
      <c r="X66" s="115">
        <f t="shared" si="95"/>
        <v>82405.983410052941</v>
      </c>
      <c r="Y66" s="115">
        <f t="shared" si="95"/>
        <v>84878.162912354528</v>
      </c>
      <c r="Z66" s="115">
        <f t="shared" si="96"/>
        <v>87424.507799725179</v>
      </c>
      <c r="AA66" s="115">
        <f t="shared" si="96"/>
        <v>90047.243033716935</v>
      </c>
      <c r="AB66" s="115">
        <f t="shared" si="96"/>
        <v>92748.660324728437</v>
      </c>
      <c r="AC66" s="115">
        <f t="shared" si="96"/>
        <v>95531.1201344703</v>
      </c>
      <c r="AD66" s="115">
        <f t="shared" si="96"/>
        <v>98397.053738504415</v>
      </c>
      <c r="AE66" s="115">
        <f t="shared" si="96"/>
        <v>101348.96535065956</v>
      </c>
      <c r="AF66" s="115">
        <f t="shared" si="96"/>
        <v>104389.43431117936</v>
      </c>
      <c r="AG66" s="115">
        <f t="shared" si="96"/>
        <v>107521.11734051474</v>
      </c>
      <c r="AH66" s="115">
        <f t="shared" si="96"/>
        <v>110746.75086073019</v>
      </c>
      <c r="AI66" s="115">
        <f t="shared" si="96"/>
        <v>114069.15338655209</v>
      </c>
      <c r="AJ66" s="115">
        <f t="shared" si="97"/>
        <v>117491.22798814866</v>
      </c>
      <c r="AK66" s="115">
        <f t="shared" si="97"/>
        <v>121015.96482779313</v>
      </c>
      <c r="AL66" s="115">
        <f t="shared" si="97"/>
        <v>124646.44377262692</v>
      </c>
      <c r="AM66" s="115">
        <f t="shared" si="97"/>
        <v>128385.83708580573</v>
      </c>
      <c r="AN66" s="115">
        <f t="shared" si="97"/>
        <v>132237.4121983799</v>
      </c>
      <c r="AO66" s="115">
        <f t="shared" si="97"/>
        <v>136204.53456433132</v>
      </c>
      <c r="AP66" s="115">
        <f t="shared" si="97"/>
        <v>140290.67060126126</v>
      </c>
      <c r="AQ66" s="115">
        <f t="shared" si="97"/>
        <v>144499.39071929912</v>
      </c>
      <c r="AR66" s="115">
        <f t="shared" si="97"/>
        <v>148834.37244087807</v>
      </c>
      <c r="AS66" s="115">
        <f t="shared" si="97"/>
        <v>153299.40361410443</v>
      </c>
      <c r="AT66" s="115">
        <f t="shared" si="98"/>
        <v>157898.38572252757</v>
      </c>
      <c r="AU66" s="115">
        <f t="shared" si="98"/>
        <v>162635.3372942034</v>
      </c>
      <c r="AV66" s="115">
        <f t="shared" si="98"/>
        <v>167514.39741302951</v>
      </c>
      <c r="AW66" s="115">
        <f t="shared" si="98"/>
        <v>172539.82933542042</v>
      </c>
      <c r="AX66" s="115">
        <f t="shared" si="98"/>
        <v>177716.02421548305</v>
      </c>
      <c r="AY66" s="115">
        <f t="shared" si="98"/>
        <v>183047.50494194755</v>
      </c>
      <c r="AZ66" s="115">
        <f t="shared" si="98"/>
        <v>188538.93009020595</v>
      </c>
      <c r="BA66" s="115">
        <f t="shared" si="98"/>
        <v>194195.09799291214</v>
      </c>
      <c r="BB66" s="115">
        <f t="shared" si="98"/>
        <v>200020.95093269949</v>
      </c>
      <c r="BC66" s="115">
        <f t="shared" si="98"/>
        <v>206021.57946068048</v>
      </c>
      <c r="BD66" s="115">
        <f t="shared" si="98"/>
        <v>212202.2268445009</v>
      </c>
      <c r="BE66" s="115">
        <f t="shared" si="98"/>
        <v>218568.29364983592</v>
      </c>
      <c r="BF66" s="115">
        <f t="shared" si="98"/>
        <v>225125.342459331</v>
      </c>
      <c r="BG66" s="115">
        <f t="shared" si="98"/>
        <v>231879.10273311095</v>
      </c>
      <c r="BH66" s="42"/>
    </row>
    <row r="67" spans="1:60" s="81" customFormat="1" ht="12.75" x14ac:dyDescent="0.2">
      <c r="A67" s="80"/>
      <c r="B67" s="84"/>
      <c r="C67" s="169" t="s">
        <v>247</v>
      </c>
      <c r="D67" s="84"/>
      <c r="E67" s="84"/>
      <c r="F67" s="171"/>
      <c r="G67" s="83" t="s">
        <v>139</v>
      </c>
      <c r="I67" s="42"/>
      <c r="J67" s="171"/>
      <c r="K67" s="171"/>
      <c r="L67" s="171"/>
      <c r="M67" s="171"/>
      <c r="N67" s="171"/>
      <c r="O67" s="174"/>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42"/>
    </row>
    <row r="68" spans="1:60" s="81" customFormat="1" ht="12.75" x14ac:dyDescent="0.2">
      <c r="A68" s="80"/>
      <c r="B68" s="84"/>
      <c r="C68" s="169" t="s">
        <v>248</v>
      </c>
      <c r="D68" s="84"/>
      <c r="E68" s="84"/>
      <c r="F68" s="171"/>
      <c r="G68" s="83" t="s">
        <v>139</v>
      </c>
      <c r="I68" s="42"/>
      <c r="J68" s="171"/>
      <c r="K68" s="171"/>
      <c r="L68" s="171"/>
      <c r="M68" s="171"/>
      <c r="N68" s="171"/>
      <c r="O68" s="174"/>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42"/>
    </row>
    <row r="69" spans="1:60" s="81" customFormat="1" ht="12.75" x14ac:dyDescent="0.2">
      <c r="A69" s="80"/>
      <c r="B69" s="84"/>
      <c r="C69" s="81" t="s">
        <v>238</v>
      </c>
      <c r="D69" s="84"/>
      <c r="E69" s="84"/>
      <c r="F69" s="171"/>
      <c r="G69" s="83" t="s">
        <v>139</v>
      </c>
      <c r="I69" s="42"/>
      <c r="J69" s="115">
        <f t="shared" ref="J69:M69" si="99">$O69*J$72</f>
        <v>302941.54818116658</v>
      </c>
      <c r="K69" s="115">
        <f t="shared" si="99"/>
        <v>314513.91532168712</v>
      </c>
      <c r="L69" s="115">
        <f t="shared" si="99"/>
        <v>325742.06209867139</v>
      </c>
      <c r="M69" s="115">
        <f t="shared" si="99"/>
        <v>338674.02196398866</v>
      </c>
      <c r="N69" s="115">
        <f>$O69*N$72</f>
        <v>352491.92206011945</v>
      </c>
      <c r="O69" s="11">
        <f>costo_por_FTE</f>
        <v>360000</v>
      </c>
      <c r="P69" s="115">
        <f>$O69*P$72</f>
        <v>372096</v>
      </c>
      <c r="Q69" s="115">
        <f t="shared" ref="Q69:BG69" si="100">$O69*Q$72</f>
        <v>397286.89920000004</v>
      </c>
      <c r="R69" s="115">
        <f t="shared" si="100"/>
        <v>416475.85643136001</v>
      </c>
      <c r="S69" s="115">
        <f t="shared" si="100"/>
        <v>429303.31280944595</v>
      </c>
      <c r="T69" s="115">
        <f t="shared" si="100"/>
        <v>444285.99842649553</v>
      </c>
      <c r="U69" s="115">
        <f t="shared" si="100"/>
        <v>457614.57837929035</v>
      </c>
      <c r="V69" s="115">
        <f t="shared" si="100"/>
        <v>471343.01573066908</v>
      </c>
      <c r="W69" s="115">
        <f t="shared" si="100"/>
        <v>485483.30620258918</v>
      </c>
      <c r="X69" s="115">
        <f t="shared" si="100"/>
        <v>500047.80538866692</v>
      </c>
      <c r="Y69" s="115">
        <f t="shared" si="100"/>
        <v>515049.23955032695</v>
      </c>
      <c r="Z69" s="115">
        <f t="shared" si="100"/>
        <v>530500.71673683682</v>
      </c>
      <c r="AA69" s="115">
        <f t="shared" si="100"/>
        <v>546415.73823894188</v>
      </c>
      <c r="AB69" s="115">
        <f t="shared" si="100"/>
        <v>562808.21038611012</v>
      </c>
      <c r="AC69" s="115">
        <f t="shared" si="100"/>
        <v>579692.45669769344</v>
      </c>
      <c r="AD69" s="115">
        <f t="shared" si="100"/>
        <v>597083.23039862432</v>
      </c>
      <c r="AE69" s="115">
        <f t="shared" si="100"/>
        <v>614995.72731058311</v>
      </c>
      <c r="AF69" s="115">
        <f t="shared" si="100"/>
        <v>633445.59912990069</v>
      </c>
      <c r="AG69" s="115">
        <f t="shared" si="100"/>
        <v>652448.96710379771</v>
      </c>
      <c r="AH69" s="115">
        <f t="shared" si="100"/>
        <v>672022.4361169117</v>
      </c>
      <c r="AI69" s="115">
        <f t="shared" si="100"/>
        <v>692183.10920041904</v>
      </c>
      <c r="AJ69" s="115">
        <f t="shared" si="100"/>
        <v>712948.60247643164</v>
      </c>
      <c r="AK69" s="115">
        <f t="shared" si="100"/>
        <v>734337.06055072462</v>
      </c>
      <c r="AL69" s="115">
        <f t="shared" si="100"/>
        <v>756367.17236724636</v>
      </c>
      <c r="AM69" s="115">
        <f t="shared" si="100"/>
        <v>779058.18753826385</v>
      </c>
      <c r="AN69" s="115">
        <f t="shared" si="100"/>
        <v>802429.93316441169</v>
      </c>
      <c r="AO69" s="115">
        <f t="shared" si="100"/>
        <v>826502.83115934406</v>
      </c>
      <c r="AP69" s="115">
        <f t="shared" si="100"/>
        <v>851297.91609412455</v>
      </c>
      <c r="AQ69" s="115">
        <f t="shared" si="100"/>
        <v>876836.85357694828</v>
      </c>
      <c r="AR69" s="115">
        <f t="shared" si="100"/>
        <v>903141.95918425673</v>
      </c>
      <c r="AS69" s="115">
        <f t="shared" si="100"/>
        <v>930236.21795978444</v>
      </c>
      <c r="AT69" s="115">
        <f t="shared" si="100"/>
        <v>958143.30449857807</v>
      </c>
      <c r="AU69" s="115">
        <f t="shared" si="100"/>
        <v>986887.60363353544</v>
      </c>
      <c r="AV69" s="115">
        <f t="shared" si="100"/>
        <v>1016494.2317425415</v>
      </c>
      <c r="AW69" s="115">
        <f t="shared" si="100"/>
        <v>1046989.0586948179</v>
      </c>
      <c r="AX69" s="115">
        <f t="shared" si="100"/>
        <v>1078398.7304556626</v>
      </c>
      <c r="AY69" s="115">
        <f t="shared" si="100"/>
        <v>1110750.6923693325</v>
      </c>
      <c r="AZ69" s="115">
        <f t="shared" si="100"/>
        <v>1144073.2131404125</v>
      </c>
      <c r="BA69" s="115">
        <f t="shared" si="100"/>
        <v>1178395.4095346248</v>
      </c>
      <c r="BB69" s="115">
        <f t="shared" si="100"/>
        <v>1213747.2718206635</v>
      </c>
      <c r="BC69" s="115">
        <f t="shared" si="100"/>
        <v>1250159.6899752833</v>
      </c>
      <c r="BD69" s="115">
        <f t="shared" si="100"/>
        <v>1287664.4806745418</v>
      </c>
      <c r="BE69" s="115">
        <f t="shared" si="100"/>
        <v>1326294.4150947782</v>
      </c>
      <c r="BF69" s="115">
        <f t="shared" si="100"/>
        <v>1366083.2475476216</v>
      </c>
      <c r="BG69" s="115">
        <f t="shared" si="100"/>
        <v>1407065.7449740502</v>
      </c>
      <c r="BH69" s="42"/>
    </row>
    <row r="70" spans="1:60" s="81" customFormat="1" ht="12.75" x14ac:dyDescent="0.2">
      <c r="A70" s="80"/>
      <c r="B70" s="84"/>
      <c r="C70" s="81" t="s">
        <v>174</v>
      </c>
      <c r="G70" s="83"/>
      <c r="I70" s="42"/>
      <c r="J70" s="115">
        <f t="shared" ref="J70:N70" si="101">$O70*J$72</f>
        <v>403922.0642415554</v>
      </c>
      <c r="K70" s="115">
        <f t="shared" si="101"/>
        <v>419351.88709558285</v>
      </c>
      <c r="L70" s="115">
        <f t="shared" si="101"/>
        <v>434322.74946489517</v>
      </c>
      <c r="M70" s="115">
        <f t="shared" si="101"/>
        <v>451565.36261865159</v>
      </c>
      <c r="N70" s="115">
        <f t="shared" si="101"/>
        <v>469989.22941349255</v>
      </c>
      <c r="O70" s="106">
        <f>costo_tienda_telmex*tiempo_cobranza*months.per.year</f>
        <v>480000</v>
      </c>
      <c r="P70" s="115">
        <f>$O70*P$72</f>
        <v>496128.00000000006</v>
      </c>
      <c r="Q70" s="115">
        <f t="shared" ref="Q70:BG70" si="102">$O70*Q$72</f>
        <v>529715.86560000002</v>
      </c>
      <c r="R70" s="115">
        <f t="shared" si="102"/>
        <v>555301.14190848009</v>
      </c>
      <c r="S70" s="115">
        <f t="shared" si="102"/>
        <v>572404.41707926127</v>
      </c>
      <c r="T70" s="115">
        <f t="shared" si="102"/>
        <v>592381.33123532741</v>
      </c>
      <c r="U70" s="115">
        <f t="shared" si="102"/>
        <v>610152.77117238718</v>
      </c>
      <c r="V70" s="115">
        <f t="shared" si="102"/>
        <v>628457.35430755885</v>
      </c>
      <c r="W70" s="115">
        <f t="shared" si="102"/>
        <v>647311.07493678562</v>
      </c>
      <c r="X70" s="115">
        <f t="shared" si="102"/>
        <v>666730.40718488919</v>
      </c>
      <c r="Y70" s="115">
        <f t="shared" si="102"/>
        <v>686732.3194004359</v>
      </c>
      <c r="Z70" s="115">
        <f t="shared" si="102"/>
        <v>707334.2889824491</v>
      </c>
      <c r="AA70" s="115">
        <f t="shared" si="102"/>
        <v>728554.31765192247</v>
      </c>
      <c r="AB70" s="115">
        <f t="shared" si="102"/>
        <v>750410.94718148024</v>
      </c>
      <c r="AC70" s="115">
        <f t="shared" si="102"/>
        <v>772923.27559692471</v>
      </c>
      <c r="AD70" s="115">
        <f t="shared" si="102"/>
        <v>796110.97386483243</v>
      </c>
      <c r="AE70" s="115">
        <f t="shared" si="102"/>
        <v>819994.30308077752</v>
      </c>
      <c r="AF70" s="115">
        <f t="shared" si="102"/>
        <v>844594.13217320095</v>
      </c>
      <c r="AG70" s="115">
        <f t="shared" si="102"/>
        <v>869931.95613839698</v>
      </c>
      <c r="AH70" s="115">
        <f t="shared" si="102"/>
        <v>896029.91482254898</v>
      </c>
      <c r="AI70" s="115">
        <f t="shared" si="102"/>
        <v>922910.81226722535</v>
      </c>
      <c r="AJ70" s="115">
        <f t="shared" si="102"/>
        <v>950598.13663524215</v>
      </c>
      <c r="AK70" s="115">
        <f t="shared" si="102"/>
        <v>979116.0807342995</v>
      </c>
      <c r="AL70" s="115">
        <f t="shared" si="102"/>
        <v>1008489.5631563285</v>
      </c>
      <c r="AM70" s="115">
        <f t="shared" si="102"/>
        <v>1038744.2500510184</v>
      </c>
      <c r="AN70" s="115">
        <f t="shared" si="102"/>
        <v>1069906.5775525488</v>
      </c>
      <c r="AO70" s="115">
        <f t="shared" si="102"/>
        <v>1102003.7748791254</v>
      </c>
      <c r="AP70" s="115">
        <f t="shared" si="102"/>
        <v>1135063.8881254992</v>
      </c>
      <c r="AQ70" s="115">
        <f t="shared" si="102"/>
        <v>1169115.8047692643</v>
      </c>
      <c r="AR70" s="115">
        <f t="shared" si="102"/>
        <v>1204189.2789123422</v>
      </c>
      <c r="AS70" s="115">
        <f t="shared" si="102"/>
        <v>1240314.9572797127</v>
      </c>
      <c r="AT70" s="115">
        <f t="shared" si="102"/>
        <v>1277524.405998104</v>
      </c>
      <c r="AU70" s="115">
        <f t="shared" si="102"/>
        <v>1315850.1381780473</v>
      </c>
      <c r="AV70" s="115">
        <f t="shared" si="102"/>
        <v>1355325.6423233887</v>
      </c>
      <c r="AW70" s="115">
        <f t="shared" si="102"/>
        <v>1395985.4115930905</v>
      </c>
      <c r="AX70" s="115">
        <f t="shared" si="102"/>
        <v>1437864.9739408835</v>
      </c>
      <c r="AY70" s="115">
        <f t="shared" si="102"/>
        <v>1481000.9231591099</v>
      </c>
      <c r="AZ70" s="115">
        <f t="shared" si="102"/>
        <v>1525430.9508538831</v>
      </c>
      <c r="BA70" s="115">
        <f t="shared" si="102"/>
        <v>1571193.8793794997</v>
      </c>
      <c r="BB70" s="115">
        <f t="shared" si="102"/>
        <v>1618329.6957608846</v>
      </c>
      <c r="BC70" s="115">
        <f t="shared" si="102"/>
        <v>1666879.5866337111</v>
      </c>
      <c r="BD70" s="115">
        <f t="shared" si="102"/>
        <v>1716885.9742327225</v>
      </c>
      <c r="BE70" s="115">
        <f t="shared" si="102"/>
        <v>1768392.5534597042</v>
      </c>
      <c r="BF70" s="115">
        <f t="shared" si="102"/>
        <v>1821444.3300634953</v>
      </c>
      <c r="BG70" s="115">
        <f t="shared" si="102"/>
        <v>1876087.6599654004</v>
      </c>
      <c r="BH70" s="42"/>
    </row>
    <row r="71" spans="1:60" s="81" customFormat="1" x14ac:dyDescent="0.2">
      <c r="B71" s="101" t="s">
        <v>157</v>
      </c>
      <c r="I71" s="42"/>
      <c r="J71" s="130">
        <v>4.3999999999999997E-2</v>
      </c>
      <c r="K71" s="130">
        <v>3.8199999999999998E-2</v>
      </c>
      <c r="L71" s="130">
        <v>3.5700000000000003E-2</v>
      </c>
      <c r="M71" s="130">
        <v>3.9699999999999999E-2</v>
      </c>
      <c r="N71" s="130">
        <v>4.0800000000000003E-2</v>
      </c>
      <c r="O71" s="130">
        <v>2.1299999999999999E-2</v>
      </c>
      <c r="P71" s="130">
        <v>3.3599999999999998E-2</v>
      </c>
      <c r="Q71" s="130">
        <v>6.7699999999999996E-2</v>
      </c>
      <c r="R71" s="130">
        <v>4.8300000000000003E-2</v>
      </c>
      <c r="S71" s="130">
        <v>3.0800000000000001E-2</v>
      </c>
      <c r="T71" s="130">
        <v>3.49E-2</v>
      </c>
      <c r="U71" s="123">
        <v>0.03</v>
      </c>
      <c r="V71" s="99">
        <f t="shared" ref="V71:BG71" si="103">U71</f>
        <v>0.03</v>
      </c>
      <c r="W71" s="99">
        <f t="shared" si="103"/>
        <v>0.03</v>
      </c>
      <c r="X71" s="99">
        <f t="shared" si="103"/>
        <v>0.03</v>
      </c>
      <c r="Y71" s="99">
        <f t="shared" si="103"/>
        <v>0.03</v>
      </c>
      <c r="Z71" s="99">
        <f t="shared" si="103"/>
        <v>0.03</v>
      </c>
      <c r="AA71" s="99">
        <f t="shared" si="103"/>
        <v>0.03</v>
      </c>
      <c r="AB71" s="99">
        <f t="shared" si="103"/>
        <v>0.03</v>
      </c>
      <c r="AC71" s="99">
        <f t="shared" si="103"/>
        <v>0.03</v>
      </c>
      <c r="AD71" s="99">
        <f t="shared" si="103"/>
        <v>0.03</v>
      </c>
      <c r="AE71" s="99">
        <f t="shared" si="103"/>
        <v>0.03</v>
      </c>
      <c r="AF71" s="99">
        <f t="shared" si="103"/>
        <v>0.03</v>
      </c>
      <c r="AG71" s="99">
        <f t="shared" si="103"/>
        <v>0.03</v>
      </c>
      <c r="AH71" s="99">
        <f t="shared" si="103"/>
        <v>0.03</v>
      </c>
      <c r="AI71" s="99">
        <f t="shared" si="103"/>
        <v>0.03</v>
      </c>
      <c r="AJ71" s="99">
        <f t="shared" si="103"/>
        <v>0.03</v>
      </c>
      <c r="AK71" s="99">
        <f t="shared" si="103"/>
        <v>0.03</v>
      </c>
      <c r="AL71" s="99">
        <f t="shared" si="103"/>
        <v>0.03</v>
      </c>
      <c r="AM71" s="99">
        <f t="shared" si="103"/>
        <v>0.03</v>
      </c>
      <c r="AN71" s="99">
        <f t="shared" si="103"/>
        <v>0.03</v>
      </c>
      <c r="AO71" s="99">
        <f t="shared" si="103"/>
        <v>0.03</v>
      </c>
      <c r="AP71" s="99">
        <f t="shared" si="103"/>
        <v>0.03</v>
      </c>
      <c r="AQ71" s="99">
        <f t="shared" si="103"/>
        <v>0.03</v>
      </c>
      <c r="AR71" s="99">
        <f t="shared" si="103"/>
        <v>0.03</v>
      </c>
      <c r="AS71" s="99">
        <f t="shared" si="103"/>
        <v>0.03</v>
      </c>
      <c r="AT71" s="99">
        <f t="shared" si="103"/>
        <v>0.03</v>
      </c>
      <c r="AU71" s="99">
        <f t="shared" si="103"/>
        <v>0.03</v>
      </c>
      <c r="AV71" s="99">
        <f t="shared" si="103"/>
        <v>0.03</v>
      </c>
      <c r="AW71" s="99">
        <f t="shared" si="103"/>
        <v>0.03</v>
      </c>
      <c r="AX71" s="99">
        <f t="shared" si="103"/>
        <v>0.03</v>
      </c>
      <c r="AY71" s="99">
        <f t="shared" si="103"/>
        <v>0.03</v>
      </c>
      <c r="AZ71" s="99">
        <f t="shared" si="103"/>
        <v>0.03</v>
      </c>
      <c r="BA71" s="99">
        <f t="shared" si="103"/>
        <v>0.03</v>
      </c>
      <c r="BB71" s="99">
        <f t="shared" si="103"/>
        <v>0.03</v>
      </c>
      <c r="BC71" s="99">
        <f t="shared" si="103"/>
        <v>0.03</v>
      </c>
      <c r="BD71" s="99">
        <f t="shared" si="103"/>
        <v>0.03</v>
      </c>
      <c r="BE71" s="99">
        <f t="shared" si="103"/>
        <v>0.03</v>
      </c>
      <c r="BF71" s="99">
        <f t="shared" si="103"/>
        <v>0.03</v>
      </c>
      <c r="BG71" s="99">
        <f t="shared" si="103"/>
        <v>0.03</v>
      </c>
    </row>
    <row r="72" spans="1:60" s="81" customFormat="1" x14ac:dyDescent="0.2">
      <c r="B72" s="101"/>
      <c r="C72" s="81" t="s">
        <v>171</v>
      </c>
      <c r="I72" s="42"/>
      <c r="J72" s="165">
        <f>K72/(1+K71)</f>
        <v>0.84150430050324043</v>
      </c>
      <c r="K72" s="165">
        <f>L72/(1+L71)</f>
        <v>0.87364976478246426</v>
      </c>
      <c r="L72" s="165">
        <f>M72/(1+M71)</f>
        <v>0.90483906138519832</v>
      </c>
      <c r="M72" s="165">
        <f>N72/(1+N71)</f>
        <v>0.94076117212219079</v>
      </c>
      <c r="N72" s="165">
        <f>O72/(1+O71)</f>
        <v>0.97914422794477618</v>
      </c>
      <c r="O72" s="107">
        <v>1</v>
      </c>
      <c r="P72" s="114">
        <f t="shared" ref="P72" si="104">O72*(1+P71)</f>
        <v>1.0336000000000001</v>
      </c>
      <c r="Q72" s="114">
        <f t="shared" ref="Q72" si="105">P72*(1+Q71)</f>
        <v>1.1035747200000001</v>
      </c>
      <c r="R72" s="114">
        <f t="shared" ref="R72" si="106">Q72*(1+R71)</f>
        <v>1.1568773789760001</v>
      </c>
      <c r="S72" s="114">
        <f t="shared" ref="S72" si="107">R72*(1+S71)</f>
        <v>1.1925092022484609</v>
      </c>
      <c r="T72" s="114">
        <f t="shared" ref="T72" si="108">S72*(1+T71)</f>
        <v>1.234127773406932</v>
      </c>
      <c r="U72" s="114">
        <f t="shared" ref="U72" si="109">T72*(1+U71)</f>
        <v>1.27115160660914</v>
      </c>
      <c r="V72" s="114">
        <f t="shared" ref="V72" si="110">U72*(1+V71)</f>
        <v>1.3092861548074142</v>
      </c>
      <c r="W72" s="114">
        <f t="shared" ref="W72" si="111">V72*(1+W71)</f>
        <v>1.3485647394516367</v>
      </c>
      <c r="X72" s="114">
        <f t="shared" ref="X72" si="112">W72*(1+X71)</f>
        <v>1.3890216816351859</v>
      </c>
      <c r="Y72" s="114">
        <f t="shared" ref="Y72" si="113">X72*(1+Y71)</f>
        <v>1.4306923320842415</v>
      </c>
      <c r="Z72" s="114">
        <f t="shared" ref="Z72" si="114">Y72*(1+Z71)</f>
        <v>1.4736131020467689</v>
      </c>
      <c r="AA72" s="114">
        <f t="shared" ref="AA72" si="115">Z72*(1+AA71)</f>
        <v>1.5178214951081719</v>
      </c>
      <c r="AB72" s="114">
        <f t="shared" ref="AB72" si="116">AA72*(1+AB71)</f>
        <v>1.5633561399614171</v>
      </c>
      <c r="AC72" s="114">
        <f t="shared" ref="AC72" si="117">AB72*(1+AC71)</f>
        <v>1.6102568241602597</v>
      </c>
      <c r="AD72" s="114">
        <f t="shared" ref="AD72" si="118">AC72*(1+AD71)</f>
        <v>1.6585645288850677</v>
      </c>
      <c r="AE72" s="114">
        <f t="shared" ref="AE72" si="119">AD72*(1+AE71)</f>
        <v>1.7083214647516198</v>
      </c>
      <c r="AF72" s="114">
        <f t="shared" ref="AF72" si="120">AE72*(1+AF71)</f>
        <v>1.7595711086941686</v>
      </c>
      <c r="AG72" s="114">
        <f t="shared" ref="AG72" si="121">AF72*(1+AG71)</f>
        <v>1.8123582419549937</v>
      </c>
      <c r="AH72" s="114">
        <f t="shared" ref="AH72" si="122">AG72*(1+AH71)</f>
        <v>1.8667289892136436</v>
      </c>
      <c r="AI72" s="114">
        <f t="shared" ref="AI72" si="123">AH72*(1+AI71)</f>
        <v>1.9227308588900529</v>
      </c>
      <c r="AJ72" s="114">
        <f t="shared" ref="AJ72" si="124">AI72*(1+AJ71)</f>
        <v>1.9804127846567545</v>
      </c>
      <c r="AK72" s="114">
        <f t="shared" ref="AK72" si="125">AJ72*(1+AK71)</f>
        <v>2.0398251681964572</v>
      </c>
      <c r="AL72" s="114">
        <f t="shared" ref="AL72" si="126">AK72*(1+AL71)</f>
        <v>2.101019923242351</v>
      </c>
      <c r="AM72" s="114">
        <f t="shared" ref="AM72" si="127">AL72*(1+AM71)</f>
        <v>2.1640505209396217</v>
      </c>
      <c r="AN72" s="114">
        <f t="shared" ref="AN72" si="128">AM72*(1+AN71)</f>
        <v>2.2289720365678103</v>
      </c>
      <c r="AO72" s="114">
        <f t="shared" ref="AO72" si="129">AN72*(1+AO71)</f>
        <v>2.2958411976648447</v>
      </c>
      <c r="AP72" s="114">
        <f t="shared" ref="AP72" si="130">AO72*(1+AP71)</f>
        <v>2.3647164335947903</v>
      </c>
      <c r="AQ72" s="114">
        <f t="shared" ref="AQ72" si="131">AP72*(1+AQ71)</f>
        <v>2.4356579266026341</v>
      </c>
      <c r="AR72" s="114">
        <f t="shared" ref="AR72" si="132">AQ72*(1+AR71)</f>
        <v>2.508727664400713</v>
      </c>
      <c r="AS72" s="114">
        <f t="shared" ref="AS72" si="133">AR72*(1+AS71)</f>
        <v>2.5839894943327346</v>
      </c>
      <c r="AT72" s="114">
        <f t="shared" ref="AT72" si="134">AS72*(1+AT71)</f>
        <v>2.6615091791627168</v>
      </c>
      <c r="AU72" s="114">
        <f t="shared" ref="AU72" si="135">AT72*(1+AU71)</f>
        <v>2.7413544545375985</v>
      </c>
      <c r="AV72" s="114">
        <f t="shared" ref="AV72" si="136">AU72*(1+AV71)</f>
        <v>2.8235950881737266</v>
      </c>
      <c r="AW72" s="114">
        <f t="shared" ref="AW72" si="137">AV72*(1+AW71)</f>
        <v>2.9083029408189387</v>
      </c>
      <c r="AX72" s="114">
        <f t="shared" ref="AX72" si="138">AW72*(1+AX71)</f>
        <v>2.9955520290435071</v>
      </c>
      <c r="AY72" s="114">
        <f t="shared" ref="AY72" si="139">AX72*(1+AY71)</f>
        <v>3.0854185899148123</v>
      </c>
      <c r="AZ72" s="114">
        <f t="shared" ref="AZ72" si="140">AY72*(1+AZ71)</f>
        <v>3.1779811476122566</v>
      </c>
      <c r="BA72" s="114">
        <f t="shared" ref="BA72" si="141">AZ72*(1+BA71)</f>
        <v>3.2733205820406241</v>
      </c>
      <c r="BB72" s="114">
        <f t="shared" ref="BB72" si="142">BA72*(1+BB71)</f>
        <v>3.3715201995018429</v>
      </c>
      <c r="BC72" s="114">
        <f t="shared" ref="BC72" si="143">BB72*(1+BC71)</f>
        <v>3.4726658054868982</v>
      </c>
      <c r="BD72" s="114">
        <f t="shared" ref="BD72" si="144">BC72*(1+BD71)</f>
        <v>3.5768457796515052</v>
      </c>
      <c r="BE72" s="114">
        <f t="shared" ref="BE72" si="145">BD72*(1+BE71)</f>
        <v>3.6841511530410505</v>
      </c>
      <c r="BF72" s="114">
        <f t="shared" ref="BF72" si="146">BE72*(1+BF71)</f>
        <v>3.794675687632282</v>
      </c>
      <c r="BG72" s="114">
        <f t="shared" ref="BG72" si="147">BF72*(1+BG71)</f>
        <v>3.9085159582612508</v>
      </c>
    </row>
    <row r="73" spans="1:60" ht="12.75" x14ac:dyDescent="0.2">
      <c r="B73" s="92" t="s">
        <v>164</v>
      </c>
      <c r="F73" s="83"/>
      <c r="G73" s="83"/>
      <c r="I73" s="42"/>
      <c r="J73" s="42"/>
      <c r="K73" s="42"/>
      <c r="L73" s="42"/>
      <c r="M73" s="42"/>
      <c r="N73" s="42"/>
      <c r="O73" s="42"/>
      <c r="P73" s="42"/>
      <c r="Q73" s="42"/>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row>
    <row r="74" spans="1:60" s="81" customFormat="1" ht="12.75" x14ac:dyDescent="0.2">
      <c r="A74" s="80"/>
      <c r="B74" s="84"/>
      <c r="C74" s="81" t="s">
        <v>141</v>
      </c>
      <c r="F74" s="83"/>
      <c r="G74" s="83" t="s">
        <v>126</v>
      </c>
      <c r="I74" s="42"/>
      <c r="J74" s="159">
        <f>J18</f>
        <v>2</v>
      </c>
      <c r="K74" s="159">
        <f t="shared" ref="K74:BG74" si="148">K18</f>
        <v>1</v>
      </c>
      <c r="L74" s="159">
        <f t="shared" si="148"/>
        <v>1</v>
      </c>
      <c r="M74" s="159">
        <f t="shared" si="148"/>
        <v>1</v>
      </c>
      <c r="N74" s="159">
        <f t="shared" si="148"/>
        <v>1</v>
      </c>
      <c r="O74" s="159">
        <f t="shared" si="148"/>
        <v>1</v>
      </c>
      <c r="P74" s="159">
        <f t="shared" si="148"/>
        <v>1</v>
      </c>
      <c r="Q74" s="159">
        <f t="shared" si="148"/>
        <v>1</v>
      </c>
      <c r="R74" s="159">
        <f t="shared" si="148"/>
        <v>1</v>
      </c>
      <c r="S74" s="159">
        <f t="shared" si="148"/>
        <v>1</v>
      </c>
      <c r="T74" s="159">
        <f t="shared" si="148"/>
        <v>1</v>
      </c>
      <c r="U74" s="159">
        <f t="shared" si="148"/>
        <v>1</v>
      </c>
      <c r="V74" s="159">
        <f t="shared" si="148"/>
        <v>1</v>
      </c>
      <c r="W74" s="159">
        <f t="shared" si="148"/>
        <v>1</v>
      </c>
      <c r="X74" s="159">
        <f t="shared" si="148"/>
        <v>1</v>
      </c>
      <c r="Y74" s="159">
        <f t="shared" si="148"/>
        <v>1</v>
      </c>
      <c r="Z74" s="159">
        <f t="shared" si="148"/>
        <v>1</v>
      </c>
      <c r="AA74" s="159">
        <f t="shared" si="148"/>
        <v>1</v>
      </c>
      <c r="AB74" s="159">
        <f t="shared" si="148"/>
        <v>1</v>
      </c>
      <c r="AC74" s="159">
        <f t="shared" si="148"/>
        <v>1</v>
      </c>
      <c r="AD74" s="159">
        <f t="shared" si="148"/>
        <v>1</v>
      </c>
      <c r="AE74" s="159">
        <f t="shared" si="148"/>
        <v>1</v>
      </c>
      <c r="AF74" s="159">
        <f t="shared" si="148"/>
        <v>1</v>
      </c>
      <c r="AG74" s="159">
        <f t="shared" si="148"/>
        <v>1</v>
      </c>
      <c r="AH74" s="159">
        <f t="shared" si="148"/>
        <v>1</v>
      </c>
      <c r="AI74" s="159">
        <f t="shared" si="148"/>
        <v>1</v>
      </c>
      <c r="AJ74" s="159">
        <f t="shared" si="148"/>
        <v>1</v>
      </c>
      <c r="AK74" s="159">
        <f t="shared" si="148"/>
        <v>1</v>
      </c>
      <c r="AL74" s="159">
        <f t="shared" si="148"/>
        <v>1</v>
      </c>
      <c r="AM74" s="159">
        <f t="shared" si="148"/>
        <v>1</v>
      </c>
      <c r="AN74" s="159">
        <f t="shared" si="148"/>
        <v>1</v>
      </c>
      <c r="AO74" s="159">
        <f t="shared" si="148"/>
        <v>1</v>
      </c>
      <c r="AP74" s="159">
        <f t="shared" si="148"/>
        <v>1</v>
      </c>
      <c r="AQ74" s="159">
        <f t="shared" si="148"/>
        <v>1</v>
      </c>
      <c r="AR74" s="159">
        <f t="shared" si="148"/>
        <v>1</v>
      </c>
      <c r="AS74" s="159">
        <f t="shared" si="148"/>
        <v>1</v>
      </c>
      <c r="AT74" s="159">
        <f t="shared" si="148"/>
        <v>1</v>
      </c>
      <c r="AU74" s="159">
        <f t="shared" si="148"/>
        <v>1</v>
      </c>
      <c r="AV74" s="159">
        <f t="shared" si="148"/>
        <v>1</v>
      </c>
      <c r="AW74" s="159">
        <f t="shared" si="148"/>
        <v>1</v>
      </c>
      <c r="AX74" s="159">
        <f t="shared" si="148"/>
        <v>1</v>
      </c>
      <c r="AY74" s="159">
        <f t="shared" si="148"/>
        <v>1</v>
      </c>
      <c r="AZ74" s="159">
        <f t="shared" si="148"/>
        <v>1</v>
      </c>
      <c r="BA74" s="159">
        <f t="shared" si="148"/>
        <v>1</v>
      </c>
      <c r="BB74" s="159">
        <f t="shared" si="148"/>
        <v>1</v>
      </c>
      <c r="BC74" s="159">
        <f t="shared" si="148"/>
        <v>1</v>
      </c>
      <c r="BD74" s="159">
        <f t="shared" si="148"/>
        <v>1</v>
      </c>
      <c r="BE74" s="159">
        <f t="shared" si="148"/>
        <v>1</v>
      </c>
      <c r="BF74" s="159">
        <f t="shared" si="148"/>
        <v>1</v>
      </c>
      <c r="BG74" s="159">
        <f t="shared" si="148"/>
        <v>1</v>
      </c>
      <c r="BH74" s="42"/>
    </row>
    <row r="75" spans="1:60" s="81" customFormat="1" ht="12.75" x14ac:dyDescent="0.2">
      <c r="A75" s="80"/>
      <c r="B75" s="84"/>
      <c r="C75" s="81" t="s">
        <v>159</v>
      </c>
      <c r="F75" s="83"/>
      <c r="G75" s="83" t="s">
        <v>126</v>
      </c>
      <c r="I75" s="42"/>
      <c r="J75" s="159">
        <f t="shared" ref="J75:BG75" si="149">J19</f>
        <v>2</v>
      </c>
      <c r="K75" s="159">
        <f t="shared" si="149"/>
        <v>1</v>
      </c>
      <c r="L75" s="159">
        <f t="shared" si="149"/>
        <v>1</v>
      </c>
      <c r="M75" s="159">
        <f t="shared" si="149"/>
        <v>1</v>
      </c>
      <c r="N75" s="159">
        <f t="shared" si="149"/>
        <v>1</v>
      </c>
      <c r="O75" s="159">
        <f t="shared" si="149"/>
        <v>1</v>
      </c>
      <c r="P75" s="159">
        <f t="shared" si="149"/>
        <v>1</v>
      </c>
      <c r="Q75" s="159">
        <f t="shared" si="149"/>
        <v>1</v>
      </c>
      <c r="R75" s="159">
        <f t="shared" si="149"/>
        <v>1</v>
      </c>
      <c r="S75" s="159">
        <f t="shared" si="149"/>
        <v>1</v>
      </c>
      <c r="T75" s="159">
        <f t="shared" si="149"/>
        <v>1</v>
      </c>
      <c r="U75" s="159">
        <f t="shared" si="149"/>
        <v>1</v>
      </c>
      <c r="V75" s="159">
        <f t="shared" si="149"/>
        <v>1</v>
      </c>
      <c r="W75" s="159">
        <f t="shared" si="149"/>
        <v>1</v>
      </c>
      <c r="X75" s="159">
        <f t="shared" si="149"/>
        <v>1</v>
      </c>
      <c r="Y75" s="159">
        <f t="shared" si="149"/>
        <v>1</v>
      </c>
      <c r="Z75" s="159">
        <f t="shared" si="149"/>
        <v>1</v>
      </c>
      <c r="AA75" s="159">
        <f t="shared" si="149"/>
        <v>1</v>
      </c>
      <c r="AB75" s="159">
        <f t="shared" si="149"/>
        <v>1</v>
      </c>
      <c r="AC75" s="159">
        <f t="shared" si="149"/>
        <v>1</v>
      </c>
      <c r="AD75" s="159">
        <f t="shared" si="149"/>
        <v>1</v>
      </c>
      <c r="AE75" s="159">
        <f t="shared" si="149"/>
        <v>1</v>
      </c>
      <c r="AF75" s="159">
        <f t="shared" si="149"/>
        <v>1</v>
      </c>
      <c r="AG75" s="159">
        <f t="shared" si="149"/>
        <v>1</v>
      </c>
      <c r="AH75" s="159">
        <f t="shared" si="149"/>
        <v>1</v>
      </c>
      <c r="AI75" s="159">
        <f t="shared" si="149"/>
        <v>1</v>
      </c>
      <c r="AJ75" s="159">
        <f t="shared" si="149"/>
        <v>1</v>
      </c>
      <c r="AK75" s="159">
        <f t="shared" si="149"/>
        <v>1</v>
      </c>
      <c r="AL75" s="159">
        <f t="shared" si="149"/>
        <v>1</v>
      </c>
      <c r="AM75" s="159">
        <f t="shared" si="149"/>
        <v>1</v>
      </c>
      <c r="AN75" s="159">
        <f t="shared" si="149"/>
        <v>1</v>
      </c>
      <c r="AO75" s="159">
        <f t="shared" si="149"/>
        <v>1</v>
      </c>
      <c r="AP75" s="159">
        <f t="shared" si="149"/>
        <v>1</v>
      </c>
      <c r="AQ75" s="159">
        <f t="shared" si="149"/>
        <v>1</v>
      </c>
      <c r="AR75" s="159">
        <f t="shared" si="149"/>
        <v>1</v>
      </c>
      <c r="AS75" s="159">
        <f t="shared" si="149"/>
        <v>1</v>
      </c>
      <c r="AT75" s="159">
        <f t="shared" si="149"/>
        <v>1</v>
      </c>
      <c r="AU75" s="159">
        <f t="shared" si="149"/>
        <v>1</v>
      </c>
      <c r="AV75" s="159">
        <f t="shared" si="149"/>
        <v>1</v>
      </c>
      <c r="AW75" s="159">
        <f t="shared" si="149"/>
        <v>1</v>
      </c>
      <c r="AX75" s="159">
        <f t="shared" si="149"/>
        <v>1</v>
      </c>
      <c r="AY75" s="159">
        <f t="shared" si="149"/>
        <v>1</v>
      </c>
      <c r="AZ75" s="159">
        <f t="shared" si="149"/>
        <v>1</v>
      </c>
      <c r="BA75" s="159">
        <f t="shared" si="149"/>
        <v>1</v>
      </c>
      <c r="BB75" s="159">
        <f t="shared" si="149"/>
        <v>1</v>
      </c>
      <c r="BC75" s="159">
        <f t="shared" si="149"/>
        <v>1</v>
      </c>
      <c r="BD75" s="159">
        <f t="shared" si="149"/>
        <v>1</v>
      </c>
      <c r="BE75" s="159">
        <f t="shared" si="149"/>
        <v>1</v>
      </c>
      <c r="BF75" s="159">
        <f t="shared" si="149"/>
        <v>1</v>
      </c>
      <c r="BG75" s="159">
        <f t="shared" si="149"/>
        <v>1</v>
      </c>
      <c r="BH75" s="42"/>
    </row>
    <row r="76" spans="1:60" s="81" customFormat="1" ht="12.75" x14ac:dyDescent="0.2">
      <c r="A76" s="80"/>
      <c r="B76" s="84"/>
      <c r="C76" s="81" t="s">
        <v>223</v>
      </c>
      <c r="F76" s="83"/>
      <c r="G76" s="83" t="s">
        <v>126</v>
      </c>
      <c r="I76" s="42"/>
      <c r="J76" s="159">
        <f t="shared" ref="J76:BG76" si="150">J20</f>
        <v>28</v>
      </c>
      <c r="K76" s="159">
        <f t="shared" si="150"/>
        <v>27</v>
      </c>
      <c r="L76" s="159">
        <f t="shared" si="150"/>
        <v>26</v>
      </c>
      <c r="M76" s="159">
        <f t="shared" si="150"/>
        <v>24</v>
      </c>
      <c r="N76" s="159">
        <f t="shared" si="150"/>
        <v>24</v>
      </c>
      <c r="O76" s="159">
        <f t="shared" si="150"/>
        <v>23</v>
      </c>
      <c r="P76" s="159">
        <f t="shared" si="150"/>
        <v>21</v>
      </c>
      <c r="Q76" s="159">
        <f t="shared" si="150"/>
        <v>21</v>
      </c>
      <c r="R76" s="159">
        <f t="shared" si="150"/>
        <v>22</v>
      </c>
      <c r="S76" s="159">
        <f t="shared" si="150"/>
        <v>22</v>
      </c>
      <c r="T76" s="159">
        <f t="shared" si="150"/>
        <v>22</v>
      </c>
      <c r="U76" s="159">
        <f t="shared" si="150"/>
        <v>22</v>
      </c>
      <c r="V76" s="159">
        <f t="shared" si="150"/>
        <v>22</v>
      </c>
      <c r="W76" s="159">
        <f t="shared" si="150"/>
        <v>22</v>
      </c>
      <c r="X76" s="159">
        <f t="shared" si="150"/>
        <v>22</v>
      </c>
      <c r="Y76" s="159">
        <f t="shared" si="150"/>
        <v>22</v>
      </c>
      <c r="Z76" s="159">
        <f t="shared" si="150"/>
        <v>22</v>
      </c>
      <c r="AA76" s="159">
        <f t="shared" si="150"/>
        <v>23</v>
      </c>
      <c r="AB76" s="159">
        <f t="shared" si="150"/>
        <v>23</v>
      </c>
      <c r="AC76" s="159">
        <f t="shared" si="150"/>
        <v>23</v>
      </c>
      <c r="AD76" s="159">
        <f t="shared" si="150"/>
        <v>24</v>
      </c>
      <c r="AE76" s="159">
        <f t="shared" si="150"/>
        <v>24</v>
      </c>
      <c r="AF76" s="159">
        <f t="shared" si="150"/>
        <v>24</v>
      </c>
      <c r="AG76" s="159">
        <f t="shared" si="150"/>
        <v>24</v>
      </c>
      <c r="AH76" s="159">
        <f t="shared" si="150"/>
        <v>25</v>
      </c>
      <c r="AI76" s="159">
        <f t="shared" si="150"/>
        <v>25</v>
      </c>
      <c r="AJ76" s="159">
        <f t="shared" si="150"/>
        <v>25</v>
      </c>
      <c r="AK76" s="159">
        <f t="shared" si="150"/>
        <v>25</v>
      </c>
      <c r="AL76" s="159">
        <f t="shared" si="150"/>
        <v>25</v>
      </c>
      <c r="AM76" s="159">
        <f t="shared" si="150"/>
        <v>26</v>
      </c>
      <c r="AN76" s="159">
        <f t="shared" si="150"/>
        <v>26</v>
      </c>
      <c r="AO76" s="159">
        <f t="shared" si="150"/>
        <v>26</v>
      </c>
      <c r="AP76" s="159">
        <f t="shared" si="150"/>
        <v>26</v>
      </c>
      <c r="AQ76" s="159">
        <f t="shared" si="150"/>
        <v>26</v>
      </c>
      <c r="AR76" s="159">
        <f t="shared" si="150"/>
        <v>26</v>
      </c>
      <c r="AS76" s="159">
        <f t="shared" si="150"/>
        <v>26</v>
      </c>
      <c r="AT76" s="159">
        <f t="shared" si="150"/>
        <v>27</v>
      </c>
      <c r="AU76" s="159">
        <f t="shared" si="150"/>
        <v>27</v>
      </c>
      <c r="AV76" s="159">
        <f t="shared" si="150"/>
        <v>27</v>
      </c>
      <c r="AW76" s="159">
        <f t="shared" si="150"/>
        <v>27</v>
      </c>
      <c r="AX76" s="159">
        <f t="shared" si="150"/>
        <v>27</v>
      </c>
      <c r="AY76" s="159">
        <f t="shared" si="150"/>
        <v>27</v>
      </c>
      <c r="AZ76" s="159">
        <f t="shared" si="150"/>
        <v>27</v>
      </c>
      <c r="BA76" s="159">
        <f t="shared" si="150"/>
        <v>27</v>
      </c>
      <c r="BB76" s="159">
        <f t="shared" si="150"/>
        <v>27</v>
      </c>
      <c r="BC76" s="159">
        <f t="shared" si="150"/>
        <v>27</v>
      </c>
      <c r="BD76" s="159">
        <f t="shared" si="150"/>
        <v>27</v>
      </c>
      <c r="BE76" s="159">
        <f t="shared" si="150"/>
        <v>27</v>
      </c>
      <c r="BF76" s="159">
        <f t="shared" si="150"/>
        <v>27</v>
      </c>
      <c r="BG76" s="159">
        <f t="shared" si="150"/>
        <v>27</v>
      </c>
      <c r="BH76" s="42"/>
    </row>
    <row r="77" spans="1:60" s="81" customFormat="1" ht="12.75" x14ac:dyDescent="0.2">
      <c r="A77" s="80"/>
      <c r="B77" s="84"/>
      <c r="C77" s="81" t="s">
        <v>297</v>
      </c>
      <c r="F77" s="83"/>
      <c r="G77" s="83" t="s">
        <v>126</v>
      </c>
      <c r="I77" s="42"/>
      <c r="J77" s="159">
        <f t="shared" ref="J77:BG77" si="151">J21</f>
        <v>28</v>
      </c>
      <c r="K77" s="159">
        <f t="shared" si="151"/>
        <v>27</v>
      </c>
      <c r="L77" s="159">
        <f t="shared" si="151"/>
        <v>26</v>
      </c>
      <c r="M77" s="159">
        <f t="shared" si="151"/>
        <v>24</v>
      </c>
      <c r="N77" s="159">
        <f t="shared" si="151"/>
        <v>24</v>
      </c>
      <c r="O77" s="159">
        <f t="shared" si="151"/>
        <v>23</v>
      </c>
      <c r="P77" s="159">
        <f t="shared" si="151"/>
        <v>21</v>
      </c>
      <c r="Q77" s="159">
        <f t="shared" si="151"/>
        <v>21</v>
      </c>
      <c r="R77" s="159">
        <f t="shared" si="151"/>
        <v>22</v>
      </c>
      <c r="S77" s="159">
        <f t="shared" si="151"/>
        <v>22</v>
      </c>
      <c r="T77" s="159">
        <f t="shared" si="151"/>
        <v>22</v>
      </c>
      <c r="U77" s="159">
        <f t="shared" si="151"/>
        <v>22</v>
      </c>
      <c r="V77" s="159">
        <f t="shared" si="151"/>
        <v>22</v>
      </c>
      <c r="W77" s="159">
        <f t="shared" si="151"/>
        <v>22</v>
      </c>
      <c r="X77" s="159">
        <f t="shared" si="151"/>
        <v>22</v>
      </c>
      <c r="Y77" s="159">
        <f t="shared" si="151"/>
        <v>22</v>
      </c>
      <c r="Z77" s="159">
        <f t="shared" si="151"/>
        <v>22</v>
      </c>
      <c r="AA77" s="159">
        <f t="shared" si="151"/>
        <v>23</v>
      </c>
      <c r="AB77" s="159">
        <f t="shared" si="151"/>
        <v>23</v>
      </c>
      <c r="AC77" s="159">
        <f t="shared" si="151"/>
        <v>23</v>
      </c>
      <c r="AD77" s="159">
        <f t="shared" si="151"/>
        <v>24</v>
      </c>
      <c r="AE77" s="159">
        <f t="shared" si="151"/>
        <v>24</v>
      </c>
      <c r="AF77" s="159">
        <f t="shared" si="151"/>
        <v>24</v>
      </c>
      <c r="AG77" s="159">
        <f t="shared" si="151"/>
        <v>24</v>
      </c>
      <c r="AH77" s="159">
        <f t="shared" si="151"/>
        <v>25</v>
      </c>
      <c r="AI77" s="159">
        <f t="shared" si="151"/>
        <v>25</v>
      </c>
      <c r="AJ77" s="159">
        <f t="shared" si="151"/>
        <v>25</v>
      </c>
      <c r="AK77" s="159">
        <f t="shared" si="151"/>
        <v>25</v>
      </c>
      <c r="AL77" s="159">
        <f t="shared" si="151"/>
        <v>25</v>
      </c>
      <c r="AM77" s="159">
        <f t="shared" si="151"/>
        <v>26</v>
      </c>
      <c r="AN77" s="159">
        <f t="shared" si="151"/>
        <v>26</v>
      </c>
      <c r="AO77" s="159">
        <f t="shared" si="151"/>
        <v>26</v>
      </c>
      <c r="AP77" s="159">
        <f t="shared" si="151"/>
        <v>26</v>
      </c>
      <c r="AQ77" s="159">
        <f t="shared" si="151"/>
        <v>26</v>
      </c>
      <c r="AR77" s="159">
        <f t="shared" si="151"/>
        <v>26</v>
      </c>
      <c r="AS77" s="159">
        <f t="shared" si="151"/>
        <v>26</v>
      </c>
      <c r="AT77" s="159">
        <f t="shared" si="151"/>
        <v>27</v>
      </c>
      <c r="AU77" s="159">
        <f t="shared" si="151"/>
        <v>27</v>
      </c>
      <c r="AV77" s="159">
        <f t="shared" si="151"/>
        <v>27</v>
      </c>
      <c r="AW77" s="159">
        <f t="shared" si="151"/>
        <v>27</v>
      </c>
      <c r="AX77" s="159">
        <f t="shared" si="151"/>
        <v>27</v>
      </c>
      <c r="AY77" s="159">
        <f t="shared" si="151"/>
        <v>27</v>
      </c>
      <c r="AZ77" s="159">
        <f t="shared" si="151"/>
        <v>27</v>
      </c>
      <c r="BA77" s="159">
        <f t="shared" si="151"/>
        <v>27</v>
      </c>
      <c r="BB77" s="159">
        <f t="shared" si="151"/>
        <v>27</v>
      </c>
      <c r="BC77" s="159">
        <f t="shared" si="151"/>
        <v>27</v>
      </c>
      <c r="BD77" s="159">
        <f t="shared" si="151"/>
        <v>27</v>
      </c>
      <c r="BE77" s="159">
        <f t="shared" si="151"/>
        <v>27</v>
      </c>
      <c r="BF77" s="159">
        <f t="shared" si="151"/>
        <v>27</v>
      </c>
      <c r="BG77" s="159">
        <f t="shared" si="151"/>
        <v>27</v>
      </c>
      <c r="BH77" s="42"/>
    </row>
    <row r="78" spans="1:60" s="81" customFormat="1" ht="12.75" x14ac:dyDescent="0.2">
      <c r="A78" s="80"/>
      <c r="B78" s="84"/>
      <c r="C78" s="169" t="s">
        <v>247</v>
      </c>
      <c r="F78" s="83"/>
      <c r="G78" s="83" t="s">
        <v>126</v>
      </c>
      <c r="I78" s="42"/>
      <c r="J78" s="159">
        <f t="shared" ref="J78:BG78" si="152">J22</f>
        <v>0</v>
      </c>
      <c r="K78" s="159">
        <f t="shared" si="152"/>
        <v>0</v>
      </c>
      <c r="L78" s="159">
        <f t="shared" si="152"/>
        <v>0</v>
      </c>
      <c r="M78" s="159">
        <f t="shared" si="152"/>
        <v>0</v>
      </c>
      <c r="N78" s="159">
        <f t="shared" si="152"/>
        <v>0</v>
      </c>
      <c r="O78" s="159">
        <f t="shared" si="152"/>
        <v>0</v>
      </c>
      <c r="P78" s="159">
        <f t="shared" si="152"/>
        <v>0</v>
      </c>
      <c r="Q78" s="159">
        <f t="shared" si="152"/>
        <v>0</v>
      </c>
      <c r="R78" s="159">
        <f t="shared" si="152"/>
        <v>0</v>
      </c>
      <c r="S78" s="159">
        <f t="shared" si="152"/>
        <v>0</v>
      </c>
      <c r="T78" s="159">
        <f t="shared" si="152"/>
        <v>0</v>
      </c>
      <c r="U78" s="159">
        <f t="shared" si="152"/>
        <v>0</v>
      </c>
      <c r="V78" s="159">
        <f t="shared" si="152"/>
        <v>0</v>
      </c>
      <c r="W78" s="159">
        <f t="shared" si="152"/>
        <v>0</v>
      </c>
      <c r="X78" s="159">
        <f t="shared" si="152"/>
        <v>0</v>
      </c>
      <c r="Y78" s="159">
        <f t="shared" si="152"/>
        <v>0</v>
      </c>
      <c r="Z78" s="159">
        <f t="shared" si="152"/>
        <v>0</v>
      </c>
      <c r="AA78" s="159">
        <f t="shared" si="152"/>
        <v>0</v>
      </c>
      <c r="AB78" s="159">
        <f t="shared" si="152"/>
        <v>0</v>
      </c>
      <c r="AC78" s="159">
        <f t="shared" si="152"/>
        <v>0</v>
      </c>
      <c r="AD78" s="159">
        <f t="shared" si="152"/>
        <v>0</v>
      </c>
      <c r="AE78" s="159">
        <f t="shared" si="152"/>
        <v>0</v>
      </c>
      <c r="AF78" s="159">
        <f t="shared" si="152"/>
        <v>0</v>
      </c>
      <c r="AG78" s="159">
        <f t="shared" si="152"/>
        <v>0</v>
      </c>
      <c r="AH78" s="159">
        <f t="shared" si="152"/>
        <v>0</v>
      </c>
      <c r="AI78" s="159">
        <f t="shared" si="152"/>
        <v>0</v>
      </c>
      <c r="AJ78" s="159">
        <f t="shared" si="152"/>
        <v>0</v>
      </c>
      <c r="AK78" s="159">
        <f t="shared" si="152"/>
        <v>0</v>
      </c>
      <c r="AL78" s="159">
        <f t="shared" si="152"/>
        <v>0</v>
      </c>
      <c r="AM78" s="159">
        <f t="shared" si="152"/>
        <v>0</v>
      </c>
      <c r="AN78" s="159">
        <f t="shared" si="152"/>
        <v>0</v>
      </c>
      <c r="AO78" s="159">
        <f t="shared" si="152"/>
        <v>0</v>
      </c>
      <c r="AP78" s="159">
        <f t="shared" si="152"/>
        <v>0</v>
      </c>
      <c r="AQ78" s="159">
        <f t="shared" si="152"/>
        <v>0</v>
      </c>
      <c r="AR78" s="159">
        <f t="shared" si="152"/>
        <v>0</v>
      </c>
      <c r="AS78" s="159">
        <f t="shared" si="152"/>
        <v>0</v>
      </c>
      <c r="AT78" s="159">
        <f t="shared" si="152"/>
        <v>0</v>
      </c>
      <c r="AU78" s="159">
        <f t="shared" si="152"/>
        <v>0</v>
      </c>
      <c r="AV78" s="159">
        <f t="shared" si="152"/>
        <v>0</v>
      </c>
      <c r="AW78" s="159">
        <f t="shared" si="152"/>
        <v>0</v>
      </c>
      <c r="AX78" s="159">
        <f t="shared" si="152"/>
        <v>0</v>
      </c>
      <c r="AY78" s="159">
        <f t="shared" si="152"/>
        <v>0</v>
      </c>
      <c r="AZ78" s="159">
        <f t="shared" si="152"/>
        <v>0</v>
      </c>
      <c r="BA78" s="159">
        <f t="shared" si="152"/>
        <v>0</v>
      </c>
      <c r="BB78" s="159">
        <f t="shared" si="152"/>
        <v>0</v>
      </c>
      <c r="BC78" s="159">
        <f t="shared" si="152"/>
        <v>0</v>
      </c>
      <c r="BD78" s="159">
        <f t="shared" si="152"/>
        <v>0</v>
      </c>
      <c r="BE78" s="159">
        <f t="shared" si="152"/>
        <v>0</v>
      </c>
      <c r="BF78" s="159">
        <f t="shared" si="152"/>
        <v>0</v>
      </c>
      <c r="BG78" s="159">
        <f t="shared" si="152"/>
        <v>0</v>
      </c>
      <c r="BH78" s="42"/>
    </row>
    <row r="79" spans="1:60" s="81" customFormat="1" ht="12.75" x14ac:dyDescent="0.2">
      <c r="A79" s="80"/>
      <c r="B79" s="84"/>
      <c r="C79" s="169" t="s">
        <v>248</v>
      </c>
      <c r="F79" s="83"/>
      <c r="G79" s="83" t="s">
        <v>126</v>
      </c>
      <c r="I79" s="42"/>
      <c r="J79" s="159">
        <f t="shared" ref="J79:BG79" si="153">J23</f>
        <v>0</v>
      </c>
      <c r="K79" s="159">
        <f t="shared" si="153"/>
        <v>0</v>
      </c>
      <c r="L79" s="159">
        <f t="shared" si="153"/>
        <v>0</v>
      </c>
      <c r="M79" s="159">
        <f t="shared" si="153"/>
        <v>0</v>
      </c>
      <c r="N79" s="159">
        <f t="shared" si="153"/>
        <v>0</v>
      </c>
      <c r="O79" s="159">
        <f t="shared" si="153"/>
        <v>0</v>
      </c>
      <c r="P79" s="159">
        <f t="shared" si="153"/>
        <v>0</v>
      </c>
      <c r="Q79" s="159">
        <f t="shared" si="153"/>
        <v>0</v>
      </c>
      <c r="R79" s="159">
        <f t="shared" si="153"/>
        <v>0</v>
      </c>
      <c r="S79" s="159">
        <f t="shared" si="153"/>
        <v>0</v>
      </c>
      <c r="T79" s="159">
        <f t="shared" si="153"/>
        <v>0</v>
      </c>
      <c r="U79" s="159">
        <f t="shared" si="153"/>
        <v>0</v>
      </c>
      <c r="V79" s="159">
        <f t="shared" si="153"/>
        <v>0</v>
      </c>
      <c r="W79" s="159">
        <f t="shared" si="153"/>
        <v>0</v>
      </c>
      <c r="X79" s="159">
        <f t="shared" si="153"/>
        <v>0</v>
      </c>
      <c r="Y79" s="159">
        <f t="shared" si="153"/>
        <v>0</v>
      </c>
      <c r="Z79" s="159">
        <f t="shared" si="153"/>
        <v>0</v>
      </c>
      <c r="AA79" s="159">
        <f t="shared" si="153"/>
        <v>0</v>
      </c>
      <c r="AB79" s="159">
        <f t="shared" si="153"/>
        <v>0</v>
      </c>
      <c r="AC79" s="159">
        <f t="shared" si="153"/>
        <v>0</v>
      </c>
      <c r="AD79" s="159">
        <f t="shared" si="153"/>
        <v>0</v>
      </c>
      <c r="AE79" s="159">
        <f t="shared" si="153"/>
        <v>0</v>
      </c>
      <c r="AF79" s="159">
        <f t="shared" si="153"/>
        <v>0</v>
      </c>
      <c r="AG79" s="159">
        <f t="shared" si="153"/>
        <v>0</v>
      </c>
      <c r="AH79" s="159">
        <f t="shared" si="153"/>
        <v>0</v>
      </c>
      <c r="AI79" s="159">
        <f t="shared" si="153"/>
        <v>0</v>
      </c>
      <c r="AJ79" s="159">
        <f t="shared" si="153"/>
        <v>0</v>
      </c>
      <c r="AK79" s="159">
        <f t="shared" si="153"/>
        <v>0</v>
      </c>
      <c r="AL79" s="159">
        <f t="shared" si="153"/>
        <v>0</v>
      </c>
      <c r="AM79" s="159">
        <f t="shared" si="153"/>
        <v>0</v>
      </c>
      <c r="AN79" s="159">
        <f t="shared" si="153"/>
        <v>0</v>
      </c>
      <c r="AO79" s="159">
        <f t="shared" si="153"/>
        <v>0</v>
      </c>
      <c r="AP79" s="159">
        <f t="shared" si="153"/>
        <v>0</v>
      </c>
      <c r="AQ79" s="159">
        <f t="shared" si="153"/>
        <v>0</v>
      </c>
      <c r="AR79" s="159">
        <f t="shared" si="153"/>
        <v>0</v>
      </c>
      <c r="AS79" s="159">
        <f t="shared" si="153"/>
        <v>0</v>
      </c>
      <c r="AT79" s="159">
        <f t="shared" si="153"/>
        <v>0</v>
      </c>
      <c r="AU79" s="159">
        <f t="shared" si="153"/>
        <v>0</v>
      </c>
      <c r="AV79" s="159">
        <f t="shared" si="153"/>
        <v>0</v>
      </c>
      <c r="AW79" s="159">
        <f t="shared" si="153"/>
        <v>0</v>
      </c>
      <c r="AX79" s="159">
        <f t="shared" si="153"/>
        <v>0</v>
      </c>
      <c r="AY79" s="159">
        <f t="shared" si="153"/>
        <v>0</v>
      </c>
      <c r="AZ79" s="159">
        <f t="shared" si="153"/>
        <v>0</v>
      </c>
      <c r="BA79" s="159">
        <f t="shared" si="153"/>
        <v>0</v>
      </c>
      <c r="BB79" s="159">
        <f t="shared" si="153"/>
        <v>0</v>
      </c>
      <c r="BC79" s="159">
        <f t="shared" si="153"/>
        <v>0</v>
      </c>
      <c r="BD79" s="159">
        <f t="shared" si="153"/>
        <v>0</v>
      </c>
      <c r="BE79" s="159">
        <f t="shared" si="153"/>
        <v>0</v>
      </c>
      <c r="BF79" s="159">
        <f t="shared" si="153"/>
        <v>0</v>
      </c>
      <c r="BG79" s="159">
        <f t="shared" si="153"/>
        <v>0</v>
      </c>
      <c r="BH79" s="42"/>
    </row>
    <row r="80" spans="1:60" s="81" customFormat="1" ht="12.75" x14ac:dyDescent="0.2">
      <c r="A80" s="80"/>
      <c r="B80" s="84"/>
      <c r="C80" s="81" t="s">
        <v>238</v>
      </c>
      <c r="F80" s="83"/>
      <c r="G80" s="83" t="s">
        <v>126</v>
      </c>
      <c r="I80" s="42"/>
      <c r="J80" s="9">
        <f t="shared" ref="J80:AO80" si="154">J76*FTE_por_equipo</f>
        <v>28</v>
      </c>
      <c r="K80" s="9">
        <f t="shared" si="154"/>
        <v>27</v>
      </c>
      <c r="L80" s="9">
        <f t="shared" si="154"/>
        <v>26</v>
      </c>
      <c r="M80" s="9">
        <f t="shared" si="154"/>
        <v>24</v>
      </c>
      <c r="N80" s="9">
        <f t="shared" si="154"/>
        <v>24</v>
      </c>
      <c r="O80" s="9">
        <f t="shared" si="154"/>
        <v>23</v>
      </c>
      <c r="P80" s="9">
        <f t="shared" si="154"/>
        <v>21</v>
      </c>
      <c r="Q80" s="9">
        <f t="shared" si="154"/>
        <v>21</v>
      </c>
      <c r="R80" s="9">
        <f t="shared" si="154"/>
        <v>22</v>
      </c>
      <c r="S80" s="9">
        <f t="shared" si="154"/>
        <v>22</v>
      </c>
      <c r="T80" s="9">
        <f t="shared" si="154"/>
        <v>22</v>
      </c>
      <c r="U80" s="9">
        <f t="shared" si="154"/>
        <v>22</v>
      </c>
      <c r="V80" s="9">
        <f t="shared" si="154"/>
        <v>22</v>
      </c>
      <c r="W80" s="9">
        <f t="shared" si="154"/>
        <v>22</v>
      </c>
      <c r="X80" s="9">
        <f t="shared" si="154"/>
        <v>22</v>
      </c>
      <c r="Y80" s="9">
        <f t="shared" si="154"/>
        <v>22</v>
      </c>
      <c r="Z80" s="9">
        <f t="shared" si="154"/>
        <v>22</v>
      </c>
      <c r="AA80" s="9">
        <f t="shared" si="154"/>
        <v>23</v>
      </c>
      <c r="AB80" s="9">
        <f t="shared" si="154"/>
        <v>23</v>
      </c>
      <c r="AC80" s="9">
        <f t="shared" si="154"/>
        <v>23</v>
      </c>
      <c r="AD80" s="9">
        <f t="shared" si="154"/>
        <v>24</v>
      </c>
      <c r="AE80" s="9">
        <f t="shared" si="154"/>
        <v>24</v>
      </c>
      <c r="AF80" s="9">
        <f t="shared" si="154"/>
        <v>24</v>
      </c>
      <c r="AG80" s="9">
        <f t="shared" si="154"/>
        <v>24</v>
      </c>
      <c r="AH80" s="9">
        <f t="shared" si="154"/>
        <v>25</v>
      </c>
      <c r="AI80" s="9">
        <f t="shared" si="154"/>
        <v>25</v>
      </c>
      <c r="AJ80" s="9">
        <f t="shared" si="154"/>
        <v>25</v>
      </c>
      <c r="AK80" s="9">
        <f t="shared" si="154"/>
        <v>25</v>
      </c>
      <c r="AL80" s="9">
        <f t="shared" si="154"/>
        <v>25</v>
      </c>
      <c r="AM80" s="9">
        <f t="shared" si="154"/>
        <v>26</v>
      </c>
      <c r="AN80" s="9">
        <f t="shared" si="154"/>
        <v>26</v>
      </c>
      <c r="AO80" s="9">
        <f t="shared" si="154"/>
        <v>26</v>
      </c>
      <c r="AP80" s="9">
        <f t="shared" ref="AP80:BG80" si="155">AP76*FTE_por_equipo</f>
        <v>26</v>
      </c>
      <c r="AQ80" s="9">
        <f t="shared" si="155"/>
        <v>26</v>
      </c>
      <c r="AR80" s="9">
        <f t="shared" si="155"/>
        <v>26</v>
      </c>
      <c r="AS80" s="9">
        <f t="shared" si="155"/>
        <v>26</v>
      </c>
      <c r="AT80" s="9">
        <f t="shared" si="155"/>
        <v>27</v>
      </c>
      <c r="AU80" s="9">
        <f t="shared" si="155"/>
        <v>27</v>
      </c>
      <c r="AV80" s="9">
        <f t="shared" si="155"/>
        <v>27</v>
      </c>
      <c r="AW80" s="9">
        <f t="shared" si="155"/>
        <v>27</v>
      </c>
      <c r="AX80" s="9">
        <f t="shared" si="155"/>
        <v>27</v>
      </c>
      <c r="AY80" s="9">
        <f t="shared" si="155"/>
        <v>27</v>
      </c>
      <c r="AZ80" s="9">
        <f t="shared" si="155"/>
        <v>27</v>
      </c>
      <c r="BA80" s="9">
        <f t="shared" si="155"/>
        <v>27</v>
      </c>
      <c r="BB80" s="9">
        <f t="shared" si="155"/>
        <v>27</v>
      </c>
      <c r="BC80" s="9">
        <f t="shared" si="155"/>
        <v>27</v>
      </c>
      <c r="BD80" s="9">
        <f t="shared" si="155"/>
        <v>27</v>
      </c>
      <c r="BE80" s="9">
        <f t="shared" si="155"/>
        <v>27</v>
      </c>
      <c r="BF80" s="9">
        <f t="shared" si="155"/>
        <v>27</v>
      </c>
      <c r="BG80" s="9">
        <f t="shared" si="155"/>
        <v>27</v>
      </c>
      <c r="BH80" s="42"/>
    </row>
    <row r="81" spans="1:60" s="81" customFormat="1" ht="12.75" x14ac:dyDescent="0.2">
      <c r="A81" s="80"/>
      <c r="B81" s="84"/>
      <c r="C81" s="81" t="s">
        <v>174</v>
      </c>
      <c r="F81" s="83"/>
      <c r="G81" s="83"/>
      <c r="I81" s="42"/>
      <c r="J81" s="11">
        <f>K81</f>
        <v>360</v>
      </c>
      <c r="K81" s="11">
        <f>L81</f>
        <v>360</v>
      </c>
      <c r="L81" s="11">
        <f>M81</f>
        <v>360</v>
      </c>
      <c r="M81" s="11">
        <f>N81</f>
        <v>360</v>
      </c>
      <c r="N81" s="11">
        <f>O81</f>
        <v>360</v>
      </c>
      <c r="O81" s="108">
        <f>tiendas_telmex</f>
        <v>360</v>
      </c>
      <c r="P81" s="11">
        <f>O81</f>
        <v>360</v>
      </c>
      <c r="Q81" s="11">
        <f t="shared" ref="Q81:BG81" si="156">P81</f>
        <v>360</v>
      </c>
      <c r="R81" s="11">
        <f t="shared" si="156"/>
        <v>360</v>
      </c>
      <c r="S81" s="11">
        <f t="shared" si="156"/>
        <v>360</v>
      </c>
      <c r="T81" s="11">
        <f t="shared" si="156"/>
        <v>360</v>
      </c>
      <c r="U81" s="11">
        <f t="shared" si="156"/>
        <v>360</v>
      </c>
      <c r="V81" s="11">
        <f t="shared" si="156"/>
        <v>360</v>
      </c>
      <c r="W81" s="11">
        <f t="shared" si="156"/>
        <v>360</v>
      </c>
      <c r="X81" s="11">
        <f t="shared" si="156"/>
        <v>360</v>
      </c>
      <c r="Y81" s="11">
        <f t="shared" si="156"/>
        <v>360</v>
      </c>
      <c r="Z81" s="11">
        <f t="shared" si="156"/>
        <v>360</v>
      </c>
      <c r="AA81" s="11">
        <f t="shared" si="156"/>
        <v>360</v>
      </c>
      <c r="AB81" s="11">
        <f t="shared" si="156"/>
        <v>360</v>
      </c>
      <c r="AC81" s="11">
        <f t="shared" si="156"/>
        <v>360</v>
      </c>
      <c r="AD81" s="11">
        <f t="shared" si="156"/>
        <v>360</v>
      </c>
      <c r="AE81" s="11">
        <f t="shared" si="156"/>
        <v>360</v>
      </c>
      <c r="AF81" s="11">
        <f t="shared" si="156"/>
        <v>360</v>
      </c>
      <c r="AG81" s="11">
        <f t="shared" si="156"/>
        <v>360</v>
      </c>
      <c r="AH81" s="11">
        <f t="shared" si="156"/>
        <v>360</v>
      </c>
      <c r="AI81" s="11">
        <f t="shared" si="156"/>
        <v>360</v>
      </c>
      <c r="AJ81" s="11">
        <f t="shared" si="156"/>
        <v>360</v>
      </c>
      <c r="AK81" s="11">
        <f t="shared" si="156"/>
        <v>360</v>
      </c>
      <c r="AL81" s="11">
        <f t="shared" si="156"/>
        <v>360</v>
      </c>
      <c r="AM81" s="11">
        <f t="shared" si="156"/>
        <v>360</v>
      </c>
      <c r="AN81" s="11">
        <f t="shared" si="156"/>
        <v>360</v>
      </c>
      <c r="AO81" s="11">
        <f t="shared" si="156"/>
        <v>360</v>
      </c>
      <c r="AP81" s="11">
        <f t="shared" si="156"/>
        <v>360</v>
      </c>
      <c r="AQ81" s="11">
        <f t="shared" si="156"/>
        <v>360</v>
      </c>
      <c r="AR81" s="11">
        <f t="shared" si="156"/>
        <v>360</v>
      </c>
      <c r="AS81" s="11">
        <f t="shared" si="156"/>
        <v>360</v>
      </c>
      <c r="AT81" s="11">
        <f t="shared" si="156"/>
        <v>360</v>
      </c>
      <c r="AU81" s="11">
        <f t="shared" si="156"/>
        <v>360</v>
      </c>
      <c r="AV81" s="11">
        <f t="shared" si="156"/>
        <v>360</v>
      </c>
      <c r="AW81" s="11">
        <f t="shared" si="156"/>
        <v>360</v>
      </c>
      <c r="AX81" s="11">
        <f t="shared" si="156"/>
        <v>360</v>
      </c>
      <c r="AY81" s="11">
        <f t="shared" si="156"/>
        <v>360</v>
      </c>
      <c r="AZ81" s="11">
        <f t="shared" si="156"/>
        <v>360</v>
      </c>
      <c r="BA81" s="11">
        <f t="shared" si="156"/>
        <v>360</v>
      </c>
      <c r="BB81" s="11">
        <f t="shared" si="156"/>
        <v>360</v>
      </c>
      <c r="BC81" s="11">
        <f t="shared" si="156"/>
        <v>360</v>
      </c>
      <c r="BD81" s="11">
        <f t="shared" si="156"/>
        <v>360</v>
      </c>
      <c r="BE81" s="11">
        <f t="shared" si="156"/>
        <v>360</v>
      </c>
      <c r="BF81" s="11">
        <f t="shared" si="156"/>
        <v>360</v>
      </c>
      <c r="BG81" s="11">
        <f t="shared" si="156"/>
        <v>360</v>
      </c>
      <c r="BH81" s="42"/>
    </row>
    <row r="82" spans="1:60" s="81" customFormat="1" ht="12.75" x14ac:dyDescent="0.2">
      <c r="A82" s="42"/>
      <c r="B82" s="84" t="s">
        <v>156</v>
      </c>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row>
    <row r="83" spans="1:60" s="81" customFormat="1" ht="12.75" x14ac:dyDescent="0.2">
      <c r="A83" s="42"/>
      <c r="B83" s="84"/>
      <c r="C83" s="81" t="s">
        <v>141</v>
      </c>
      <c r="D83" s="42"/>
      <c r="E83" s="42"/>
      <c r="F83" s="42"/>
      <c r="G83" s="42"/>
      <c r="H83" s="42"/>
      <c r="I83" s="12"/>
      <c r="J83" s="9">
        <f t="shared" ref="J83:Q83" si="157">J63*J74</f>
        <v>4039220.6424155543</v>
      </c>
      <c r="K83" s="9">
        <f t="shared" si="157"/>
        <v>2096759.4354779143</v>
      </c>
      <c r="L83" s="9">
        <f t="shared" si="157"/>
        <v>2171613.747324476</v>
      </c>
      <c r="M83" s="9">
        <f t="shared" si="157"/>
        <v>2257826.8130932581</v>
      </c>
      <c r="N83" s="9">
        <f t="shared" si="157"/>
        <v>2349946.147067463</v>
      </c>
      <c r="O83" s="9">
        <f t="shared" si="157"/>
        <v>2400000</v>
      </c>
      <c r="P83" s="9">
        <f t="shared" si="157"/>
        <v>2480640</v>
      </c>
      <c r="Q83" s="9">
        <f t="shared" si="157"/>
        <v>2648579.3280000002</v>
      </c>
      <c r="R83" s="9">
        <f>R63*R74</f>
        <v>2776505.7095424002</v>
      </c>
      <c r="S83" s="9">
        <f t="shared" ref="S83:BG83" si="158">S63*S74</f>
        <v>2862022.0853963061</v>
      </c>
      <c r="T83" s="9">
        <f t="shared" si="158"/>
        <v>2961906.6561766369</v>
      </c>
      <c r="U83" s="9">
        <f t="shared" si="158"/>
        <v>3050763.8558619358</v>
      </c>
      <c r="V83" s="9">
        <f t="shared" si="158"/>
        <v>3142286.7715377938</v>
      </c>
      <c r="W83" s="9">
        <f t="shared" si="158"/>
        <v>3236555.3746839282</v>
      </c>
      <c r="X83" s="9">
        <f t="shared" si="158"/>
        <v>3333652.0359244463</v>
      </c>
      <c r="Y83" s="9">
        <f t="shared" si="158"/>
        <v>3433661.5970021798</v>
      </c>
      <c r="Z83" s="9">
        <f t="shared" si="158"/>
        <v>3536671.4449122455</v>
      </c>
      <c r="AA83" s="9">
        <f t="shared" si="158"/>
        <v>3642771.5882596127</v>
      </c>
      <c r="AB83" s="9">
        <f t="shared" si="158"/>
        <v>3752054.735907401</v>
      </c>
      <c r="AC83" s="9">
        <f t="shared" si="158"/>
        <v>3864616.3779846234</v>
      </c>
      <c r="AD83" s="9">
        <f t="shared" si="158"/>
        <v>3980554.8693241626</v>
      </c>
      <c r="AE83" s="9">
        <f t="shared" si="158"/>
        <v>4099971.5154038877</v>
      </c>
      <c r="AF83" s="9">
        <f t="shared" si="158"/>
        <v>4222970.6608660044</v>
      </c>
      <c r="AG83" s="9">
        <f t="shared" si="158"/>
        <v>4349659.780691985</v>
      </c>
      <c r="AH83" s="9">
        <f t="shared" si="158"/>
        <v>4480149.574112745</v>
      </c>
      <c r="AI83" s="9">
        <f t="shared" si="158"/>
        <v>4614554.0613361271</v>
      </c>
      <c r="AJ83" s="9">
        <f t="shared" si="158"/>
        <v>4752990.6831762111</v>
      </c>
      <c r="AK83" s="9">
        <f t="shared" si="158"/>
        <v>4895580.4036714975</v>
      </c>
      <c r="AL83" s="9">
        <f t="shared" si="158"/>
        <v>5042447.8157816427</v>
      </c>
      <c r="AM83" s="9">
        <f t="shared" si="158"/>
        <v>5193721.250255092</v>
      </c>
      <c r="AN83" s="9">
        <f t="shared" si="158"/>
        <v>5349532.8877627449</v>
      </c>
      <c r="AO83" s="9">
        <f t="shared" si="158"/>
        <v>5510018.8743956275</v>
      </c>
      <c r="AP83" s="9">
        <f t="shared" si="158"/>
        <v>5675319.4406274967</v>
      </c>
      <c r="AQ83" s="9">
        <f t="shared" si="158"/>
        <v>5845579.0238463217</v>
      </c>
      <c r="AR83" s="9">
        <f t="shared" si="158"/>
        <v>6020946.3945617117</v>
      </c>
      <c r="AS83" s="9">
        <f t="shared" si="158"/>
        <v>6201574.7863985635</v>
      </c>
      <c r="AT83" s="9">
        <f t="shared" si="158"/>
        <v>6387622.0299905203</v>
      </c>
      <c r="AU83" s="9">
        <f t="shared" si="158"/>
        <v>6579250.6908902368</v>
      </c>
      <c r="AV83" s="9">
        <f t="shared" si="158"/>
        <v>6776628.2116169436</v>
      </c>
      <c r="AW83" s="9">
        <f t="shared" si="158"/>
        <v>6979927.0579654528</v>
      </c>
      <c r="AX83" s="9">
        <f t="shared" si="158"/>
        <v>7189324.869704417</v>
      </c>
      <c r="AY83" s="9">
        <f t="shared" si="158"/>
        <v>7405004.6157955499</v>
      </c>
      <c r="AZ83" s="9">
        <f t="shared" si="158"/>
        <v>7627154.7542694155</v>
      </c>
      <c r="BA83" s="9">
        <f t="shared" si="158"/>
        <v>7855969.3968974976</v>
      </c>
      <c r="BB83" s="9">
        <f t="shared" si="158"/>
        <v>8091648.4788044225</v>
      </c>
      <c r="BC83" s="9">
        <f t="shared" si="158"/>
        <v>8334397.9331685556</v>
      </c>
      <c r="BD83" s="9">
        <f t="shared" si="158"/>
        <v>8584429.8711636122</v>
      </c>
      <c r="BE83" s="9">
        <f t="shared" si="158"/>
        <v>8841962.7672985215</v>
      </c>
      <c r="BF83" s="9">
        <f t="shared" si="158"/>
        <v>9107221.6503174771</v>
      </c>
      <c r="BG83" s="9">
        <f t="shared" si="158"/>
        <v>9380438.299827002</v>
      </c>
      <c r="BH83" s="42"/>
    </row>
    <row r="84" spans="1:60" s="81" customFormat="1" ht="12.75" x14ac:dyDescent="0.2">
      <c r="A84" s="42"/>
      <c r="B84" s="84"/>
      <c r="C84" s="81" t="s">
        <v>159</v>
      </c>
      <c r="D84" s="42"/>
      <c r="E84" s="42"/>
      <c r="F84" s="42"/>
      <c r="G84" s="42"/>
      <c r="H84" s="42"/>
      <c r="I84" s="12"/>
      <c r="J84" s="9">
        <f t="shared" ref="J84:Q84" si="159">J64*J75</f>
        <v>12117661.927246662</v>
      </c>
      <c r="K84" s="9">
        <f t="shared" si="159"/>
        <v>6290278.3064337429</v>
      </c>
      <c r="L84" s="9">
        <f t="shared" si="159"/>
        <v>6514841.2419734281</v>
      </c>
      <c r="M84" s="9">
        <f t="shared" si="159"/>
        <v>6773480.4392797733</v>
      </c>
      <c r="N84" s="9">
        <f t="shared" si="159"/>
        <v>7049838.4412023881</v>
      </c>
      <c r="O84" s="9">
        <f t="shared" si="159"/>
        <v>7200000</v>
      </c>
      <c r="P84" s="9">
        <f t="shared" si="159"/>
        <v>7441920.0000000009</v>
      </c>
      <c r="Q84" s="9">
        <f t="shared" si="159"/>
        <v>7945737.9840000011</v>
      </c>
      <c r="R84" s="9">
        <f>R64*R75</f>
        <v>8329517.1286272006</v>
      </c>
      <c r="S84" s="9">
        <f t="shared" ref="S84:BG84" si="160">S64*S75</f>
        <v>8586066.2561889179</v>
      </c>
      <c r="T84" s="9">
        <f t="shared" si="160"/>
        <v>8885719.9685299098</v>
      </c>
      <c r="U84" s="9">
        <f t="shared" si="160"/>
        <v>9152291.5675858073</v>
      </c>
      <c r="V84" s="9">
        <f t="shared" si="160"/>
        <v>9426860.3146133814</v>
      </c>
      <c r="W84" s="9">
        <f t="shared" si="160"/>
        <v>9709666.1240517832</v>
      </c>
      <c r="X84" s="9">
        <f t="shared" si="160"/>
        <v>10000956.107773339</v>
      </c>
      <c r="Y84" s="9">
        <f t="shared" si="160"/>
        <v>10300984.791006539</v>
      </c>
      <c r="Z84" s="9">
        <f t="shared" si="160"/>
        <v>10610014.334736736</v>
      </c>
      <c r="AA84" s="9">
        <f t="shared" si="160"/>
        <v>10928314.764778838</v>
      </c>
      <c r="AB84" s="9">
        <f t="shared" si="160"/>
        <v>11256164.207722204</v>
      </c>
      <c r="AC84" s="9">
        <f t="shared" si="160"/>
        <v>11593849.133953869</v>
      </c>
      <c r="AD84" s="9">
        <f t="shared" si="160"/>
        <v>11941664.607972488</v>
      </c>
      <c r="AE84" s="9">
        <f t="shared" si="160"/>
        <v>12299914.546211664</v>
      </c>
      <c r="AF84" s="9">
        <f t="shared" si="160"/>
        <v>12668911.982598014</v>
      </c>
      <c r="AG84" s="9">
        <f t="shared" si="160"/>
        <v>13048979.342075955</v>
      </c>
      <c r="AH84" s="9">
        <f t="shared" si="160"/>
        <v>13440448.722338233</v>
      </c>
      <c r="AI84" s="9">
        <f t="shared" si="160"/>
        <v>13843662.18400838</v>
      </c>
      <c r="AJ84" s="9">
        <f t="shared" si="160"/>
        <v>14258972.049528632</v>
      </c>
      <c r="AK84" s="9">
        <f t="shared" si="160"/>
        <v>14686741.211014492</v>
      </c>
      <c r="AL84" s="9">
        <f t="shared" si="160"/>
        <v>15127343.447344927</v>
      </c>
      <c r="AM84" s="9">
        <f t="shared" si="160"/>
        <v>15581163.750765277</v>
      </c>
      <c r="AN84" s="9">
        <f t="shared" si="160"/>
        <v>16048598.663288234</v>
      </c>
      <c r="AO84" s="9">
        <f t="shared" si="160"/>
        <v>16530056.623186883</v>
      </c>
      <c r="AP84" s="9">
        <f t="shared" si="160"/>
        <v>17025958.32188249</v>
      </c>
      <c r="AQ84" s="9">
        <f t="shared" si="160"/>
        <v>17536737.071538966</v>
      </c>
      <c r="AR84" s="9">
        <f t="shared" si="160"/>
        <v>18062839.183685135</v>
      </c>
      <c r="AS84" s="9">
        <f t="shared" si="160"/>
        <v>18604724.359195691</v>
      </c>
      <c r="AT84" s="9">
        <f t="shared" si="160"/>
        <v>19162866.089971561</v>
      </c>
      <c r="AU84" s="9">
        <f t="shared" si="160"/>
        <v>19737752.072670709</v>
      </c>
      <c r="AV84" s="9">
        <f t="shared" si="160"/>
        <v>20329884.63485083</v>
      </c>
      <c r="AW84" s="9">
        <f t="shared" si="160"/>
        <v>20939781.173896357</v>
      </c>
      <c r="AX84" s="9">
        <f t="shared" si="160"/>
        <v>21567974.60911325</v>
      </c>
      <c r="AY84" s="9">
        <f t="shared" si="160"/>
        <v>22215013.847386647</v>
      </c>
      <c r="AZ84" s="9">
        <f t="shared" si="160"/>
        <v>22881464.262808248</v>
      </c>
      <c r="BA84" s="9">
        <f t="shared" si="160"/>
        <v>23567908.190692496</v>
      </c>
      <c r="BB84" s="9">
        <f t="shared" si="160"/>
        <v>24274945.436413269</v>
      </c>
      <c r="BC84" s="9">
        <f t="shared" si="160"/>
        <v>25003193.799505666</v>
      </c>
      <c r="BD84" s="9">
        <f t="shared" si="160"/>
        <v>25753289.613490839</v>
      </c>
      <c r="BE84" s="9">
        <f t="shared" si="160"/>
        <v>26525888.301895563</v>
      </c>
      <c r="BF84" s="9">
        <f t="shared" si="160"/>
        <v>27321664.950952429</v>
      </c>
      <c r="BG84" s="9">
        <f t="shared" si="160"/>
        <v>28141314.899481006</v>
      </c>
      <c r="BH84" s="42"/>
    </row>
    <row r="85" spans="1:60" s="81" customFormat="1" ht="12.75" x14ac:dyDescent="0.2">
      <c r="A85" s="42"/>
      <c r="B85" s="84"/>
      <c r="C85" s="81" t="s">
        <v>223</v>
      </c>
      <c r="D85" s="42"/>
      <c r="E85" s="42"/>
      <c r="F85" s="42"/>
      <c r="G85" s="42"/>
      <c r="H85" s="42"/>
      <c r="I85" s="12"/>
      <c r="J85" s="9">
        <f t="shared" ref="J85:Q85" si="161">J65*J76</f>
        <v>5248886.4404061642</v>
      </c>
      <c r="K85" s="9">
        <f t="shared" si="161"/>
        <v>5254772.69162862</v>
      </c>
      <c r="L85" s="9">
        <f t="shared" si="161"/>
        <v>5240798.8886931045</v>
      </c>
      <c r="M85" s="9">
        <f t="shared" si="161"/>
        <v>5029715.634991589</v>
      </c>
      <c r="N85" s="9">
        <f t="shared" si="161"/>
        <v>5234928.0328992456</v>
      </c>
      <c r="O85" s="9">
        <f t="shared" si="161"/>
        <v>5123664</v>
      </c>
      <c r="P85" s="9">
        <f t="shared" si="161"/>
        <v>4835313.1008000001</v>
      </c>
      <c r="Q85" s="9">
        <f t="shared" si="161"/>
        <v>5162663.7977241604</v>
      </c>
      <c r="R85" s="9">
        <f>R65*R76</f>
        <v>5669735.7191139627</v>
      </c>
      <c r="S85" s="9">
        <f t="shared" ref="S85:BG85" si="162">S65*S76</f>
        <v>5844363.5792626729</v>
      </c>
      <c r="T85" s="9">
        <f t="shared" si="162"/>
        <v>6048331.8681789394</v>
      </c>
      <c r="U85" s="9">
        <f t="shared" si="162"/>
        <v>6229781.8242243081</v>
      </c>
      <c r="V85" s="9">
        <f t="shared" si="162"/>
        <v>6416675.2789510377</v>
      </c>
      <c r="W85" s="9">
        <f t="shared" si="162"/>
        <v>6609175.537319568</v>
      </c>
      <c r="X85" s="9">
        <f t="shared" si="162"/>
        <v>6807450.8034391552</v>
      </c>
      <c r="Y85" s="9">
        <f t="shared" si="162"/>
        <v>7011674.3275423311</v>
      </c>
      <c r="Z85" s="9">
        <f t="shared" si="162"/>
        <v>7222024.5573686017</v>
      </c>
      <c r="AA85" s="9">
        <f t="shared" si="162"/>
        <v>7776807.3529119156</v>
      </c>
      <c r="AB85" s="9">
        <f t="shared" si="162"/>
        <v>8010111.5734992744</v>
      </c>
      <c r="AC85" s="9">
        <f t="shared" si="162"/>
        <v>8250414.920704253</v>
      </c>
      <c r="AD85" s="9">
        <f t="shared" si="162"/>
        <v>8867402.4712960497</v>
      </c>
      <c r="AE85" s="9">
        <f t="shared" si="162"/>
        <v>9133424.5454349332</v>
      </c>
      <c r="AF85" s="9">
        <f t="shared" si="162"/>
        <v>9407427.2817979809</v>
      </c>
      <c r="AG85" s="9">
        <f t="shared" si="162"/>
        <v>9689650.1002519205</v>
      </c>
      <c r="AH85" s="9">
        <f t="shared" si="162"/>
        <v>10396187.086728625</v>
      </c>
      <c r="AI85" s="9">
        <f t="shared" si="162"/>
        <v>10708072.699330483</v>
      </c>
      <c r="AJ85" s="9">
        <f t="shared" si="162"/>
        <v>11029314.880310398</v>
      </c>
      <c r="AK85" s="9">
        <f t="shared" si="162"/>
        <v>11360194.326719711</v>
      </c>
      <c r="AL85" s="9">
        <f t="shared" si="162"/>
        <v>11701000.156521302</v>
      </c>
      <c r="AM85" s="9">
        <f t="shared" si="162"/>
        <v>12534111.367665619</v>
      </c>
      <c r="AN85" s="9">
        <f t="shared" si="162"/>
        <v>12910134.708695587</v>
      </c>
      <c r="AO85" s="9">
        <f t="shared" si="162"/>
        <v>13297438.749956455</v>
      </c>
      <c r="AP85" s="9">
        <f t="shared" si="162"/>
        <v>13696361.912455153</v>
      </c>
      <c r="AQ85" s="9">
        <f t="shared" si="162"/>
        <v>14107252.769828804</v>
      </c>
      <c r="AR85" s="9">
        <f t="shared" si="162"/>
        <v>14530470.352923669</v>
      </c>
      <c r="AS85" s="9">
        <f t="shared" si="162"/>
        <v>14966384.463511381</v>
      </c>
      <c r="AT85" s="9">
        <f t="shared" si="162"/>
        <v>16008275.074240444</v>
      </c>
      <c r="AU85" s="9">
        <f t="shared" si="162"/>
        <v>16488523.326467656</v>
      </c>
      <c r="AV85" s="9">
        <f t="shared" si="162"/>
        <v>16983179.026261687</v>
      </c>
      <c r="AW85" s="9">
        <f t="shared" si="162"/>
        <v>17492674.397049539</v>
      </c>
      <c r="AX85" s="9">
        <f t="shared" si="162"/>
        <v>18017454.62896103</v>
      </c>
      <c r="AY85" s="9">
        <f t="shared" si="162"/>
        <v>18557978.267829861</v>
      </c>
      <c r="AZ85" s="9">
        <f t="shared" si="162"/>
        <v>19114717.615864754</v>
      </c>
      <c r="BA85" s="9">
        <f t="shared" si="162"/>
        <v>19688159.144340698</v>
      </c>
      <c r="BB85" s="9">
        <f t="shared" si="162"/>
        <v>20278803.918670919</v>
      </c>
      <c r="BC85" s="9">
        <f t="shared" si="162"/>
        <v>20887168.036231045</v>
      </c>
      <c r="BD85" s="9">
        <f t="shared" si="162"/>
        <v>21513783.077317975</v>
      </c>
      <c r="BE85" s="9">
        <f t="shared" si="162"/>
        <v>22159196.569637515</v>
      </c>
      <c r="BF85" s="9">
        <f t="shared" si="162"/>
        <v>22823972.466726642</v>
      </c>
      <c r="BG85" s="9">
        <f t="shared" si="162"/>
        <v>23508691.640728444</v>
      </c>
      <c r="BH85" s="42"/>
    </row>
    <row r="86" spans="1:60" s="81" customFormat="1" ht="12.75" x14ac:dyDescent="0.2">
      <c r="A86" s="42"/>
      <c r="B86" s="84"/>
      <c r="C86" s="81" t="s">
        <v>297</v>
      </c>
      <c r="D86" s="42"/>
      <c r="E86" s="42"/>
      <c r="F86" s="42"/>
      <c r="G86" s="42"/>
      <c r="H86" s="42"/>
      <c r="I86" s="12"/>
      <c r="J86" s="9">
        <f t="shared" ref="J86:Q86" si="163">J66*J77</f>
        <v>1397861.3362344839</v>
      </c>
      <c r="K86" s="9">
        <f t="shared" si="163"/>
        <v>1399428.9378758324</v>
      </c>
      <c r="L86" s="9">
        <f t="shared" si="163"/>
        <v>1395707.493515111</v>
      </c>
      <c r="M86" s="9">
        <f t="shared" si="163"/>
        <v>1339492.690160918</v>
      </c>
      <c r="N86" s="9">
        <f t="shared" si="163"/>
        <v>1394143.9919194835</v>
      </c>
      <c r="O86" s="9">
        <f t="shared" si="163"/>
        <v>1364512.6231578947</v>
      </c>
      <c r="P86" s="9">
        <f t="shared" si="163"/>
        <v>1287720.2257920003</v>
      </c>
      <c r="Q86" s="9">
        <f t="shared" si="163"/>
        <v>1374898.8850781186</v>
      </c>
      <c r="R86" s="9">
        <f>R66*R77</f>
        <v>1509940.1441429819</v>
      </c>
      <c r="S86" s="9">
        <f t="shared" ref="S86:BG86" si="164">S66*S77</f>
        <v>1556446.3005825854</v>
      </c>
      <c r="T86" s="9">
        <f t="shared" si="164"/>
        <v>1610766.2764729178</v>
      </c>
      <c r="U86" s="9">
        <f t="shared" si="164"/>
        <v>1659089.2647671052</v>
      </c>
      <c r="V86" s="9">
        <f t="shared" si="164"/>
        <v>1708861.9427101184</v>
      </c>
      <c r="W86" s="9">
        <f t="shared" si="164"/>
        <v>1760127.800991422</v>
      </c>
      <c r="X86" s="9">
        <f t="shared" si="164"/>
        <v>1812931.6350211648</v>
      </c>
      <c r="Y86" s="9">
        <f t="shared" si="164"/>
        <v>1867319.5840717996</v>
      </c>
      <c r="Z86" s="9">
        <f t="shared" si="164"/>
        <v>1923339.1715939539</v>
      </c>
      <c r="AA86" s="9">
        <f t="shared" si="164"/>
        <v>2071086.5897754894</v>
      </c>
      <c r="AB86" s="9">
        <f t="shared" si="164"/>
        <v>2133219.1874687541</v>
      </c>
      <c r="AC86" s="9">
        <f t="shared" si="164"/>
        <v>2197215.7630928168</v>
      </c>
      <c r="AD86" s="9">
        <f t="shared" si="164"/>
        <v>2361529.289724106</v>
      </c>
      <c r="AE86" s="9">
        <f t="shared" si="164"/>
        <v>2432375.1684158295</v>
      </c>
      <c r="AF86" s="9">
        <f t="shared" si="164"/>
        <v>2505346.4234683048</v>
      </c>
      <c r="AG86" s="9">
        <f t="shared" si="164"/>
        <v>2580506.8161723539</v>
      </c>
      <c r="AH86" s="9">
        <f t="shared" si="164"/>
        <v>2768668.7715182547</v>
      </c>
      <c r="AI86" s="9">
        <f t="shared" si="164"/>
        <v>2851728.8346638023</v>
      </c>
      <c r="AJ86" s="9">
        <f t="shared" si="164"/>
        <v>2937280.6997037167</v>
      </c>
      <c r="AK86" s="9">
        <f t="shared" si="164"/>
        <v>3025399.1206948282</v>
      </c>
      <c r="AL86" s="9">
        <f t="shared" si="164"/>
        <v>3116161.0943156732</v>
      </c>
      <c r="AM86" s="9">
        <f t="shared" si="164"/>
        <v>3338031.7642309489</v>
      </c>
      <c r="AN86" s="9">
        <f t="shared" si="164"/>
        <v>3438172.7171578775</v>
      </c>
      <c r="AO86" s="9">
        <f t="shared" si="164"/>
        <v>3541317.8986726142</v>
      </c>
      <c r="AP86" s="9">
        <f t="shared" si="164"/>
        <v>3647557.4356327928</v>
      </c>
      <c r="AQ86" s="9">
        <f t="shared" si="164"/>
        <v>3756984.158701777</v>
      </c>
      <c r="AR86" s="9">
        <f t="shared" si="164"/>
        <v>3869693.6834628298</v>
      </c>
      <c r="AS86" s="9">
        <f t="shared" si="164"/>
        <v>3985784.4939667154</v>
      </c>
      <c r="AT86" s="9">
        <f t="shared" si="164"/>
        <v>4263256.414508244</v>
      </c>
      <c r="AU86" s="9">
        <f t="shared" si="164"/>
        <v>4391154.1069434918</v>
      </c>
      <c r="AV86" s="9">
        <f t="shared" si="164"/>
        <v>4522888.7301517967</v>
      </c>
      <c r="AW86" s="9">
        <f t="shared" si="164"/>
        <v>4658575.3920563515</v>
      </c>
      <c r="AX86" s="9">
        <f t="shared" si="164"/>
        <v>4798332.653818042</v>
      </c>
      <c r="AY86" s="9">
        <f t="shared" si="164"/>
        <v>4942282.6334325839</v>
      </c>
      <c r="AZ86" s="9">
        <f t="shared" si="164"/>
        <v>5090551.1124355607</v>
      </c>
      <c r="BA86" s="9">
        <f t="shared" si="164"/>
        <v>5243267.6458086278</v>
      </c>
      <c r="BB86" s="9">
        <f t="shared" si="164"/>
        <v>5400565.6751828864</v>
      </c>
      <c r="BC86" s="9">
        <f t="shared" si="164"/>
        <v>5562582.6454383731</v>
      </c>
      <c r="BD86" s="9">
        <f t="shared" si="164"/>
        <v>5729460.124801524</v>
      </c>
      <c r="BE86" s="9">
        <f t="shared" si="164"/>
        <v>5901343.92854557</v>
      </c>
      <c r="BF86" s="9">
        <f t="shared" si="164"/>
        <v>6078384.2464019367</v>
      </c>
      <c r="BG86" s="9">
        <f t="shared" si="164"/>
        <v>6260735.7737939954</v>
      </c>
      <c r="BH86" s="42"/>
    </row>
    <row r="87" spans="1:60" s="81" customFormat="1" ht="12.75" x14ac:dyDescent="0.2">
      <c r="A87" s="42"/>
      <c r="B87" s="84"/>
      <c r="C87" s="169" t="s">
        <v>247</v>
      </c>
      <c r="D87" s="42"/>
      <c r="E87" s="42"/>
      <c r="F87" s="42"/>
      <c r="G87" s="42"/>
      <c r="H87" s="42"/>
      <c r="I87" s="12"/>
      <c r="J87" s="171"/>
      <c r="K87" s="171"/>
      <c r="L87" s="171"/>
      <c r="M87" s="171"/>
      <c r="N87" s="171"/>
      <c r="O87" s="174"/>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42"/>
    </row>
    <row r="88" spans="1:60" s="81" customFormat="1" ht="12.75" x14ac:dyDescent="0.2">
      <c r="A88" s="42"/>
      <c r="B88" s="84"/>
      <c r="C88" s="169" t="s">
        <v>248</v>
      </c>
      <c r="D88" s="42"/>
      <c r="E88" s="42"/>
      <c r="F88" s="42"/>
      <c r="G88" s="42"/>
      <c r="H88" s="42"/>
      <c r="I88" s="12"/>
      <c r="J88" s="171"/>
      <c r="K88" s="171"/>
      <c r="L88" s="171"/>
      <c r="M88" s="171"/>
      <c r="N88" s="171"/>
      <c r="O88" s="174"/>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42"/>
    </row>
    <row r="89" spans="1:60" s="81" customFormat="1" ht="12.75" x14ac:dyDescent="0.2">
      <c r="A89" s="42"/>
      <c r="B89" s="84"/>
      <c r="C89" s="81" t="s">
        <v>238</v>
      </c>
      <c r="D89" s="42"/>
      <c r="E89" s="42"/>
      <c r="F89" s="42"/>
      <c r="G89" s="42"/>
      <c r="H89" s="42"/>
      <c r="I89" s="12"/>
      <c r="J89" s="9">
        <f t="shared" ref="J89:Y90" si="165">J69*J80</f>
        <v>8482363.349072665</v>
      </c>
      <c r="K89" s="9">
        <f t="shared" si="165"/>
        <v>8491875.7136855517</v>
      </c>
      <c r="L89" s="9">
        <f t="shared" si="165"/>
        <v>8469293.6145654563</v>
      </c>
      <c r="M89" s="9">
        <f t="shared" si="165"/>
        <v>8128176.5271357279</v>
      </c>
      <c r="N89" s="9">
        <f t="shared" si="165"/>
        <v>8459806.1294428669</v>
      </c>
      <c r="O89" s="9">
        <f t="shared" si="165"/>
        <v>8280000</v>
      </c>
      <c r="P89" s="9">
        <f t="shared" si="165"/>
        <v>7814016</v>
      </c>
      <c r="Q89" s="9">
        <f t="shared" si="165"/>
        <v>8343024.883200001</v>
      </c>
      <c r="R89" s="9">
        <f t="shared" si="165"/>
        <v>9162468.8414899204</v>
      </c>
      <c r="S89" s="9">
        <f t="shared" si="165"/>
        <v>9444672.8818078116</v>
      </c>
      <c r="T89" s="9">
        <f t="shared" si="165"/>
        <v>9774291.965382902</v>
      </c>
      <c r="U89" s="9">
        <f t="shared" si="165"/>
        <v>10067520.724344388</v>
      </c>
      <c r="V89" s="9">
        <f t="shared" si="165"/>
        <v>10369546.346074719</v>
      </c>
      <c r="W89" s="9">
        <f t="shared" si="165"/>
        <v>10680632.736456962</v>
      </c>
      <c r="X89" s="9">
        <f t="shared" si="165"/>
        <v>11001051.718550673</v>
      </c>
      <c r="Y89" s="9">
        <f t="shared" si="165"/>
        <v>11331083.270107193</v>
      </c>
      <c r="Z89" s="9">
        <f t="shared" ref="Z89:BG89" si="166">Z69*Z80</f>
        <v>11671015.768210411</v>
      </c>
      <c r="AA89" s="9">
        <f t="shared" si="166"/>
        <v>12567561.979495663</v>
      </c>
      <c r="AB89" s="9">
        <f t="shared" si="166"/>
        <v>12944588.838880533</v>
      </c>
      <c r="AC89" s="9">
        <f t="shared" si="166"/>
        <v>13332926.504046949</v>
      </c>
      <c r="AD89" s="9">
        <f t="shared" si="166"/>
        <v>14329997.529566985</v>
      </c>
      <c r="AE89" s="9">
        <f t="shared" si="166"/>
        <v>14759897.455453996</v>
      </c>
      <c r="AF89" s="9">
        <f t="shared" si="166"/>
        <v>15202694.379117616</v>
      </c>
      <c r="AG89" s="9">
        <f t="shared" si="166"/>
        <v>15658775.210491145</v>
      </c>
      <c r="AH89" s="9">
        <f t="shared" si="166"/>
        <v>16800560.902922794</v>
      </c>
      <c r="AI89" s="9">
        <f t="shared" si="166"/>
        <v>17304577.730010476</v>
      </c>
      <c r="AJ89" s="9">
        <f t="shared" si="166"/>
        <v>17823715.061910789</v>
      </c>
      <c r="AK89" s="9">
        <f t="shared" si="166"/>
        <v>18358426.513768114</v>
      </c>
      <c r="AL89" s="9">
        <f t="shared" si="166"/>
        <v>18909179.309181157</v>
      </c>
      <c r="AM89" s="9">
        <f t="shared" si="166"/>
        <v>20255512.875994861</v>
      </c>
      <c r="AN89" s="9">
        <f t="shared" si="166"/>
        <v>20863178.262274705</v>
      </c>
      <c r="AO89" s="9">
        <f t="shared" si="166"/>
        <v>21489073.610142946</v>
      </c>
      <c r="AP89" s="9">
        <f t="shared" si="166"/>
        <v>22133745.81844724</v>
      </c>
      <c r="AQ89" s="9">
        <f t="shared" si="166"/>
        <v>22797758.193000656</v>
      </c>
      <c r="AR89" s="9">
        <f t="shared" si="166"/>
        <v>23481690.938790675</v>
      </c>
      <c r="AS89" s="9">
        <f t="shared" si="166"/>
        <v>24186141.666954394</v>
      </c>
      <c r="AT89" s="9">
        <f t="shared" si="166"/>
        <v>25869869.221461609</v>
      </c>
      <c r="AU89" s="9">
        <f t="shared" si="166"/>
        <v>26645965.298105456</v>
      </c>
      <c r="AV89" s="9">
        <f t="shared" si="166"/>
        <v>27445344.257048622</v>
      </c>
      <c r="AW89" s="9">
        <f t="shared" si="166"/>
        <v>28268704.584760085</v>
      </c>
      <c r="AX89" s="9">
        <f t="shared" si="166"/>
        <v>29116765.722302891</v>
      </c>
      <c r="AY89" s="9">
        <f t="shared" si="166"/>
        <v>29990268.693971977</v>
      </c>
      <c r="AZ89" s="9">
        <f t="shared" si="166"/>
        <v>30889976.754791137</v>
      </c>
      <c r="BA89" s="9">
        <f t="shared" si="166"/>
        <v>31816676.057434868</v>
      </c>
      <c r="BB89" s="9">
        <f t="shared" si="166"/>
        <v>32771176.339157913</v>
      </c>
      <c r="BC89" s="9">
        <f t="shared" si="166"/>
        <v>33754311.629332647</v>
      </c>
      <c r="BD89" s="9">
        <f t="shared" si="166"/>
        <v>34766940.978212625</v>
      </c>
      <c r="BE89" s="9">
        <f t="shared" si="166"/>
        <v>35809949.207559012</v>
      </c>
      <c r="BF89" s="9">
        <f t="shared" si="166"/>
        <v>36884247.683785781</v>
      </c>
      <c r="BG89" s="9">
        <f t="shared" si="166"/>
        <v>37990775.114299357</v>
      </c>
      <c r="BH89" s="42"/>
    </row>
    <row r="90" spans="1:60" s="81" customFormat="1" ht="12.75" x14ac:dyDescent="0.2">
      <c r="A90" s="42"/>
      <c r="B90" s="84"/>
      <c r="C90" s="81" t="s">
        <v>174</v>
      </c>
      <c r="D90" s="42"/>
      <c r="E90" s="42"/>
      <c r="F90" s="42"/>
      <c r="G90" s="42"/>
      <c r="H90" s="42"/>
      <c r="I90" s="12"/>
      <c r="J90" s="9">
        <f t="shared" si="165"/>
        <v>145411943.12695995</v>
      </c>
      <c r="K90" s="9">
        <f t="shared" si="165"/>
        <v>150966679.35440981</v>
      </c>
      <c r="L90" s="9">
        <f t="shared" si="165"/>
        <v>156356189.80736226</v>
      </c>
      <c r="M90" s="9">
        <f t="shared" si="165"/>
        <v>162563530.54271457</v>
      </c>
      <c r="N90" s="9">
        <f t="shared" si="165"/>
        <v>169196122.58885732</v>
      </c>
      <c r="O90" s="9">
        <f t="shared" si="165"/>
        <v>172800000</v>
      </c>
      <c r="P90" s="9">
        <f t="shared" si="165"/>
        <v>178606080.00000003</v>
      </c>
      <c r="Q90" s="9">
        <f t="shared" si="165"/>
        <v>190697711.616</v>
      </c>
      <c r="R90" s="9">
        <f>R70*R81</f>
        <v>199908411.08705282</v>
      </c>
      <c r="S90" s="9">
        <f t="shared" ref="S90:BG90" si="167">S70*S81</f>
        <v>206065590.14853406</v>
      </c>
      <c r="T90" s="9">
        <f t="shared" si="167"/>
        <v>213257279.24471787</v>
      </c>
      <c r="U90" s="9">
        <f t="shared" si="167"/>
        <v>219654997.62205938</v>
      </c>
      <c r="V90" s="9">
        <f t="shared" si="167"/>
        <v>226244647.5507212</v>
      </c>
      <c r="W90" s="9">
        <f t="shared" si="167"/>
        <v>233031986.97724283</v>
      </c>
      <c r="X90" s="9">
        <f t="shared" si="167"/>
        <v>240022946.5865601</v>
      </c>
      <c r="Y90" s="9">
        <f t="shared" si="167"/>
        <v>247223634.98415694</v>
      </c>
      <c r="Z90" s="9">
        <f t="shared" si="167"/>
        <v>254640344.03368169</v>
      </c>
      <c r="AA90" s="9">
        <f t="shared" si="167"/>
        <v>262279554.3546921</v>
      </c>
      <c r="AB90" s="9">
        <f t="shared" si="167"/>
        <v>270147940.98533291</v>
      </c>
      <c r="AC90" s="9">
        <f t="shared" si="167"/>
        <v>278252379.21489292</v>
      </c>
      <c r="AD90" s="9">
        <f t="shared" si="167"/>
        <v>286599950.59133965</v>
      </c>
      <c r="AE90" s="9">
        <f t="shared" si="167"/>
        <v>295197949.1090799</v>
      </c>
      <c r="AF90" s="9">
        <f t="shared" si="167"/>
        <v>304053887.58235234</v>
      </c>
      <c r="AG90" s="9">
        <f t="shared" si="167"/>
        <v>313175504.20982289</v>
      </c>
      <c r="AH90" s="9">
        <f t="shared" si="167"/>
        <v>322570769.33611763</v>
      </c>
      <c r="AI90" s="9">
        <f t="shared" si="167"/>
        <v>332247892.41620111</v>
      </c>
      <c r="AJ90" s="9">
        <f t="shared" si="167"/>
        <v>342215329.18868715</v>
      </c>
      <c r="AK90" s="9">
        <f t="shared" si="167"/>
        <v>352481789.0643478</v>
      </c>
      <c r="AL90" s="9">
        <f t="shared" si="167"/>
        <v>363056242.73627824</v>
      </c>
      <c r="AM90" s="9">
        <f t="shared" si="167"/>
        <v>373947930.01836663</v>
      </c>
      <c r="AN90" s="9">
        <f t="shared" si="167"/>
        <v>385166367.9189176</v>
      </c>
      <c r="AO90" s="9">
        <f t="shared" si="167"/>
        <v>396721358.95648515</v>
      </c>
      <c r="AP90" s="9">
        <f t="shared" si="167"/>
        <v>408622999.72517973</v>
      </c>
      <c r="AQ90" s="9">
        <f t="shared" si="167"/>
        <v>420881689.71693516</v>
      </c>
      <c r="AR90" s="9">
        <f t="shared" si="167"/>
        <v>433508140.40844315</v>
      </c>
      <c r="AS90" s="9">
        <f t="shared" si="167"/>
        <v>446513384.62069654</v>
      </c>
      <c r="AT90" s="9">
        <f t="shared" si="167"/>
        <v>459908786.15931743</v>
      </c>
      <c r="AU90" s="9">
        <f t="shared" si="167"/>
        <v>473706049.74409699</v>
      </c>
      <c r="AV90" s="9">
        <f t="shared" si="167"/>
        <v>487917231.23641992</v>
      </c>
      <c r="AW90" s="9">
        <f t="shared" si="167"/>
        <v>502554748.17351258</v>
      </c>
      <c r="AX90" s="9">
        <f t="shared" si="167"/>
        <v>517631390.61871809</v>
      </c>
      <c r="AY90" s="9">
        <f t="shared" si="167"/>
        <v>533160332.33727956</v>
      </c>
      <c r="AZ90" s="9">
        <f t="shared" si="167"/>
        <v>549155142.30739784</v>
      </c>
      <c r="BA90" s="9">
        <f t="shared" si="167"/>
        <v>565629796.57661986</v>
      </c>
      <c r="BB90" s="9">
        <f t="shared" si="167"/>
        <v>582598690.47391844</v>
      </c>
      <c r="BC90" s="9">
        <f t="shared" si="167"/>
        <v>600076651.18813598</v>
      </c>
      <c r="BD90" s="9">
        <f t="shared" si="167"/>
        <v>618078950.72378016</v>
      </c>
      <c r="BE90" s="9">
        <f t="shared" si="167"/>
        <v>636621319.24549353</v>
      </c>
      <c r="BF90" s="9">
        <f t="shared" si="167"/>
        <v>655719958.82285833</v>
      </c>
      <c r="BG90" s="9">
        <f t="shared" si="167"/>
        <v>675391557.58754408</v>
      </c>
      <c r="BH90" s="42"/>
    </row>
    <row r="91" spans="1:60" ht="12.75" x14ac:dyDescent="0.2">
      <c r="B91" s="92" t="s">
        <v>167</v>
      </c>
      <c r="F91" s="83"/>
      <c r="G91" s="83"/>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row>
    <row r="92" spans="1:60" ht="12.75" x14ac:dyDescent="0.2">
      <c r="B92" s="92"/>
      <c r="C92" s="81" t="s">
        <v>141</v>
      </c>
      <c r="F92" s="83"/>
      <c r="G92" s="83"/>
      <c r="I92" s="90"/>
      <c r="J92" s="9">
        <f t="shared" ref="J92:Q92" si="168">J39*J$72</f>
        <v>153516240.47292832</v>
      </c>
      <c r="K92" s="9">
        <f t="shared" si="168"/>
        <v>154104448.398211</v>
      </c>
      <c r="L92" s="9">
        <f t="shared" si="168"/>
        <v>152537515.61337954</v>
      </c>
      <c r="M92" s="9">
        <f t="shared" si="168"/>
        <v>151690988.10253212</v>
      </c>
      <c r="N92" s="9">
        <f t="shared" si="168"/>
        <v>151390357.38764319</v>
      </c>
      <c r="O92" s="9">
        <f t="shared" si="168"/>
        <v>152050188</v>
      </c>
      <c r="P92" s="9">
        <f t="shared" si="168"/>
        <v>143064848.52820086</v>
      </c>
      <c r="Q92" s="9">
        <f t="shared" si="168"/>
        <v>153860500.86022037</v>
      </c>
      <c r="R92" s="9">
        <f t="shared" ref="R92:BG92" si="169">R39*R$72</f>
        <v>165090977.89844441</v>
      </c>
      <c r="S92" s="9">
        <f t="shared" si="169"/>
        <v>171433344.48706573</v>
      </c>
      <c r="T92" s="9">
        <f t="shared" si="169"/>
        <v>175163070.27277094</v>
      </c>
      <c r="U92" s="9">
        <f t="shared" si="169"/>
        <v>181609346.70426893</v>
      </c>
      <c r="V92" s="9">
        <f t="shared" si="169"/>
        <v>188172272.36708549</v>
      </c>
      <c r="W92" s="9">
        <f t="shared" si="169"/>
        <v>194851685.03676024</v>
      </c>
      <c r="X92" s="9">
        <f t="shared" si="169"/>
        <v>201667917.09100255</v>
      </c>
      <c r="Y92" s="9">
        <f t="shared" si="169"/>
        <v>208631074.46498272</v>
      </c>
      <c r="Z92" s="9">
        <f t="shared" si="169"/>
        <v>216808206.96461433</v>
      </c>
      <c r="AA92" s="9">
        <f t="shared" si="169"/>
        <v>226284183.91698557</v>
      </c>
      <c r="AB92" s="9">
        <f t="shared" si="169"/>
        <v>236021162.45852235</v>
      </c>
      <c r="AC92" s="9">
        <f t="shared" si="169"/>
        <v>246045152.95522419</v>
      </c>
      <c r="AD92" s="9">
        <f t="shared" si="169"/>
        <v>256406756.76171091</v>
      </c>
      <c r="AE92" s="9">
        <f t="shared" si="169"/>
        <v>267132442.7640714</v>
      </c>
      <c r="AF92" s="9">
        <f t="shared" si="169"/>
        <v>278178780.45060337</v>
      </c>
      <c r="AG92" s="9">
        <f t="shared" si="169"/>
        <v>289517919.19833362</v>
      </c>
      <c r="AH92" s="9">
        <f t="shared" si="169"/>
        <v>301168536.37294978</v>
      </c>
      <c r="AI92" s="9">
        <f t="shared" si="169"/>
        <v>313147501.42457694</v>
      </c>
      <c r="AJ92" s="9">
        <f t="shared" si="169"/>
        <v>325454450.53127551</v>
      </c>
      <c r="AK92" s="9">
        <f t="shared" si="169"/>
        <v>338080190.75712186</v>
      </c>
      <c r="AL92" s="9">
        <f t="shared" si="169"/>
        <v>351026221.86670142</v>
      </c>
      <c r="AM92" s="9">
        <f t="shared" si="169"/>
        <v>364306028.55418742</v>
      </c>
      <c r="AN92" s="9">
        <f t="shared" si="169"/>
        <v>377931129.8022753</v>
      </c>
      <c r="AO92" s="9">
        <f t="shared" si="169"/>
        <v>391896871.824826</v>
      </c>
      <c r="AP92" s="9">
        <f t="shared" si="169"/>
        <v>406190627.01656955</v>
      </c>
      <c r="AQ92" s="9">
        <f t="shared" si="169"/>
        <v>420810232.61109245</v>
      </c>
      <c r="AR92" s="9">
        <f t="shared" si="169"/>
        <v>435765969.39650857</v>
      </c>
      <c r="AS92" s="9">
        <f t="shared" si="169"/>
        <v>451067732.06294262</v>
      </c>
      <c r="AT92" s="9">
        <f t="shared" si="169"/>
        <v>466710789.26034695</v>
      </c>
      <c r="AU92" s="9">
        <f t="shared" si="169"/>
        <v>482682370.73877072</v>
      </c>
      <c r="AV92" s="9">
        <f t="shared" si="169"/>
        <v>498979276.26172417</v>
      </c>
      <c r="AW92" s="9">
        <f t="shared" si="169"/>
        <v>515610544.92656291</v>
      </c>
      <c r="AX92" s="9">
        <f t="shared" si="169"/>
        <v>532259870.83951759</v>
      </c>
      <c r="AY92" s="9">
        <f t="shared" si="169"/>
        <v>549005014.68891644</v>
      </c>
      <c r="AZ92" s="9">
        <f t="shared" si="169"/>
        <v>566276968.57585335</v>
      </c>
      <c r="BA92" s="9">
        <f t="shared" si="169"/>
        <v>584092306.18987978</v>
      </c>
      <c r="BB92" s="9">
        <f t="shared" si="169"/>
        <v>602468122.63655233</v>
      </c>
      <c r="BC92" s="9">
        <f t="shared" si="169"/>
        <v>621422050.84142351</v>
      </c>
      <c r="BD92" s="9">
        <f t="shared" si="169"/>
        <v>640972278.47011054</v>
      </c>
      <c r="BE92" s="9">
        <f t="shared" si="169"/>
        <v>661137565.38067484</v>
      </c>
      <c r="BF92" s="9">
        <f t="shared" si="169"/>
        <v>681937261.62506568</v>
      </c>
      <c r="BG92" s="9">
        <f t="shared" si="169"/>
        <v>703391326.01689339</v>
      </c>
    </row>
    <row r="93" spans="1:60" ht="12.75" x14ac:dyDescent="0.2">
      <c r="B93" s="92"/>
      <c r="C93" s="81" t="s">
        <v>159</v>
      </c>
      <c r="F93" s="83"/>
      <c r="G93" s="83"/>
      <c r="I93" s="90"/>
      <c r="J93" s="9">
        <f t="shared" ref="J93:Q93" si="170">J40*J$72</f>
        <v>153516240.47292832</v>
      </c>
      <c r="K93" s="9">
        <f t="shared" si="170"/>
        <v>154104448.398211</v>
      </c>
      <c r="L93" s="9">
        <f t="shared" si="170"/>
        <v>152537515.61337954</v>
      </c>
      <c r="M93" s="9">
        <f t="shared" si="170"/>
        <v>151690988.10253212</v>
      </c>
      <c r="N93" s="9">
        <f t="shared" si="170"/>
        <v>151390357.38764319</v>
      </c>
      <c r="O93" s="9">
        <f t="shared" si="170"/>
        <v>152050188</v>
      </c>
      <c r="P93" s="9">
        <f t="shared" si="170"/>
        <v>143064848.52820086</v>
      </c>
      <c r="Q93" s="9">
        <f t="shared" si="170"/>
        <v>153860500.86022037</v>
      </c>
      <c r="R93" s="9">
        <f t="shared" ref="R93:BG93" si="171">R40*R$72</f>
        <v>165090977.89844441</v>
      </c>
      <c r="S93" s="9">
        <f t="shared" si="171"/>
        <v>171433344.48706573</v>
      </c>
      <c r="T93" s="9">
        <f t="shared" si="171"/>
        <v>175163070.27277094</v>
      </c>
      <c r="U93" s="9">
        <f t="shared" si="171"/>
        <v>181609346.70426893</v>
      </c>
      <c r="V93" s="9">
        <f t="shared" si="171"/>
        <v>188172272.36708549</v>
      </c>
      <c r="W93" s="9">
        <f t="shared" si="171"/>
        <v>194851685.03676024</v>
      </c>
      <c r="X93" s="9">
        <f t="shared" si="171"/>
        <v>201667917.09100255</v>
      </c>
      <c r="Y93" s="9">
        <f t="shared" si="171"/>
        <v>208631074.46498272</v>
      </c>
      <c r="Z93" s="9">
        <f t="shared" si="171"/>
        <v>216808206.96461433</v>
      </c>
      <c r="AA93" s="9">
        <f t="shared" si="171"/>
        <v>226284183.91698557</v>
      </c>
      <c r="AB93" s="9">
        <f t="shared" si="171"/>
        <v>236021162.45852235</v>
      </c>
      <c r="AC93" s="9">
        <f t="shared" si="171"/>
        <v>246045152.95522419</v>
      </c>
      <c r="AD93" s="9">
        <f t="shared" si="171"/>
        <v>256406756.76171091</v>
      </c>
      <c r="AE93" s="9">
        <f t="shared" si="171"/>
        <v>267132442.7640714</v>
      </c>
      <c r="AF93" s="9">
        <f t="shared" si="171"/>
        <v>278178780.45060337</v>
      </c>
      <c r="AG93" s="9">
        <f t="shared" si="171"/>
        <v>289517919.19833362</v>
      </c>
      <c r="AH93" s="9">
        <f t="shared" si="171"/>
        <v>301168536.37294978</v>
      </c>
      <c r="AI93" s="9">
        <f t="shared" si="171"/>
        <v>313147501.42457694</v>
      </c>
      <c r="AJ93" s="9">
        <f t="shared" si="171"/>
        <v>325454450.53127551</v>
      </c>
      <c r="AK93" s="9">
        <f t="shared" si="171"/>
        <v>338080190.75712186</v>
      </c>
      <c r="AL93" s="9">
        <f t="shared" si="171"/>
        <v>351026221.86670142</v>
      </c>
      <c r="AM93" s="9">
        <f t="shared" si="171"/>
        <v>364306028.55418742</v>
      </c>
      <c r="AN93" s="9">
        <f t="shared" si="171"/>
        <v>377931129.8022753</v>
      </c>
      <c r="AO93" s="9">
        <f t="shared" si="171"/>
        <v>391896871.824826</v>
      </c>
      <c r="AP93" s="9">
        <f t="shared" si="171"/>
        <v>406190627.01656955</v>
      </c>
      <c r="AQ93" s="9">
        <f t="shared" si="171"/>
        <v>420810232.61109245</v>
      </c>
      <c r="AR93" s="9">
        <f t="shared" si="171"/>
        <v>435765969.39650857</v>
      </c>
      <c r="AS93" s="9">
        <f t="shared" si="171"/>
        <v>451067732.06294262</v>
      </c>
      <c r="AT93" s="9">
        <f t="shared" si="171"/>
        <v>466710789.26034695</v>
      </c>
      <c r="AU93" s="9">
        <f t="shared" si="171"/>
        <v>482682370.73877072</v>
      </c>
      <c r="AV93" s="9">
        <f t="shared" si="171"/>
        <v>498979276.26172417</v>
      </c>
      <c r="AW93" s="9">
        <f t="shared" si="171"/>
        <v>515610544.92656291</v>
      </c>
      <c r="AX93" s="9">
        <f t="shared" si="171"/>
        <v>532259870.83951759</v>
      </c>
      <c r="AY93" s="9">
        <f t="shared" si="171"/>
        <v>549005014.68891644</v>
      </c>
      <c r="AZ93" s="9">
        <f t="shared" si="171"/>
        <v>566276968.57585335</v>
      </c>
      <c r="BA93" s="9">
        <f t="shared" si="171"/>
        <v>584092306.18987978</v>
      </c>
      <c r="BB93" s="9">
        <f t="shared" si="171"/>
        <v>602468122.63655233</v>
      </c>
      <c r="BC93" s="9">
        <f t="shared" si="171"/>
        <v>621422050.84142351</v>
      </c>
      <c r="BD93" s="9">
        <f t="shared" si="171"/>
        <v>640972278.47011054</v>
      </c>
      <c r="BE93" s="9">
        <f t="shared" si="171"/>
        <v>661137565.38067484</v>
      </c>
      <c r="BF93" s="9">
        <f t="shared" si="171"/>
        <v>681937261.62506568</v>
      </c>
      <c r="BG93" s="9">
        <f t="shared" si="171"/>
        <v>703391326.01689339</v>
      </c>
    </row>
    <row r="94" spans="1:60" ht="12.75" x14ac:dyDescent="0.2">
      <c r="B94" s="92"/>
      <c r="C94" s="81" t="s">
        <v>223</v>
      </c>
      <c r="F94" s="83"/>
      <c r="G94" s="83"/>
      <c r="I94" s="90"/>
      <c r="J94" s="9">
        <f t="shared" ref="J94:Q94" si="172">J41*J$72</f>
        <v>153516240.47292832</v>
      </c>
      <c r="K94" s="9">
        <f t="shared" si="172"/>
        <v>154104448.398211</v>
      </c>
      <c r="L94" s="9">
        <f t="shared" si="172"/>
        <v>152537515.61337954</v>
      </c>
      <c r="M94" s="9">
        <f t="shared" si="172"/>
        <v>151690988.10253212</v>
      </c>
      <c r="N94" s="9">
        <f t="shared" si="172"/>
        <v>151390357.38764319</v>
      </c>
      <c r="O94" s="9">
        <f t="shared" si="172"/>
        <v>152050188</v>
      </c>
      <c r="P94" s="9">
        <f t="shared" si="172"/>
        <v>143064848.52820086</v>
      </c>
      <c r="Q94" s="9">
        <f t="shared" si="172"/>
        <v>153860500.86022037</v>
      </c>
      <c r="R94" s="9">
        <f t="shared" ref="R94:BG94" si="173">R41*R$72</f>
        <v>165090977.89844441</v>
      </c>
      <c r="S94" s="9">
        <f t="shared" si="173"/>
        <v>171433344.48706573</v>
      </c>
      <c r="T94" s="9">
        <f t="shared" si="173"/>
        <v>175163070.27277094</v>
      </c>
      <c r="U94" s="9">
        <f t="shared" si="173"/>
        <v>181609346.70426893</v>
      </c>
      <c r="V94" s="9">
        <f t="shared" si="173"/>
        <v>188172272.36708549</v>
      </c>
      <c r="W94" s="9">
        <f t="shared" si="173"/>
        <v>194851685.03676024</v>
      </c>
      <c r="X94" s="9">
        <f t="shared" si="173"/>
        <v>201667917.09100255</v>
      </c>
      <c r="Y94" s="9">
        <f t="shared" si="173"/>
        <v>208631074.46498272</v>
      </c>
      <c r="Z94" s="9">
        <f t="shared" si="173"/>
        <v>216808206.96461433</v>
      </c>
      <c r="AA94" s="9">
        <f t="shared" si="173"/>
        <v>226284183.91698557</v>
      </c>
      <c r="AB94" s="9">
        <f t="shared" si="173"/>
        <v>236021162.45852235</v>
      </c>
      <c r="AC94" s="9">
        <f t="shared" si="173"/>
        <v>246045152.95522419</v>
      </c>
      <c r="AD94" s="9">
        <f t="shared" si="173"/>
        <v>256406756.76171091</v>
      </c>
      <c r="AE94" s="9">
        <f t="shared" si="173"/>
        <v>267132442.7640714</v>
      </c>
      <c r="AF94" s="9">
        <f t="shared" si="173"/>
        <v>278178780.45060337</v>
      </c>
      <c r="AG94" s="9">
        <f t="shared" si="173"/>
        <v>289517919.19833362</v>
      </c>
      <c r="AH94" s="9">
        <f t="shared" si="173"/>
        <v>301168536.37294978</v>
      </c>
      <c r="AI94" s="9">
        <f t="shared" si="173"/>
        <v>313147501.42457694</v>
      </c>
      <c r="AJ94" s="9">
        <f t="shared" si="173"/>
        <v>325454450.53127551</v>
      </c>
      <c r="AK94" s="9">
        <f t="shared" si="173"/>
        <v>338080190.75712186</v>
      </c>
      <c r="AL94" s="9">
        <f t="shared" si="173"/>
        <v>351026221.86670142</v>
      </c>
      <c r="AM94" s="9">
        <f t="shared" si="173"/>
        <v>364306028.55418742</v>
      </c>
      <c r="AN94" s="9">
        <f t="shared" si="173"/>
        <v>377931129.8022753</v>
      </c>
      <c r="AO94" s="9">
        <f t="shared" si="173"/>
        <v>391896871.824826</v>
      </c>
      <c r="AP94" s="9">
        <f t="shared" si="173"/>
        <v>406190627.01656955</v>
      </c>
      <c r="AQ94" s="9">
        <f t="shared" si="173"/>
        <v>420810232.61109245</v>
      </c>
      <c r="AR94" s="9">
        <f t="shared" si="173"/>
        <v>435765969.39650857</v>
      </c>
      <c r="AS94" s="9">
        <f t="shared" si="173"/>
        <v>451067732.06294262</v>
      </c>
      <c r="AT94" s="9">
        <f t="shared" si="173"/>
        <v>466710789.26034695</v>
      </c>
      <c r="AU94" s="9">
        <f t="shared" si="173"/>
        <v>482682370.73877072</v>
      </c>
      <c r="AV94" s="9">
        <f t="shared" si="173"/>
        <v>498979276.26172417</v>
      </c>
      <c r="AW94" s="9">
        <f t="shared" si="173"/>
        <v>515610544.92656291</v>
      </c>
      <c r="AX94" s="9">
        <f t="shared" si="173"/>
        <v>532259870.83951759</v>
      </c>
      <c r="AY94" s="9">
        <f t="shared" si="173"/>
        <v>549005014.68891644</v>
      </c>
      <c r="AZ94" s="9">
        <f t="shared" si="173"/>
        <v>566276968.57585335</v>
      </c>
      <c r="BA94" s="9">
        <f t="shared" si="173"/>
        <v>584092306.18987978</v>
      </c>
      <c r="BB94" s="9">
        <f t="shared" si="173"/>
        <v>602468122.63655233</v>
      </c>
      <c r="BC94" s="9">
        <f t="shared" si="173"/>
        <v>621422050.84142351</v>
      </c>
      <c r="BD94" s="9">
        <f t="shared" si="173"/>
        <v>640972278.47011054</v>
      </c>
      <c r="BE94" s="9">
        <f t="shared" si="173"/>
        <v>661137565.38067484</v>
      </c>
      <c r="BF94" s="9">
        <f t="shared" si="173"/>
        <v>681937261.62506568</v>
      </c>
      <c r="BG94" s="9">
        <f t="shared" si="173"/>
        <v>703391326.01689339</v>
      </c>
    </row>
    <row r="95" spans="1:60" ht="12.75" x14ac:dyDescent="0.2">
      <c r="B95" s="92"/>
      <c r="C95" s="81" t="s">
        <v>297</v>
      </c>
      <c r="F95" s="83"/>
      <c r="G95" s="83"/>
      <c r="I95" s="90"/>
      <c r="J95" s="9">
        <f t="shared" ref="J95:Q95" si="174">J42*J$72</f>
        <v>153516240.47292832</v>
      </c>
      <c r="K95" s="9">
        <f t="shared" si="174"/>
        <v>154104448.398211</v>
      </c>
      <c r="L95" s="9">
        <f t="shared" si="174"/>
        <v>152537515.61337954</v>
      </c>
      <c r="M95" s="9">
        <f t="shared" si="174"/>
        <v>151690988.10253212</v>
      </c>
      <c r="N95" s="9">
        <f t="shared" si="174"/>
        <v>151390357.38764319</v>
      </c>
      <c r="O95" s="9">
        <f t="shared" si="174"/>
        <v>152050188</v>
      </c>
      <c r="P95" s="9">
        <f t="shared" si="174"/>
        <v>143064848.52820086</v>
      </c>
      <c r="Q95" s="9">
        <f t="shared" si="174"/>
        <v>153860500.86022037</v>
      </c>
      <c r="R95" s="9">
        <f t="shared" ref="R95:BG95" si="175">R42*R$72</f>
        <v>165090977.89844441</v>
      </c>
      <c r="S95" s="9">
        <f t="shared" si="175"/>
        <v>171433344.48706573</v>
      </c>
      <c r="T95" s="9">
        <f t="shared" si="175"/>
        <v>175163070.27277094</v>
      </c>
      <c r="U95" s="9">
        <f t="shared" si="175"/>
        <v>181609346.70426893</v>
      </c>
      <c r="V95" s="9">
        <f t="shared" si="175"/>
        <v>188172272.36708549</v>
      </c>
      <c r="W95" s="9">
        <f t="shared" si="175"/>
        <v>194851685.03676024</v>
      </c>
      <c r="X95" s="9">
        <f t="shared" si="175"/>
        <v>201667917.09100255</v>
      </c>
      <c r="Y95" s="9">
        <f t="shared" si="175"/>
        <v>208631074.46498272</v>
      </c>
      <c r="Z95" s="9">
        <f t="shared" si="175"/>
        <v>216808206.96461433</v>
      </c>
      <c r="AA95" s="9">
        <f t="shared" si="175"/>
        <v>226284183.91698557</v>
      </c>
      <c r="AB95" s="9">
        <f t="shared" si="175"/>
        <v>236021162.45852235</v>
      </c>
      <c r="AC95" s="9">
        <f t="shared" si="175"/>
        <v>246045152.95522419</v>
      </c>
      <c r="AD95" s="9">
        <f t="shared" si="175"/>
        <v>256406756.76171091</v>
      </c>
      <c r="AE95" s="9">
        <f t="shared" si="175"/>
        <v>267132442.7640714</v>
      </c>
      <c r="AF95" s="9">
        <f t="shared" si="175"/>
        <v>278178780.45060337</v>
      </c>
      <c r="AG95" s="9">
        <f t="shared" si="175"/>
        <v>289517919.19833362</v>
      </c>
      <c r="AH95" s="9">
        <f t="shared" si="175"/>
        <v>301168536.37294978</v>
      </c>
      <c r="AI95" s="9">
        <f t="shared" si="175"/>
        <v>313147501.42457694</v>
      </c>
      <c r="AJ95" s="9">
        <f t="shared" si="175"/>
        <v>325454450.53127551</v>
      </c>
      <c r="AK95" s="9">
        <f t="shared" si="175"/>
        <v>338080190.75712186</v>
      </c>
      <c r="AL95" s="9">
        <f t="shared" si="175"/>
        <v>351026221.86670142</v>
      </c>
      <c r="AM95" s="9">
        <f t="shared" si="175"/>
        <v>364306028.55418742</v>
      </c>
      <c r="AN95" s="9">
        <f t="shared" si="175"/>
        <v>377931129.8022753</v>
      </c>
      <c r="AO95" s="9">
        <f t="shared" si="175"/>
        <v>391896871.824826</v>
      </c>
      <c r="AP95" s="9">
        <f t="shared" si="175"/>
        <v>406190627.01656955</v>
      </c>
      <c r="AQ95" s="9">
        <f t="shared" si="175"/>
        <v>420810232.61109245</v>
      </c>
      <c r="AR95" s="9">
        <f t="shared" si="175"/>
        <v>435765969.39650857</v>
      </c>
      <c r="AS95" s="9">
        <f t="shared" si="175"/>
        <v>451067732.06294262</v>
      </c>
      <c r="AT95" s="9">
        <f t="shared" si="175"/>
        <v>466710789.26034695</v>
      </c>
      <c r="AU95" s="9">
        <f t="shared" si="175"/>
        <v>482682370.73877072</v>
      </c>
      <c r="AV95" s="9">
        <f t="shared" si="175"/>
        <v>498979276.26172417</v>
      </c>
      <c r="AW95" s="9">
        <f t="shared" si="175"/>
        <v>515610544.92656291</v>
      </c>
      <c r="AX95" s="9">
        <f t="shared" si="175"/>
        <v>532259870.83951759</v>
      </c>
      <c r="AY95" s="9">
        <f t="shared" si="175"/>
        <v>549005014.68891644</v>
      </c>
      <c r="AZ95" s="9">
        <f t="shared" si="175"/>
        <v>566276968.57585335</v>
      </c>
      <c r="BA95" s="9">
        <f t="shared" si="175"/>
        <v>584092306.18987978</v>
      </c>
      <c r="BB95" s="9">
        <f t="shared" si="175"/>
        <v>602468122.63655233</v>
      </c>
      <c r="BC95" s="9">
        <f t="shared" si="175"/>
        <v>621422050.84142351</v>
      </c>
      <c r="BD95" s="9">
        <f t="shared" si="175"/>
        <v>640972278.47011054</v>
      </c>
      <c r="BE95" s="9">
        <f t="shared" si="175"/>
        <v>661137565.38067484</v>
      </c>
      <c r="BF95" s="9">
        <f t="shared" si="175"/>
        <v>681937261.62506568</v>
      </c>
      <c r="BG95" s="9">
        <f t="shared" si="175"/>
        <v>703391326.01689339</v>
      </c>
    </row>
    <row r="96" spans="1:60" ht="12.75" x14ac:dyDescent="0.2">
      <c r="B96" s="92"/>
      <c r="C96" s="169" t="s">
        <v>247</v>
      </c>
      <c r="F96" s="83"/>
      <c r="G96" s="83"/>
      <c r="I96" s="90"/>
      <c r="J96" s="177">
        <f t="shared" ref="J96:Q96" si="176">J43*J$72</f>
        <v>153516240.47292832</v>
      </c>
      <c r="K96" s="177">
        <f t="shared" si="176"/>
        <v>154104448.398211</v>
      </c>
      <c r="L96" s="177">
        <f t="shared" si="176"/>
        <v>152537515.61337954</v>
      </c>
      <c r="M96" s="177">
        <f t="shared" si="176"/>
        <v>151690988.10253212</v>
      </c>
      <c r="N96" s="177">
        <f t="shared" si="176"/>
        <v>151390357.38764319</v>
      </c>
      <c r="O96" s="177">
        <f t="shared" si="176"/>
        <v>152050188</v>
      </c>
      <c r="P96" s="177">
        <f t="shared" si="176"/>
        <v>143064848.52820086</v>
      </c>
      <c r="Q96" s="177">
        <f t="shared" si="176"/>
        <v>153860500.86022037</v>
      </c>
      <c r="R96" s="177">
        <f t="shared" ref="R96:BG96" si="177">R43*R$72</f>
        <v>165090977.89844441</v>
      </c>
      <c r="S96" s="177">
        <f t="shared" si="177"/>
        <v>171433344.48706573</v>
      </c>
      <c r="T96" s="177">
        <f t="shared" si="177"/>
        <v>175163070.27277094</v>
      </c>
      <c r="U96" s="177">
        <f t="shared" si="177"/>
        <v>181609346.70426893</v>
      </c>
      <c r="V96" s="177">
        <f t="shared" si="177"/>
        <v>188172272.36708549</v>
      </c>
      <c r="W96" s="177">
        <f t="shared" si="177"/>
        <v>194851685.03676024</v>
      </c>
      <c r="X96" s="177">
        <f t="shared" si="177"/>
        <v>201667917.09100255</v>
      </c>
      <c r="Y96" s="177">
        <f t="shared" si="177"/>
        <v>208631074.46498272</v>
      </c>
      <c r="Z96" s="177">
        <f t="shared" si="177"/>
        <v>216808206.96461433</v>
      </c>
      <c r="AA96" s="177">
        <f t="shared" si="177"/>
        <v>226284183.91698557</v>
      </c>
      <c r="AB96" s="177">
        <f t="shared" si="177"/>
        <v>236021162.45852235</v>
      </c>
      <c r="AC96" s="177">
        <f t="shared" si="177"/>
        <v>246045152.95522419</v>
      </c>
      <c r="AD96" s="177">
        <f t="shared" si="177"/>
        <v>256406756.76171091</v>
      </c>
      <c r="AE96" s="177">
        <f t="shared" si="177"/>
        <v>267132442.7640714</v>
      </c>
      <c r="AF96" s="177">
        <f t="shared" si="177"/>
        <v>278178780.45060337</v>
      </c>
      <c r="AG96" s="177">
        <f t="shared" si="177"/>
        <v>289517919.19833362</v>
      </c>
      <c r="AH96" s="177">
        <f t="shared" si="177"/>
        <v>301168536.37294978</v>
      </c>
      <c r="AI96" s="177">
        <f t="shared" si="177"/>
        <v>313147501.42457694</v>
      </c>
      <c r="AJ96" s="177">
        <f t="shared" si="177"/>
        <v>325454450.53127551</v>
      </c>
      <c r="AK96" s="177">
        <f t="shared" si="177"/>
        <v>338080190.75712186</v>
      </c>
      <c r="AL96" s="177">
        <f t="shared" si="177"/>
        <v>351026221.86670142</v>
      </c>
      <c r="AM96" s="177">
        <f t="shared" si="177"/>
        <v>364306028.55418742</v>
      </c>
      <c r="AN96" s="177">
        <f t="shared" si="177"/>
        <v>377931129.8022753</v>
      </c>
      <c r="AO96" s="177">
        <f t="shared" si="177"/>
        <v>391896871.824826</v>
      </c>
      <c r="AP96" s="177">
        <f t="shared" si="177"/>
        <v>406190627.01656955</v>
      </c>
      <c r="AQ96" s="177">
        <f t="shared" si="177"/>
        <v>420810232.61109245</v>
      </c>
      <c r="AR96" s="177">
        <f t="shared" si="177"/>
        <v>435765969.39650857</v>
      </c>
      <c r="AS96" s="177">
        <f t="shared" si="177"/>
        <v>451067732.06294262</v>
      </c>
      <c r="AT96" s="177">
        <f t="shared" si="177"/>
        <v>466710789.26034695</v>
      </c>
      <c r="AU96" s="177">
        <f t="shared" si="177"/>
        <v>482682370.73877072</v>
      </c>
      <c r="AV96" s="177">
        <f t="shared" si="177"/>
        <v>498979276.26172417</v>
      </c>
      <c r="AW96" s="177">
        <f t="shared" si="177"/>
        <v>515610544.92656291</v>
      </c>
      <c r="AX96" s="177">
        <f t="shared" si="177"/>
        <v>532259870.83951759</v>
      </c>
      <c r="AY96" s="177">
        <f t="shared" si="177"/>
        <v>549005014.68891644</v>
      </c>
      <c r="AZ96" s="177">
        <f t="shared" si="177"/>
        <v>566276968.57585335</v>
      </c>
      <c r="BA96" s="177">
        <f t="shared" si="177"/>
        <v>584092306.18987978</v>
      </c>
      <c r="BB96" s="177">
        <f t="shared" si="177"/>
        <v>602468122.63655233</v>
      </c>
      <c r="BC96" s="177">
        <f t="shared" si="177"/>
        <v>621422050.84142351</v>
      </c>
      <c r="BD96" s="177">
        <f t="shared" si="177"/>
        <v>640972278.47011054</v>
      </c>
      <c r="BE96" s="177">
        <f t="shared" si="177"/>
        <v>661137565.38067484</v>
      </c>
      <c r="BF96" s="177">
        <f t="shared" si="177"/>
        <v>681937261.62506568</v>
      </c>
      <c r="BG96" s="177">
        <f t="shared" si="177"/>
        <v>703391326.01689339</v>
      </c>
    </row>
    <row r="97" spans="1:158" ht="12.75" x14ac:dyDescent="0.2">
      <c r="B97" s="92"/>
      <c r="C97" s="169" t="s">
        <v>248</v>
      </c>
      <c r="F97" s="83"/>
      <c r="G97" s="83"/>
      <c r="I97" s="90"/>
      <c r="J97" s="177">
        <f t="shared" ref="J97:Q97" si="178">J44*J$72</f>
        <v>153516240.47292832</v>
      </c>
      <c r="K97" s="177">
        <f t="shared" si="178"/>
        <v>154104448.398211</v>
      </c>
      <c r="L97" s="177">
        <f t="shared" si="178"/>
        <v>152537515.61337954</v>
      </c>
      <c r="M97" s="177">
        <f t="shared" si="178"/>
        <v>151690988.10253212</v>
      </c>
      <c r="N97" s="177">
        <f t="shared" si="178"/>
        <v>151390357.38764319</v>
      </c>
      <c r="O97" s="177">
        <f t="shared" si="178"/>
        <v>152050188</v>
      </c>
      <c r="P97" s="177">
        <f t="shared" si="178"/>
        <v>143064848.52820086</v>
      </c>
      <c r="Q97" s="177">
        <f t="shared" si="178"/>
        <v>153860500.86022037</v>
      </c>
      <c r="R97" s="177">
        <f t="shared" ref="R97:BG97" si="179">R44*R$72</f>
        <v>165090977.89844441</v>
      </c>
      <c r="S97" s="177">
        <f t="shared" si="179"/>
        <v>171433344.48706573</v>
      </c>
      <c r="T97" s="177">
        <f t="shared" si="179"/>
        <v>175163070.27277094</v>
      </c>
      <c r="U97" s="177">
        <f t="shared" si="179"/>
        <v>181609346.70426893</v>
      </c>
      <c r="V97" s="177">
        <f t="shared" si="179"/>
        <v>188172272.36708549</v>
      </c>
      <c r="W97" s="177">
        <f t="shared" si="179"/>
        <v>194851685.03676024</v>
      </c>
      <c r="X97" s="177">
        <f t="shared" si="179"/>
        <v>201667917.09100255</v>
      </c>
      <c r="Y97" s="177">
        <f t="shared" si="179"/>
        <v>208631074.46498272</v>
      </c>
      <c r="Z97" s="177">
        <f t="shared" si="179"/>
        <v>216808206.96461433</v>
      </c>
      <c r="AA97" s="177">
        <f t="shared" si="179"/>
        <v>226284183.91698557</v>
      </c>
      <c r="AB97" s="177">
        <f t="shared" si="179"/>
        <v>236021162.45852235</v>
      </c>
      <c r="AC97" s="177">
        <f t="shared" si="179"/>
        <v>246045152.95522419</v>
      </c>
      <c r="AD97" s="177">
        <f t="shared" si="179"/>
        <v>256406756.76171091</v>
      </c>
      <c r="AE97" s="177">
        <f t="shared" si="179"/>
        <v>267132442.7640714</v>
      </c>
      <c r="AF97" s="177">
        <f t="shared" si="179"/>
        <v>278178780.45060337</v>
      </c>
      <c r="AG97" s="177">
        <f t="shared" si="179"/>
        <v>289517919.19833362</v>
      </c>
      <c r="AH97" s="177">
        <f t="shared" si="179"/>
        <v>301168536.37294978</v>
      </c>
      <c r="AI97" s="177">
        <f t="shared" si="179"/>
        <v>313147501.42457694</v>
      </c>
      <c r="AJ97" s="177">
        <f t="shared" si="179"/>
        <v>325454450.53127551</v>
      </c>
      <c r="AK97" s="177">
        <f t="shared" si="179"/>
        <v>338080190.75712186</v>
      </c>
      <c r="AL97" s="177">
        <f t="shared" si="179"/>
        <v>351026221.86670142</v>
      </c>
      <c r="AM97" s="177">
        <f t="shared" si="179"/>
        <v>364306028.55418742</v>
      </c>
      <c r="AN97" s="177">
        <f t="shared" si="179"/>
        <v>377931129.8022753</v>
      </c>
      <c r="AO97" s="177">
        <f t="shared" si="179"/>
        <v>391896871.824826</v>
      </c>
      <c r="AP97" s="177">
        <f t="shared" si="179"/>
        <v>406190627.01656955</v>
      </c>
      <c r="AQ97" s="177">
        <f t="shared" si="179"/>
        <v>420810232.61109245</v>
      </c>
      <c r="AR97" s="177">
        <f t="shared" si="179"/>
        <v>435765969.39650857</v>
      </c>
      <c r="AS97" s="177">
        <f t="shared" si="179"/>
        <v>451067732.06294262</v>
      </c>
      <c r="AT97" s="177">
        <f t="shared" si="179"/>
        <v>466710789.26034695</v>
      </c>
      <c r="AU97" s="177">
        <f t="shared" si="179"/>
        <v>482682370.73877072</v>
      </c>
      <c r="AV97" s="177">
        <f t="shared" si="179"/>
        <v>498979276.26172417</v>
      </c>
      <c r="AW97" s="177">
        <f t="shared" si="179"/>
        <v>515610544.92656291</v>
      </c>
      <c r="AX97" s="177">
        <f t="shared" si="179"/>
        <v>532259870.83951759</v>
      </c>
      <c r="AY97" s="177">
        <f t="shared" si="179"/>
        <v>549005014.68891644</v>
      </c>
      <c r="AZ97" s="177">
        <f t="shared" si="179"/>
        <v>566276968.57585335</v>
      </c>
      <c r="BA97" s="177">
        <f t="shared" si="179"/>
        <v>584092306.18987978</v>
      </c>
      <c r="BB97" s="177">
        <f t="shared" si="179"/>
        <v>602468122.63655233</v>
      </c>
      <c r="BC97" s="177">
        <f t="shared" si="179"/>
        <v>621422050.84142351</v>
      </c>
      <c r="BD97" s="177">
        <f t="shared" si="179"/>
        <v>640972278.47011054</v>
      </c>
      <c r="BE97" s="177">
        <f t="shared" si="179"/>
        <v>661137565.38067484</v>
      </c>
      <c r="BF97" s="177">
        <f t="shared" si="179"/>
        <v>681937261.62506568</v>
      </c>
      <c r="BG97" s="177">
        <f t="shared" si="179"/>
        <v>703391326.01689339</v>
      </c>
    </row>
    <row r="98" spans="1:158" ht="12.75" x14ac:dyDescent="0.2">
      <c r="B98" s="92"/>
      <c r="C98" s="81" t="s">
        <v>238</v>
      </c>
      <c r="F98" s="83"/>
      <c r="G98" s="83"/>
      <c r="I98" s="90"/>
      <c r="J98" s="11">
        <f>J94</f>
        <v>153516240.47292832</v>
      </c>
      <c r="K98" s="11">
        <f t="shared" ref="K98:BG98" si="180">K94</f>
        <v>154104448.398211</v>
      </c>
      <c r="L98" s="11">
        <f t="shared" si="180"/>
        <v>152537515.61337954</v>
      </c>
      <c r="M98" s="11">
        <f t="shared" si="180"/>
        <v>151690988.10253212</v>
      </c>
      <c r="N98" s="11">
        <f t="shared" si="180"/>
        <v>151390357.38764319</v>
      </c>
      <c r="O98" s="11">
        <f t="shared" si="180"/>
        <v>152050188</v>
      </c>
      <c r="P98" s="11">
        <f t="shared" si="180"/>
        <v>143064848.52820086</v>
      </c>
      <c r="Q98" s="11">
        <f t="shared" si="180"/>
        <v>153860500.86022037</v>
      </c>
      <c r="R98" s="11">
        <f t="shared" si="180"/>
        <v>165090977.89844441</v>
      </c>
      <c r="S98" s="11">
        <f t="shared" si="180"/>
        <v>171433344.48706573</v>
      </c>
      <c r="T98" s="11">
        <f t="shared" si="180"/>
        <v>175163070.27277094</v>
      </c>
      <c r="U98" s="11">
        <f t="shared" si="180"/>
        <v>181609346.70426893</v>
      </c>
      <c r="V98" s="11">
        <f t="shared" si="180"/>
        <v>188172272.36708549</v>
      </c>
      <c r="W98" s="11">
        <f t="shared" si="180"/>
        <v>194851685.03676024</v>
      </c>
      <c r="X98" s="11">
        <f t="shared" si="180"/>
        <v>201667917.09100255</v>
      </c>
      <c r="Y98" s="11">
        <f t="shared" si="180"/>
        <v>208631074.46498272</v>
      </c>
      <c r="Z98" s="11">
        <f t="shared" si="180"/>
        <v>216808206.96461433</v>
      </c>
      <c r="AA98" s="11">
        <f t="shared" si="180"/>
        <v>226284183.91698557</v>
      </c>
      <c r="AB98" s="11">
        <f t="shared" si="180"/>
        <v>236021162.45852235</v>
      </c>
      <c r="AC98" s="11">
        <f t="shared" si="180"/>
        <v>246045152.95522419</v>
      </c>
      <c r="AD98" s="11">
        <f t="shared" si="180"/>
        <v>256406756.76171091</v>
      </c>
      <c r="AE98" s="11">
        <f t="shared" si="180"/>
        <v>267132442.7640714</v>
      </c>
      <c r="AF98" s="11">
        <f t="shared" si="180"/>
        <v>278178780.45060337</v>
      </c>
      <c r="AG98" s="11">
        <f t="shared" si="180"/>
        <v>289517919.19833362</v>
      </c>
      <c r="AH98" s="11">
        <f t="shared" si="180"/>
        <v>301168536.37294978</v>
      </c>
      <c r="AI98" s="11">
        <f t="shared" si="180"/>
        <v>313147501.42457694</v>
      </c>
      <c r="AJ98" s="11">
        <f t="shared" si="180"/>
        <v>325454450.53127551</v>
      </c>
      <c r="AK98" s="11">
        <f t="shared" si="180"/>
        <v>338080190.75712186</v>
      </c>
      <c r="AL98" s="11">
        <f t="shared" si="180"/>
        <v>351026221.86670142</v>
      </c>
      <c r="AM98" s="11">
        <f t="shared" si="180"/>
        <v>364306028.55418742</v>
      </c>
      <c r="AN98" s="11">
        <f t="shared" si="180"/>
        <v>377931129.8022753</v>
      </c>
      <c r="AO98" s="11">
        <f t="shared" si="180"/>
        <v>391896871.824826</v>
      </c>
      <c r="AP98" s="11">
        <f t="shared" si="180"/>
        <v>406190627.01656955</v>
      </c>
      <c r="AQ98" s="11">
        <f t="shared" si="180"/>
        <v>420810232.61109245</v>
      </c>
      <c r="AR98" s="11">
        <f t="shared" si="180"/>
        <v>435765969.39650857</v>
      </c>
      <c r="AS98" s="11">
        <f t="shared" si="180"/>
        <v>451067732.06294262</v>
      </c>
      <c r="AT98" s="11">
        <f t="shared" si="180"/>
        <v>466710789.26034695</v>
      </c>
      <c r="AU98" s="11">
        <f t="shared" si="180"/>
        <v>482682370.73877072</v>
      </c>
      <c r="AV98" s="11">
        <f t="shared" si="180"/>
        <v>498979276.26172417</v>
      </c>
      <c r="AW98" s="11">
        <f t="shared" si="180"/>
        <v>515610544.92656291</v>
      </c>
      <c r="AX98" s="11">
        <f t="shared" si="180"/>
        <v>532259870.83951759</v>
      </c>
      <c r="AY98" s="11">
        <f t="shared" si="180"/>
        <v>549005014.68891644</v>
      </c>
      <c r="AZ98" s="11">
        <f t="shared" si="180"/>
        <v>566276968.57585335</v>
      </c>
      <c r="BA98" s="11">
        <f t="shared" si="180"/>
        <v>584092306.18987978</v>
      </c>
      <c r="BB98" s="11">
        <f t="shared" si="180"/>
        <v>602468122.63655233</v>
      </c>
      <c r="BC98" s="11">
        <f t="shared" si="180"/>
        <v>621422050.84142351</v>
      </c>
      <c r="BD98" s="11">
        <f t="shared" si="180"/>
        <v>640972278.47011054</v>
      </c>
      <c r="BE98" s="11">
        <f t="shared" si="180"/>
        <v>661137565.38067484</v>
      </c>
      <c r="BF98" s="11">
        <f t="shared" si="180"/>
        <v>681937261.62506568</v>
      </c>
      <c r="BG98" s="11">
        <f t="shared" si="180"/>
        <v>703391326.01689339</v>
      </c>
    </row>
    <row r="99" spans="1:158" ht="12.75" x14ac:dyDescent="0.2">
      <c r="B99" s="92"/>
      <c r="C99" s="81" t="s">
        <v>174</v>
      </c>
      <c r="F99" s="83"/>
      <c r="G99" s="83"/>
      <c r="I99" s="90"/>
      <c r="J99" s="115">
        <f t="shared" ref="J99:AO99" si="181">J97*total_tiendas_Telmex</f>
        <v>23027436.07093925</v>
      </c>
      <c r="K99" s="115">
        <f t="shared" si="181"/>
        <v>23115667.259731654</v>
      </c>
      <c r="L99" s="115">
        <f t="shared" si="181"/>
        <v>22880627.342006933</v>
      </c>
      <c r="M99" s="115">
        <f t="shared" si="181"/>
        <v>22753648.215379823</v>
      </c>
      <c r="N99" s="115">
        <f t="shared" si="181"/>
        <v>22708553.608146481</v>
      </c>
      <c r="O99" s="115">
        <f t="shared" si="181"/>
        <v>22807528.200000003</v>
      </c>
      <c r="P99" s="115">
        <f t="shared" si="181"/>
        <v>21459727.279230133</v>
      </c>
      <c r="Q99" s="115">
        <f t="shared" si="181"/>
        <v>23079075.129033059</v>
      </c>
      <c r="R99" s="115">
        <f t="shared" si="181"/>
        <v>24763646.684766665</v>
      </c>
      <c r="S99" s="115">
        <f t="shared" si="181"/>
        <v>25715001.673059862</v>
      </c>
      <c r="T99" s="115">
        <f t="shared" si="181"/>
        <v>26274460.540915646</v>
      </c>
      <c r="U99" s="115">
        <f t="shared" si="181"/>
        <v>27241402.005640343</v>
      </c>
      <c r="V99" s="115">
        <f t="shared" si="181"/>
        <v>28225840.855062827</v>
      </c>
      <c r="W99" s="115">
        <f t="shared" si="181"/>
        <v>29227752.755514041</v>
      </c>
      <c r="X99" s="115">
        <f t="shared" si="181"/>
        <v>30250187.563650388</v>
      </c>
      <c r="Y99" s="115">
        <f t="shared" si="181"/>
        <v>31294661.169747412</v>
      </c>
      <c r="Z99" s="115">
        <f t="shared" si="181"/>
        <v>32521231.044692155</v>
      </c>
      <c r="AA99" s="115">
        <f t="shared" si="181"/>
        <v>33942627.587547839</v>
      </c>
      <c r="AB99" s="115">
        <f t="shared" si="181"/>
        <v>35403174.368778355</v>
      </c>
      <c r="AC99" s="115">
        <f t="shared" si="181"/>
        <v>36906772.943283632</v>
      </c>
      <c r="AD99" s="115">
        <f t="shared" si="181"/>
        <v>38461013.514256641</v>
      </c>
      <c r="AE99" s="115">
        <f t="shared" si="181"/>
        <v>40069866.414610714</v>
      </c>
      <c r="AF99" s="115">
        <f t="shared" si="181"/>
        <v>41726817.067590512</v>
      </c>
      <c r="AG99" s="115">
        <f t="shared" si="181"/>
        <v>43427687.879750051</v>
      </c>
      <c r="AH99" s="115">
        <f t="shared" si="181"/>
        <v>45175280.455942474</v>
      </c>
      <c r="AI99" s="115">
        <f t="shared" si="181"/>
        <v>46972125.213686548</v>
      </c>
      <c r="AJ99" s="115">
        <f t="shared" si="181"/>
        <v>48818167.579691336</v>
      </c>
      <c r="AK99" s="115">
        <f t="shared" si="181"/>
        <v>50712028.613568284</v>
      </c>
      <c r="AL99" s="115">
        <f t="shared" si="181"/>
        <v>52653933.280005224</v>
      </c>
      <c r="AM99" s="115">
        <f t="shared" si="181"/>
        <v>54645904.28312812</v>
      </c>
      <c r="AN99" s="115">
        <f t="shared" si="181"/>
        <v>56689669.470341302</v>
      </c>
      <c r="AO99" s="115">
        <f t="shared" si="181"/>
        <v>58784530.773723908</v>
      </c>
      <c r="AP99" s="115">
        <f t="shared" ref="AP99:BG99" si="182">AP97*total_tiendas_Telmex</f>
        <v>60928594.052485444</v>
      </c>
      <c r="AQ99" s="115">
        <f t="shared" si="182"/>
        <v>63121534.891663879</v>
      </c>
      <c r="AR99" s="115">
        <f t="shared" si="182"/>
        <v>65364895.409476295</v>
      </c>
      <c r="AS99" s="115">
        <f t="shared" si="182"/>
        <v>67660159.809441403</v>
      </c>
      <c r="AT99" s="115">
        <f t="shared" si="182"/>
        <v>70006618.389052048</v>
      </c>
      <c r="AU99" s="115">
        <f t="shared" si="182"/>
        <v>72402355.610815614</v>
      </c>
      <c r="AV99" s="115">
        <f t="shared" si="182"/>
        <v>74846891.439258635</v>
      </c>
      <c r="AW99" s="115">
        <f t="shared" si="182"/>
        <v>77341581.738984451</v>
      </c>
      <c r="AX99" s="115">
        <f t="shared" si="182"/>
        <v>79838980.625927657</v>
      </c>
      <c r="AY99" s="115">
        <f t="shared" si="182"/>
        <v>82350752.203337476</v>
      </c>
      <c r="AZ99" s="115">
        <f t="shared" si="182"/>
        <v>84941545.286378011</v>
      </c>
      <c r="BA99" s="115">
        <f t="shared" si="182"/>
        <v>87613845.928481981</v>
      </c>
      <c r="BB99" s="115">
        <f t="shared" si="182"/>
        <v>90370218.395482868</v>
      </c>
      <c r="BC99" s="115">
        <f t="shared" si="182"/>
        <v>93213307.626213536</v>
      </c>
      <c r="BD99" s="115">
        <f t="shared" si="182"/>
        <v>96145841.770516589</v>
      </c>
      <c r="BE99" s="115">
        <f t="shared" si="182"/>
        <v>99170634.807101235</v>
      </c>
      <c r="BF99" s="115">
        <f t="shared" si="182"/>
        <v>102290589.24375987</v>
      </c>
      <c r="BG99" s="115">
        <f t="shared" si="182"/>
        <v>105508698.90253402</v>
      </c>
    </row>
    <row r="100" spans="1:158" ht="12.75" x14ac:dyDescent="0.2">
      <c r="B100" s="92" t="s">
        <v>168</v>
      </c>
      <c r="F100" s="83"/>
      <c r="G100" s="83"/>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row>
    <row r="101" spans="1:158" ht="12.75" x14ac:dyDescent="0.2">
      <c r="B101" s="92"/>
      <c r="C101" s="81" t="s">
        <v>141</v>
      </c>
      <c r="F101" s="83"/>
      <c r="G101" s="83" t="s">
        <v>139</v>
      </c>
      <c r="I101" s="104"/>
      <c r="J101" s="114">
        <f t="shared" ref="J101:AO101" si="183">IF(SUMPRODUCT($J92:$BG92,discount_rate_divider)=0,0,SUMPRODUCT($J83:$BG83,discount_rate_divider)/SUMPRODUCT($J92:$BG92,discount_rate_divider))*J$72</f>
        <v>1.3491226667742667E-2</v>
      </c>
      <c r="K101" s="114">
        <f t="shared" si="183"/>
        <v>1.4006591526450438E-2</v>
      </c>
      <c r="L101" s="114">
        <f t="shared" si="183"/>
        <v>1.450662684394472E-2</v>
      </c>
      <c r="M101" s="114">
        <f t="shared" si="183"/>
        <v>1.5082539929649327E-2</v>
      </c>
      <c r="N101" s="114">
        <f t="shared" si="183"/>
        <v>1.569790755877902E-2</v>
      </c>
      <c r="O101" s="114">
        <f t="shared" si="183"/>
        <v>1.6032272989781014E-2</v>
      </c>
      <c r="P101" s="114">
        <f t="shared" si="183"/>
        <v>1.6570957362237657E-2</v>
      </c>
      <c r="Q101" s="114">
        <f t="shared" si="183"/>
        <v>1.7692811175661148E-2</v>
      </c>
      <c r="R101" s="114">
        <f t="shared" si="183"/>
        <v>1.8547373955445579E-2</v>
      </c>
      <c r="S101" s="114">
        <f t="shared" si="183"/>
        <v>1.9118633073273304E-2</v>
      </c>
      <c r="T101" s="114">
        <f t="shared" si="183"/>
        <v>1.978587336753054E-2</v>
      </c>
      <c r="U101" s="114">
        <f t="shared" si="183"/>
        <v>2.0379449568556456E-2</v>
      </c>
      <c r="V101" s="114">
        <f t="shared" si="183"/>
        <v>2.099083305561315E-2</v>
      </c>
      <c r="W101" s="114">
        <f t="shared" si="183"/>
        <v>2.1620558047281545E-2</v>
      </c>
      <c r="X101" s="114">
        <f t="shared" si="183"/>
        <v>2.2269174788699993E-2</v>
      </c>
      <c r="Y101" s="114">
        <f t="shared" si="183"/>
        <v>2.2937250032360995E-2</v>
      </c>
      <c r="Z101" s="114">
        <f t="shared" si="183"/>
        <v>2.3625367533331824E-2</v>
      </c>
      <c r="AA101" s="114">
        <f t="shared" si="183"/>
        <v>2.4334128559331779E-2</v>
      </c>
      <c r="AB101" s="114">
        <f t="shared" si="183"/>
        <v>2.5064152416111735E-2</v>
      </c>
      <c r="AC101" s="114">
        <f t="shared" si="183"/>
        <v>2.5816076988595088E-2</v>
      </c>
      <c r="AD101" s="114">
        <f t="shared" si="183"/>
        <v>2.6590559298252943E-2</v>
      </c>
      <c r="AE101" s="114">
        <f t="shared" si="183"/>
        <v>2.7388276077200534E-2</v>
      </c>
      <c r="AF101" s="114">
        <f t="shared" si="183"/>
        <v>2.8209924359516553E-2</v>
      </c>
      <c r="AG101" s="114">
        <f t="shared" si="183"/>
        <v>2.905622209030205E-2</v>
      </c>
      <c r="AH101" s="114">
        <f t="shared" si="183"/>
        <v>2.9927908753011111E-2</v>
      </c>
      <c r="AI101" s="114">
        <f t="shared" si="183"/>
        <v>3.0825746015601445E-2</v>
      </c>
      <c r="AJ101" s="114">
        <f t="shared" si="183"/>
        <v>3.1750518396069488E-2</v>
      </c>
      <c r="AK101" s="114">
        <f t="shared" si="183"/>
        <v>3.2703033947951578E-2</v>
      </c>
      <c r="AL101" s="114">
        <f t="shared" si="183"/>
        <v>3.3684124966390123E-2</v>
      </c>
      <c r="AM101" s="114">
        <f t="shared" si="183"/>
        <v>3.4694648715381832E-2</v>
      </c>
      <c r="AN101" s="114">
        <f t="shared" si="183"/>
        <v>3.5735488176843286E-2</v>
      </c>
      <c r="AO101" s="114">
        <f t="shared" si="183"/>
        <v>3.6807552822148586E-2</v>
      </c>
      <c r="AP101" s="114">
        <f t="shared" ref="AP101:BG101" si="184">IF(SUMPRODUCT($J92:$BG92,discount_rate_divider)=0,0,SUMPRODUCT($J83:$BG83,discount_rate_divider)/SUMPRODUCT($J92:$BG92,discount_rate_divider))*AP$72</f>
        <v>3.7911779406813048E-2</v>
      </c>
      <c r="AQ101" s="114">
        <f t="shared" si="184"/>
        <v>3.9049132789017442E-2</v>
      </c>
      <c r="AR101" s="114">
        <f t="shared" si="184"/>
        <v>4.0220606772687961E-2</v>
      </c>
      <c r="AS101" s="114">
        <f t="shared" si="184"/>
        <v>4.14272249758686E-2</v>
      </c>
      <c r="AT101" s="114">
        <f t="shared" si="184"/>
        <v>4.2670041725144665E-2</v>
      </c>
      <c r="AU101" s="114">
        <f t="shared" si="184"/>
        <v>4.3950142976899004E-2</v>
      </c>
      <c r="AV101" s="114">
        <f t="shared" si="184"/>
        <v>4.5268647266205976E-2</v>
      </c>
      <c r="AW101" s="114">
        <f t="shared" si="184"/>
        <v>4.6626706684192165E-2</v>
      </c>
      <c r="AX101" s="114">
        <f t="shared" si="184"/>
        <v>4.8025507884717933E-2</v>
      </c>
      <c r="AY101" s="114">
        <f t="shared" si="184"/>
        <v>4.9466273121259473E-2</v>
      </c>
      <c r="AZ101" s="114">
        <f t="shared" si="184"/>
        <v>5.0950261314897251E-2</v>
      </c>
      <c r="BA101" s="114">
        <f t="shared" si="184"/>
        <v>5.2478769154344164E-2</v>
      </c>
      <c r="BB101" s="114">
        <f t="shared" si="184"/>
        <v>5.4053132228974496E-2</v>
      </c>
      <c r="BC101" s="114">
        <f t="shared" si="184"/>
        <v>5.5674726195843724E-2</v>
      </c>
      <c r="BD101" s="114">
        <f t="shared" si="184"/>
        <v>5.7344967981719043E-2</v>
      </c>
      <c r="BE101" s="114">
        <f t="shared" si="184"/>
        <v>5.9065317021170613E-2</v>
      </c>
      <c r="BF101" s="114">
        <f t="shared" si="184"/>
        <v>6.0837276531805734E-2</v>
      </c>
      <c r="BG101" s="114">
        <f t="shared" si="184"/>
        <v>6.2662394827759912E-2</v>
      </c>
    </row>
    <row r="102" spans="1:158" ht="12.75" x14ac:dyDescent="0.2">
      <c r="B102" s="92"/>
      <c r="C102" s="81" t="s">
        <v>159</v>
      </c>
      <c r="F102" s="83"/>
      <c r="G102" s="83" t="s">
        <v>139</v>
      </c>
      <c r="I102" s="104"/>
      <c r="J102" s="114">
        <f t="shared" ref="J102:AO102" si="185">IF(SUMPRODUCT($J93:$BG93,discount_rate_divider)=0,0,SUMPRODUCT($J84:$BG84,discount_rate_divider)/SUMPRODUCT($J93:$BG93,discount_rate_divider))*J$72</f>
        <v>4.0473680003227985E-2</v>
      </c>
      <c r="K102" s="114">
        <f t="shared" si="185"/>
        <v>4.2019774579351299E-2</v>
      </c>
      <c r="L102" s="114">
        <f t="shared" si="185"/>
        <v>4.3519880531834143E-2</v>
      </c>
      <c r="M102" s="114">
        <f t="shared" si="185"/>
        <v>4.5247619788947965E-2</v>
      </c>
      <c r="N102" s="114">
        <f t="shared" si="185"/>
        <v>4.709372267633704E-2</v>
      </c>
      <c r="O102" s="114">
        <f t="shared" si="185"/>
        <v>4.8096818969343022E-2</v>
      </c>
      <c r="P102" s="114">
        <f t="shared" si="185"/>
        <v>4.9712872086712954E-2</v>
      </c>
      <c r="Q102" s="114">
        <f t="shared" si="185"/>
        <v>5.3078433526983416E-2</v>
      </c>
      <c r="R102" s="114">
        <f t="shared" si="185"/>
        <v>5.5642121866336713E-2</v>
      </c>
      <c r="S102" s="114">
        <f t="shared" si="185"/>
        <v>5.7355899219819886E-2</v>
      </c>
      <c r="T102" s="114">
        <f t="shared" si="185"/>
        <v>5.9357620102591595E-2</v>
      </c>
      <c r="U102" s="114">
        <f t="shared" si="185"/>
        <v>6.1138348705669344E-2</v>
      </c>
      <c r="V102" s="114">
        <f t="shared" si="185"/>
        <v>6.2972499166839419E-2</v>
      </c>
      <c r="W102" s="114">
        <f t="shared" si="185"/>
        <v>6.4861674141844614E-2</v>
      </c>
      <c r="X102" s="114">
        <f t="shared" si="185"/>
        <v>6.6807524366099949E-2</v>
      </c>
      <c r="Y102" s="114">
        <f t="shared" si="185"/>
        <v>6.8811750097082958E-2</v>
      </c>
      <c r="Z102" s="114">
        <f t="shared" si="185"/>
        <v>7.0876102599995452E-2</v>
      </c>
      <c r="AA102" s="114">
        <f t="shared" si="185"/>
        <v>7.3002385677995302E-2</v>
      </c>
      <c r="AB102" s="114">
        <f t="shared" si="185"/>
        <v>7.5192457248335176E-2</v>
      </c>
      <c r="AC102" s="114">
        <f t="shared" si="185"/>
        <v>7.7448230965785236E-2</v>
      </c>
      <c r="AD102" s="114">
        <f t="shared" si="185"/>
        <v>7.9771677894758794E-2</v>
      </c>
      <c r="AE102" s="114">
        <f t="shared" si="185"/>
        <v>8.2164828231601567E-2</v>
      </c>
      <c r="AF102" s="114">
        <f t="shared" si="185"/>
        <v>8.4629773078549617E-2</v>
      </c>
      <c r="AG102" s="114">
        <f t="shared" si="185"/>
        <v>8.7168666270906109E-2</v>
      </c>
      <c r="AH102" s="114">
        <f t="shared" si="185"/>
        <v>8.9783726259033303E-2</v>
      </c>
      <c r="AI102" s="114">
        <f t="shared" si="185"/>
        <v>9.24772380468043E-2</v>
      </c>
      <c r="AJ102" s="114">
        <f t="shared" si="185"/>
        <v>9.5251555188208423E-2</v>
      </c>
      <c r="AK102" s="114">
        <f t="shared" si="185"/>
        <v>9.8109101843854685E-2</v>
      </c>
      <c r="AL102" s="114">
        <f t="shared" si="185"/>
        <v>0.10105237489917032</v>
      </c>
      <c r="AM102" s="114">
        <f t="shared" si="185"/>
        <v>0.10408394614614544</v>
      </c>
      <c r="AN102" s="114">
        <f t="shared" si="185"/>
        <v>0.1072064645305298</v>
      </c>
      <c r="AO102" s="114">
        <f t="shared" si="185"/>
        <v>0.11042265846644571</v>
      </c>
      <c r="AP102" s="114">
        <f t="shared" ref="AP102:BG102" si="186">IF(SUMPRODUCT($J93:$BG93,discount_rate_divider)=0,0,SUMPRODUCT($J84:$BG84,discount_rate_divider)/SUMPRODUCT($J93:$BG93,discount_rate_divider))*AP$72</f>
        <v>0.11373533822043909</v>
      </c>
      <c r="AQ102" s="114">
        <f t="shared" si="186"/>
        <v>0.11714739836705226</v>
      </c>
      <c r="AR102" s="114">
        <f t="shared" si="186"/>
        <v>0.12066182031806383</v>
      </c>
      <c r="AS102" s="114">
        <f t="shared" si="186"/>
        <v>0.12428167492760575</v>
      </c>
      <c r="AT102" s="114">
        <f t="shared" si="186"/>
        <v>0.12801012517543392</v>
      </c>
      <c r="AU102" s="114">
        <f t="shared" si="186"/>
        <v>0.13185042893069696</v>
      </c>
      <c r="AV102" s="114">
        <f t="shared" si="186"/>
        <v>0.13580594179861788</v>
      </c>
      <c r="AW102" s="114">
        <f t="shared" si="186"/>
        <v>0.13988012005257644</v>
      </c>
      <c r="AX102" s="114">
        <f t="shared" si="186"/>
        <v>0.14407652365415374</v>
      </c>
      <c r="AY102" s="114">
        <f t="shared" si="186"/>
        <v>0.14839881936377836</v>
      </c>
      <c r="AZ102" s="114">
        <f t="shared" si="186"/>
        <v>0.15285078394469168</v>
      </c>
      <c r="BA102" s="114">
        <f t="shared" si="186"/>
        <v>0.15743630746303244</v>
      </c>
      <c r="BB102" s="114">
        <f t="shared" si="186"/>
        <v>0.16215939668692342</v>
      </c>
      <c r="BC102" s="114">
        <f t="shared" si="186"/>
        <v>0.1670241785875311</v>
      </c>
      <c r="BD102" s="114">
        <f t="shared" si="186"/>
        <v>0.17203490394515705</v>
      </c>
      <c r="BE102" s="114">
        <f t="shared" si="186"/>
        <v>0.17719595106351177</v>
      </c>
      <c r="BF102" s="114">
        <f t="shared" si="186"/>
        <v>0.18251182959541712</v>
      </c>
      <c r="BG102" s="114">
        <f t="shared" si="186"/>
        <v>0.18798718448327964</v>
      </c>
    </row>
    <row r="103" spans="1:158" ht="12.75" x14ac:dyDescent="0.2">
      <c r="B103" s="92"/>
      <c r="C103" s="81" t="s">
        <v>223</v>
      </c>
      <c r="F103" s="83"/>
      <c r="G103" s="83" t="s">
        <v>139</v>
      </c>
      <c r="I103" s="104"/>
      <c r="J103" s="114">
        <f t="shared" ref="J103:AO103" si="187">IF(SUMPRODUCT($J94:$BG94,discount_rate_divider)=0,0,SUMPRODUCT($J85:$BG85,discount_rate_divider)/SUMPRODUCT($J94:$BG94,discount_rate_divider))*J$72</f>
        <v>2.8575799279040474E-2</v>
      </c>
      <c r="K103" s="114">
        <f t="shared" si="187"/>
        <v>2.9667394811499818E-2</v>
      </c>
      <c r="L103" s="114">
        <f t="shared" si="187"/>
        <v>3.0726520806270367E-2</v>
      </c>
      <c r="M103" s="114">
        <f t="shared" si="187"/>
        <v>3.1946363682279301E-2</v>
      </c>
      <c r="N103" s="114">
        <f t="shared" si="187"/>
        <v>3.3249775320516296E-2</v>
      </c>
      <c r="O103" s="114">
        <f t="shared" si="187"/>
        <v>3.3957995534843299E-2</v>
      </c>
      <c r="P103" s="114">
        <f t="shared" si="187"/>
        <v>3.5098984184814039E-2</v>
      </c>
      <c r="Q103" s="114">
        <f t="shared" si="187"/>
        <v>3.747518541412595E-2</v>
      </c>
      <c r="R103" s="114">
        <f t="shared" si="187"/>
        <v>3.9285236869628232E-2</v>
      </c>
      <c r="S103" s="114">
        <f t="shared" si="187"/>
        <v>4.0495222165212778E-2</v>
      </c>
      <c r="T103" s="114">
        <f t="shared" si="187"/>
        <v>4.1908505418778698E-2</v>
      </c>
      <c r="U103" s="114">
        <f t="shared" si="187"/>
        <v>4.3165760581342062E-2</v>
      </c>
      <c r="V103" s="114">
        <f t="shared" si="187"/>
        <v>4.4460733398782322E-2</v>
      </c>
      <c r="W103" s="114">
        <f t="shared" si="187"/>
        <v>4.5794555400745798E-2</v>
      </c>
      <c r="X103" s="114">
        <f t="shared" si="187"/>
        <v>4.7168392062768176E-2</v>
      </c>
      <c r="Y103" s="114">
        <f t="shared" si="187"/>
        <v>4.8583443824651219E-2</v>
      </c>
      <c r="Z103" s="114">
        <f t="shared" si="187"/>
        <v>5.0040947139390758E-2</v>
      </c>
      <c r="AA103" s="114">
        <f t="shared" si="187"/>
        <v>5.1542175553572482E-2</v>
      </c>
      <c r="AB103" s="114">
        <f t="shared" si="187"/>
        <v>5.3088440820179661E-2</v>
      </c>
      <c r="AC103" s="114">
        <f t="shared" si="187"/>
        <v>5.468109404478505E-2</v>
      </c>
      <c r="AD103" s="114">
        <f t="shared" si="187"/>
        <v>5.632152686612861E-2</v>
      </c>
      <c r="AE103" s="114">
        <f t="shared" si="187"/>
        <v>5.801117267211247E-2</v>
      </c>
      <c r="AF103" s="114">
        <f t="shared" si="187"/>
        <v>5.9751507852275849E-2</v>
      </c>
      <c r="AG103" s="114">
        <f t="shared" si="187"/>
        <v>6.1544053087844129E-2</v>
      </c>
      <c r="AH103" s="114">
        <f t="shared" si="187"/>
        <v>6.339037468047945E-2</v>
      </c>
      <c r="AI103" s="114">
        <f t="shared" si="187"/>
        <v>6.5292085920893833E-2</v>
      </c>
      <c r="AJ103" s="114">
        <f t="shared" si="187"/>
        <v>6.7250848498520657E-2</v>
      </c>
      <c r="AK103" s="114">
        <f t="shared" si="187"/>
        <v>6.9268373953476278E-2</v>
      </c>
      <c r="AL103" s="114">
        <f t="shared" si="187"/>
        <v>7.1346425172080563E-2</v>
      </c>
      <c r="AM103" s="114">
        <f t="shared" si="187"/>
        <v>7.3486817927242987E-2</v>
      </c>
      <c r="AN103" s="114">
        <f t="shared" si="187"/>
        <v>7.5691422465060276E-2</v>
      </c>
      <c r="AO103" s="114">
        <f t="shared" si="187"/>
        <v>7.7962165139012093E-2</v>
      </c>
      <c r="AP103" s="114">
        <f t="shared" ref="AP103:BG103" si="188">IF(SUMPRODUCT($J94:$BG94,discount_rate_divider)=0,0,SUMPRODUCT($J85:$BG85,discount_rate_divider)/SUMPRODUCT($J94:$BG94,discount_rate_divider))*AP$72</f>
        <v>8.0301030093182457E-2</v>
      </c>
      <c r="AQ103" s="114">
        <f t="shared" si="188"/>
        <v>8.2710060995977941E-2</v>
      </c>
      <c r="AR103" s="114">
        <f t="shared" si="188"/>
        <v>8.5191362825857278E-2</v>
      </c>
      <c r="AS103" s="114">
        <f t="shared" si="188"/>
        <v>8.7747103710633004E-2</v>
      </c>
      <c r="AT103" s="114">
        <f t="shared" si="188"/>
        <v>9.0379516821951986E-2</v>
      </c>
      <c r="AU103" s="114">
        <f t="shared" si="188"/>
        <v>9.3090902326610561E-2</v>
      </c>
      <c r="AV103" s="114">
        <f t="shared" si="188"/>
        <v>9.5883629396408876E-2</v>
      </c>
      <c r="AW103" s="114">
        <f t="shared" si="188"/>
        <v>9.8760138278301157E-2</v>
      </c>
      <c r="AX103" s="114">
        <f t="shared" si="188"/>
        <v>0.1017229424266502</v>
      </c>
      <c r="AY103" s="114">
        <f t="shared" si="188"/>
        <v>0.1047746306994497</v>
      </c>
      <c r="AZ103" s="114">
        <f t="shared" si="188"/>
        <v>0.10791786962043319</v>
      </c>
      <c r="BA103" s="114">
        <f t="shared" si="188"/>
        <v>0.11115540570904618</v>
      </c>
      <c r="BB103" s="114">
        <f t="shared" si="188"/>
        <v>0.11449006788031757</v>
      </c>
      <c r="BC103" s="114">
        <f t="shared" si="188"/>
        <v>0.1179247699167271</v>
      </c>
      <c r="BD103" s="114">
        <f t="shared" si="188"/>
        <v>0.12146251301422892</v>
      </c>
      <c r="BE103" s="114">
        <f t="shared" si="188"/>
        <v>0.12510638840465579</v>
      </c>
      <c r="BF103" s="114">
        <f t="shared" si="188"/>
        <v>0.12885958005679546</v>
      </c>
      <c r="BG103" s="114">
        <f t="shared" si="188"/>
        <v>0.13272536745849933</v>
      </c>
    </row>
    <row r="104" spans="1:158" ht="12.75" x14ac:dyDescent="0.2">
      <c r="B104" s="92"/>
      <c r="C104" s="81" t="s">
        <v>297</v>
      </c>
      <c r="F104" s="83"/>
      <c r="G104" s="83" t="s">
        <v>139</v>
      </c>
      <c r="I104" s="104"/>
      <c r="J104" s="114">
        <f t="shared" ref="J104:AO104" si="189">IF(SUMPRODUCT($J95:$BG95,discount_rate_divider)=0,0,SUMPRODUCT($J86:$BG86,discount_rate_divider)/SUMPRODUCT($J95:$BG95,discount_rate_divider))*J$72</f>
        <v>7.6101865448391995E-3</v>
      </c>
      <c r="K104" s="114">
        <f t="shared" si="189"/>
        <v>7.9008956708520577E-3</v>
      </c>
      <c r="L104" s="114">
        <f t="shared" si="189"/>
        <v>8.182957646301477E-3</v>
      </c>
      <c r="M104" s="114">
        <f t="shared" si="189"/>
        <v>8.5078210648596459E-3</v>
      </c>
      <c r="N104" s="114">
        <f t="shared" si="189"/>
        <v>8.8549401643059199E-3</v>
      </c>
      <c r="O104" s="114">
        <f t="shared" si="189"/>
        <v>9.0435503898056366E-3</v>
      </c>
      <c r="P104" s="114">
        <f t="shared" si="189"/>
        <v>9.3474136829031062E-3</v>
      </c>
      <c r="Q104" s="114">
        <f t="shared" si="189"/>
        <v>9.9802335892356479E-3</v>
      </c>
      <c r="R104" s="114">
        <f t="shared" si="189"/>
        <v>1.0462278871595728E-2</v>
      </c>
      <c r="S104" s="114">
        <f t="shared" si="189"/>
        <v>1.0784517060840878E-2</v>
      </c>
      <c r="T104" s="114">
        <f t="shared" si="189"/>
        <v>1.1160896706264222E-2</v>
      </c>
      <c r="U104" s="114">
        <f t="shared" si="189"/>
        <v>1.1495723607452149E-2</v>
      </c>
      <c r="V104" s="114">
        <f t="shared" si="189"/>
        <v>1.1840595315675714E-2</v>
      </c>
      <c r="W104" s="114">
        <f t="shared" si="189"/>
        <v>1.2195813175145986E-2</v>
      </c>
      <c r="X104" s="114">
        <f t="shared" si="189"/>
        <v>1.2561687570400366E-2</v>
      </c>
      <c r="Y104" s="114">
        <f t="shared" si="189"/>
        <v>1.2938538197512377E-2</v>
      </c>
      <c r="Z104" s="114">
        <f t="shared" si="189"/>
        <v>1.3326694343437751E-2</v>
      </c>
      <c r="AA104" s="114">
        <f t="shared" si="189"/>
        <v>1.3726495173740881E-2</v>
      </c>
      <c r="AB104" s="114">
        <f t="shared" si="189"/>
        <v>1.4138290028953109E-2</v>
      </c>
      <c r="AC104" s="114">
        <f t="shared" si="189"/>
        <v>1.4562438729821704E-2</v>
      </c>
      <c r="AD104" s="114">
        <f t="shared" si="189"/>
        <v>1.4999311891716357E-2</v>
      </c>
      <c r="AE104" s="114">
        <f t="shared" si="189"/>
        <v>1.5449291248467847E-2</v>
      </c>
      <c r="AF104" s="114">
        <f t="shared" si="189"/>
        <v>1.5912769985921883E-2</v>
      </c>
      <c r="AG104" s="114">
        <f t="shared" si="189"/>
        <v>1.6390153085499543E-2</v>
      </c>
      <c r="AH104" s="114">
        <f t="shared" si="189"/>
        <v>1.6881857678064528E-2</v>
      </c>
      <c r="AI104" s="114">
        <f t="shared" si="189"/>
        <v>1.7388313408406464E-2</v>
      </c>
      <c r="AJ104" s="114">
        <f t="shared" si="189"/>
        <v>1.790996281065866E-2</v>
      </c>
      <c r="AK104" s="114">
        <f t="shared" si="189"/>
        <v>1.8447261694978418E-2</v>
      </c>
      <c r="AL104" s="114">
        <f t="shared" si="189"/>
        <v>1.9000679545827771E-2</v>
      </c>
      <c r="AM104" s="114">
        <f t="shared" si="189"/>
        <v>1.9570699932202607E-2</v>
      </c>
      <c r="AN104" s="114">
        <f t="shared" si="189"/>
        <v>2.0157820930168685E-2</v>
      </c>
      <c r="AO104" s="114">
        <f t="shared" si="189"/>
        <v>2.0762555558073745E-2</v>
      </c>
      <c r="AP104" s="114">
        <f t="shared" ref="AP104:BG104" si="190">IF(SUMPRODUCT($J95:$BG95,discount_rate_divider)=0,0,SUMPRODUCT($J86:$BG86,discount_rate_divider)/SUMPRODUCT($J95:$BG95,discount_rate_divider))*AP$72</f>
        <v>2.138543222481596E-2</v>
      </c>
      <c r="AQ104" s="114">
        <f t="shared" si="190"/>
        <v>2.2026995191560442E-2</v>
      </c>
      <c r="AR104" s="114">
        <f t="shared" si="190"/>
        <v>2.2687805047307254E-2</v>
      </c>
      <c r="AS104" s="114">
        <f t="shared" si="190"/>
        <v>2.3368439198726471E-2</v>
      </c>
      <c r="AT104" s="114">
        <f t="shared" si="190"/>
        <v>2.4069492374688268E-2</v>
      </c>
      <c r="AU104" s="114">
        <f t="shared" si="190"/>
        <v>2.4791577145928917E-2</v>
      </c>
      <c r="AV104" s="114">
        <f t="shared" si="190"/>
        <v>2.5535324460306787E-2</v>
      </c>
      <c r="AW104" s="114">
        <f t="shared" si="190"/>
        <v>2.6301384194115991E-2</v>
      </c>
      <c r="AX104" s="114">
        <f t="shared" si="190"/>
        <v>2.7090425719939474E-2</v>
      </c>
      <c r="AY104" s="114">
        <f t="shared" si="190"/>
        <v>2.7903138491537659E-2</v>
      </c>
      <c r="AZ104" s="114">
        <f t="shared" si="190"/>
        <v>2.8740232646283788E-2</v>
      </c>
      <c r="BA104" s="114">
        <f t="shared" si="190"/>
        <v>2.96024396256723E-2</v>
      </c>
      <c r="BB104" s="114">
        <f t="shared" si="190"/>
        <v>3.0490512814442469E-2</v>
      </c>
      <c r="BC104" s="114">
        <f t="shared" si="190"/>
        <v>3.1405228198875743E-2</v>
      </c>
      <c r="BD104" s="114">
        <f t="shared" si="190"/>
        <v>3.2347385044842018E-2</v>
      </c>
      <c r="BE104" s="114">
        <f t="shared" si="190"/>
        <v>3.3317806596187279E-2</v>
      </c>
      <c r="BF104" s="114">
        <f t="shared" si="190"/>
        <v>3.4317340794072899E-2</v>
      </c>
      <c r="BG104" s="114">
        <f t="shared" si="190"/>
        <v>3.5346861017895088E-2</v>
      </c>
    </row>
    <row r="105" spans="1:158" ht="12.75" x14ac:dyDescent="0.2">
      <c r="B105" s="92"/>
      <c r="C105" s="169" t="s">
        <v>247</v>
      </c>
      <c r="F105" s="83"/>
      <c r="G105" s="83" t="s">
        <v>139</v>
      </c>
      <c r="I105" s="104"/>
      <c r="J105" s="178">
        <f t="shared" ref="J105:AO105" si="191">IF(SUMPRODUCT($J96:$BG96,discount_rate_divider)=0,0,SUMPRODUCT($J87:$BG87,discount_rate_divider)/SUMPRODUCT($J96:$BG96,discount_rate_divider))*J$72</f>
        <v>0</v>
      </c>
      <c r="K105" s="178">
        <f t="shared" si="191"/>
        <v>0</v>
      </c>
      <c r="L105" s="178">
        <f t="shared" si="191"/>
        <v>0</v>
      </c>
      <c r="M105" s="178">
        <f t="shared" si="191"/>
        <v>0</v>
      </c>
      <c r="N105" s="178">
        <f t="shared" si="191"/>
        <v>0</v>
      </c>
      <c r="O105" s="178">
        <f t="shared" si="191"/>
        <v>0</v>
      </c>
      <c r="P105" s="178">
        <f t="shared" si="191"/>
        <v>0</v>
      </c>
      <c r="Q105" s="178">
        <f t="shared" si="191"/>
        <v>0</v>
      </c>
      <c r="R105" s="178">
        <f t="shared" si="191"/>
        <v>0</v>
      </c>
      <c r="S105" s="178">
        <f t="shared" si="191"/>
        <v>0</v>
      </c>
      <c r="T105" s="178">
        <f t="shared" si="191"/>
        <v>0</v>
      </c>
      <c r="U105" s="178">
        <f t="shared" si="191"/>
        <v>0</v>
      </c>
      <c r="V105" s="178">
        <f t="shared" si="191"/>
        <v>0</v>
      </c>
      <c r="W105" s="178">
        <f t="shared" si="191"/>
        <v>0</v>
      </c>
      <c r="X105" s="178">
        <f t="shared" si="191"/>
        <v>0</v>
      </c>
      <c r="Y105" s="178">
        <f t="shared" si="191"/>
        <v>0</v>
      </c>
      <c r="Z105" s="178">
        <f t="shared" si="191"/>
        <v>0</v>
      </c>
      <c r="AA105" s="178">
        <f t="shared" si="191"/>
        <v>0</v>
      </c>
      <c r="AB105" s="178">
        <f t="shared" si="191"/>
        <v>0</v>
      </c>
      <c r="AC105" s="178">
        <f t="shared" si="191"/>
        <v>0</v>
      </c>
      <c r="AD105" s="178">
        <f t="shared" si="191"/>
        <v>0</v>
      </c>
      <c r="AE105" s="178">
        <f t="shared" si="191"/>
        <v>0</v>
      </c>
      <c r="AF105" s="178">
        <f t="shared" si="191"/>
        <v>0</v>
      </c>
      <c r="AG105" s="178">
        <f t="shared" si="191"/>
        <v>0</v>
      </c>
      <c r="AH105" s="178">
        <f t="shared" si="191"/>
        <v>0</v>
      </c>
      <c r="AI105" s="178">
        <f t="shared" si="191"/>
        <v>0</v>
      </c>
      <c r="AJ105" s="178">
        <f t="shared" si="191"/>
        <v>0</v>
      </c>
      <c r="AK105" s="178">
        <f t="shared" si="191"/>
        <v>0</v>
      </c>
      <c r="AL105" s="178">
        <f t="shared" si="191"/>
        <v>0</v>
      </c>
      <c r="AM105" s="178">
        <f t="shared" si="191"/>
        <v>0</v>
      </c>
      <c r="AN105" s="178">
        <f t="shared" si="191"/>
        <v>0</v>
      </c>
      <c r="AO105" s="178">
        <f t="shared" si="191"/>
        <v>0</v>
      </c>
      <c r="AP105" s="178">
        <f t="shared" ref="AP105:BG105" si="192">IF(SUMPRODUCT($J96:$BG96,discount_rate_divider)=0,0,SUMPRODUCT($J87:$BG87,discount_rate_divider)/SUMPRODUCT($J96:$BG96,discount_rate_divider))*AP$72</f>
        <v>0</v>
      </c>
      <c r="AQ105" s="178">
        <f t="shared" si="192"/>
        <v>0</v>
      </c>
      <c r="AR105" s="178">
        <f t="shared" si="192"/>
        <v>0</v>
      </c>
      <c r="AS105" s="178">
        <f t="shared" si="192"/>
        <v>0</v>
      </c>
      <c r="AT105" s="178">
        <f t="shared" si="192"/>
        <v>0</v>
      </c>
      <c r="AU105" s="178">
        <f t="shared" si="192"/>
        <v>0</v>
      </c>
      <c r="AV105" s="178">
        <f t="shared" si="192"/>
        <v>0</v>
      </c>
      <c r="AW105" s="178">
        <f t="shared" si="192"/>
        <v>0</v>
      </c>
      <c r="AX105" s="178">
        <f t="shared" si="192"/>
        <v>0</v>
      </c>
      <c r="AY105" s="178">
        <f t="shared" si="192"/>
        <v>0</v>
      </c>
      <c r="AZ105" s="178">
        <f t="shared" si="192"/>
        <v>0</v>
      </c>
      <c r="BA105" s="178">
        <f t="shared" si="192"/>
        <v>0</v>
      </c>
      <c r="BB105" s="178">
        <f t="shared" si="192"/>
        <v>0</v>
      </c>
      <c r="BC105" s="178">
        <f t="shared" si="192"/>
        <v>0</v>
      </c>
      <c r="BD105" s="178">
        <f t="shared" si="192"/>
        <v>0</v>
      </c>
      <c r="BE105" s="178">
        <f t="shared" si="192"/>
        <v>0</v>
      </c>
      <c r="BF105" s="178">
        <f t="shared" si="192"/>
        <v>0</v>
      </c>
      <c r="BG105" s="178">
        <f t="shared" si="192"/>
        <v>0</v>
      </c>
    </row>
    <row r="106" spans="1:158" ht="12.75" x14ac:dyDescent="0.2">
      <c r="B106" s="92"/>
      <c r="C106" s="169" t="s">
        <v>248</v>
      </c>
      <c r="F106" s="83"/>
      <c r="G106" s="83" t="s">
        <v>139</v>
      </c>
      <c r="I106" s="104"/>
      <c r="J106" s="178">
        <f t="shared" ref="J106:AO106" si="193">IF(SUMPRODUCT($J97:$BG97,discount_rate_divider)=0,0,SUMPRODUCT($J88:$BG88,discount_rate_divider)/SUMPRODUCT($J97:$BG97,discount_rate_divider))*J$72</f>
        <v>0</v>
      </c>
      <c r="K106" s="178">
        <f t="shared" si="193"/>
        <v>0</v>
      </c>
      <c r="L106" s="178">
        <f t="shared" si="193"/>
        <v>0</v>
      </c>
      <c r="M106" s="178">
        <f t="shared" si="193"/>
        <v>0</v>
      </c>
      <c r="N106" s="178">
        <f t="shared" si="193"/>
        <v>0</v>
      </c>
      <c r="O106" s="178">
        <f t="shared" si="193"/>
        <v>0</v>
      </c>
      <c r="P106" s="178">
        <f t="shared" si="193"/>
        <v>0</v>
      </c>
      <c r="Q106" s="178">
        <f t="shared" si="193"/>
        <v>0</v>
      </c>
      <c r="R106" s="178">
        <f t="shared" si="193"/>
        <v>0</v>
      </c>
      <c r="S106" s="178">
        <f t="shared" si="193"/>
        <v>0</v>
      </c>
      <c r="T106" s="178">
        <f t="shared" si="193"/>
        <v>0</v>
      </c>
      <c r="U106" s="178">
        <f t="shared" si="193"/>
        <v>0</v>
      </c>
      <c r="V106" s="178">
        <f t="shared" si="193"/>
        <v>0</v>
      </c>
      <c r="W106" s="178">
        <f t="shared" si="193"/>
        <v>0</v>
      </c>
      <c r="X106" s="178">
        <f t="shared" si="193"/>
        <v>0</v>
      </c>
      <c r="Y106" s="178">
        <f t="shared" si="193"/>
        <v>0</v>
      </c>
      <c r="Z106" s="178">
        <f t="shared" si="193"/>
        <v>0</v>
      </c>
      <c r="AA106" s="178">
        <f t="shared" si="193"/>
        <v>0</v>
      </c>
      <c r="AB106" s="178">
        <f t="shared" si="193"/>
        <v>0</v>
      </c>
      <c r="AC106" s="178">
        <f t="shared" si="193"/>
        <v>0</v>
      </c>
      <c r="AD106" s="178">
        <f t="shared" si="193"/>
        <v>0</v>
      </c>
      <c r="AE106" s="178">
        <f t="shared" si="193"/>
        <v>0</v>
      </c>
      <c r="AF106" s="178">
        <f t="shared" si="193"/>
        <v>0</v>
      </c>
      <c r="AG106" s="178">
        <f t="shared" si="193"/>
        <v>0</v>
      </c>
      <c r="AH106" s="178">
        <f t="shared" si="193"/>
        <v>0</v>
      </c>
      <c r="AI106" s="178">
        <f t="shared" si="193"/>
        <v>0</v>
      </c>
      <c r="AJ106" s="178">
        <f t="shared" si="193"/>
        <v>0</v>
      </c>
      <c r="AK106" s="178">
        <f t="shared" si="193"/>
        <v>0</v>
      </c>
      <c r="AL106" s="178">
        <f t="shared" si="193"/>
        <v>0</v>
      </c>
      <c r="AM106" s="178">
        <f t="shared" si="193"/>
        <v>0</v>
      </c>
      <c r="AN106" s="178">
        <f t="shared" si="193"/>
        <v>0</v>
      </c>
      <c r="AO106" s="178">
        <f t="shared" si="193"/>
        <v>0</v>
      </c>
      <c r="AP106" s="178">
        <f t="shared" ref="AP106:BG106" si="194">IF(SUMPRODUCT($J97:$BG97,discount_rate_divider)=0,0,SUMPRODUCT($J88:$BG88,discount_rate_divider)/SUMPRODUCT($J97:$BG97,discount_rate_divider))*AP$72</f>
        <v>0</v>
      </c>
      <c r="AQ106" s="178">
        <f t="shared" si="194"/>
        <v>0</v>
      </c>
      <c r="AR106" s="178">
        <f t="shared" si="194"/>
        <v>0</v>
      </c>
      <c r="AS106" s="178">
        <f t="shared" si="194"/>
        <v>0</v>
      </c>
      <c r="AT106" s="178">
        <f t="shared" si="194"/>
        <v>0</v>
      </c>
      <c r="AU106" s="178">
        <f t="shared" si="194"/>
        <v>0</v>
      </c>
      <c r="AV106" s="178">
        <f t="shared" si="194"/>
        <v>0</v>
      </c>
      <c r="AW106" s="178">
        <f t="shared" si="194"/>
        <v>0</v>
      </c>
      <c r="AX106" s="178">
        <f t="shared" si="194"/>
        <v>0</v>
      </c>
      <c r="AY106" s="178">
        <f t="shared" si="194"/>
        <v>0</v>
      </c>
      <c r="AZ106" s="178">
        <f t="shared" si="194"/>
        <v>0</v>
      </c>
      <c r="BA106" s="178">
        <f t="shared" si="194"/>
        <v>0</v>
      </c>
      <c r="BB106" s="178">
        <f t="shared" si="194"/>
        <v>0</v>
      </c>
      <c r="BC106" s="178">
        <f t="shared" si="194"/>
        <v>0</v>
      </c>
      <c r="BD106" s="178">
        <f t="shared" si="194"/>
        <v>0</v>
      </c>
      <c r="BE106" s="178">
        <f t="shared" si="194"/>
        <v>0</v>
      </c>
      <c r="BF106" s="178">
        <f t="shared" si="194"/>
        <v>0</v>
      </c>
      <c r="BG106" s="178">
        <f t="shared" si="194"/>
        <v>0</v>
      </c>
    </row>
    <row r="107" spans="1:158" ht="12.75" x14ac:dyDescent="0.2">
      <c r="B107" s="92"/>
      <c r="C107" s="81" t="s">
        <v>238</v>
      </c>
      <c r="F107" s="83"/>
      <c r="G107" s="83" t="s">
        <v>139</v>
      </c>
      <c r="I107" s="104"/>
      <c r="J107" s="114">
        <f t="shared" ref="J107:AO107" si="195">IF(SUMPRODUCT($J98:$BG98,discount_rate_divider)=0,0,SUMPRODUCT($J89:$BG89,discount_rate_divider)/SUMPRODUCT($J98:$BG98,discount_rate_divider))*J$72</f>
        <v>4.6179378278992364E-2</v>
      </c>
      <c r="K107" s="114">
        <f t="shared" si="195"/>
        <v>4.7943430529249875E-2</v>
      </c>
      <c r="L107" s="114">
        <f t="shared" si="195"/>
        <v>4.96550109991441E-2</v>
      </c>
      <c r="M107" s="114">
        <f t="shared" si="195"/>
        <v>5.1626314935810123E-2</v>
      </c>
      <c r="N107" s="114">
        <f t="shared" si="195"/>
        <v>5.3732668585191178E-2</v>
      </c>
      <c r="O107" s="114">
        <f t="shared" si="195"/>
        <v>5.4877174426055754E-2</v>
      </c>
      <c r="P107" s="114">
        <f t="shared" si="195"/>
        <v>5.6721047486771231E-2</v>
      </c>
      <c r="Q107" s="114">
        <f t="shared" si="195"/>
        <v>6.0561062401625648E-2</v>
      </c>
      <c r="R107" s="114">
        <f t="shared" si="195"/>
        <v>6.3486161715624156E-2</v>
      </c>
      <c r="S107" s="114">
        <f t="shared" si="195"/>
        <v>6.5441535496465392E-2</v>
      </c>
      <c r="T107" s="114">
        <f t="shared" si="195"/>
        <v>6.7725445085292019E-2</v>
      </c>
      <c r="U107" s="114">
        <f t="shared" si="195"/>
        <v>6.9757208437850785E-2</v>
      </c>
      <c r="V107" s="114">
        <f t="shared" si="195"/>
        <v>7.1849924690986305E-2</v>
      </c>
      <c r="W107" s="114">
        <f t="shared" si="195"/>
        <v>7.40054224317159E-2</v>
      </c>
      <c r="X107" s="114">
        <f t="shared" si="195"/>
        <v>7.6225585104667384E-2</v>
      </c>
      <c r="Y107" s="114">
        <f t="shared" si="195"/>
        <v>7.8512352657807399E-2</v>
      </c>
      <c r="Z107" s="114">
        <f t="shared" si="195"/>
        <v>8.0867723237541628E-2</v>
      </c>
      <c r="AA107" s="114">
        <f t="shared" si="195"/>
        <v>8.3293754934667882E-2</v>
      </c>
      <c r="AB107" s="114">
        <f t="shared" si="195"/>
        <v>8.5792567582707924E-2</v>
      </c>
      <c r="AC107" s="114">
        <f t="shared" si="195"/>
        <v>8.8366344610189163E-2</v>
      </c>
      <c r="AD107" s="114">
        <f t="shared" si="195"/>
        <v>9.1017334948494844E-2</v>
      </c>
      <c r="AE107" s="114">
        <f t="shared" si="195"/>
        <v>9.3747854996949695E-2</v>
      </c>
      <c r="AF107" s="114">
        <f t="shared" si="195"/>
        <v>9.6560290646858199E-2</v>
      </c>
      <c r="AG107" s="114">
        <f t="shared" si="195"/>
        <v>9.9457099366263943E-2</v>
      </c>
      <c r="AH107" s="114">
        <f t="shared" si="195"/>
        <v>0.10244081234725187</v>
      </c>
      <c r="AI107" s="114">
        <f t="shared" si="195"/>
        <v>0.10551403671766943</v>
      </c>
      <c r="AJ107" s="114">
        <f t="shared" si="195"/>
        <v>0.10867945781919951</v>
      </c>
      <c r="AK107" s="114">
        <f t="shared" si="195"/>
        <v>0.1119398415537755</v>
      </c>
      <c r="AL107" s="114">
        <f t="shared" si="195"/>
        <v>0.11529803680038876</v>
      </c>
      <c r="AM107" s="114">
        <f t="shared" si="195"/>
        <v>0.11875697790440044</v>
      </c>
      <c r="AN107" s="114">
        <f t="shared" si="195"/>
        <v>0.12231968724153244</v>
      </c>
      <c r="AO107" s="114">
        <f t="shared" si="195"/>
        <v>0.12598927785877842</v>
      </c>
      <c r="AP107" s="114">
        <f t="shared" ref="AP107:BG107" si="196">IF(SUMPRODUCT($J98:$BG98,discount_rate_divider)=0,0,SUMPRODUCT($J89:$BG89,discount_rate_divider)/SUMPRODUCT($J98:$BG98,discount_rate_divider))*AP$72</f>
        <v>0.12976895619454179</v>
      </c>
      <c r="AQ107" s="114">
        <f t="shared" si="196"/>
        <v>0.13366202488037807</v>
      </c>
      <c r="AR107" s="114">
        <f t="shared" si="196"/>
        <v>0.13767188562678939</v>
      </c>
      <c r="AS107" s="114">
        <f t="shared" si="196"/>
        <v>0.14180204219559309</v>
      </c>
      <c r="AT107" s="114">
        <f t="shared" si="196"/>
        <v>0.14605610346146089</v>
      </c>
      <c r="AU107" s="114">
        <f t="shared" si="196"/>
        <v>0.15043778656530471</v>
      </c>
      <c r="AV107" s="114">
        <f t="shared" si="196"/>
        <v>0.15495092016226386</v>
      </c>
      <c r="AW107" s="114">
        <f t="shared" si="196"/>
        <v>0.15959944776713181</v>
      </c>
      <c r="AX107" s="114">
        <f t="shared" si="196"/>
        <v>0.16438743120014576</v>
      </c>
      <c r="AY107" s="114">
        <f t="shared" si="196"/>
        <v>0.16931905413615014</v>
      </c>
      <c r="AZ107" s="114">
        <f t="shared" si="196"/>
        <v>0.17439862576023465</v>
      </c>
      <c r="BA107" s="114">
        <f t="shared" si="196"/>
        <v>0.17963058453304168</v>
      </c>
      <c r="BB107" s="114">
        <f t="shared" si="196"/>
        <v>0.18501950206903292</v>
      </c>
      <c r="BC107" s="114">
        <f t="shared" si="196"/>
        <v>0.1905700871311039</v>
      </c>
      <c r="BD107" s="114">
        <f t="shared" si="196"/>
        <v>0.19628718974503703</v>
      </c>
      <c r="BE107" s="114">
        <f t="shared" si="196"/>
        <v>0.20217580543738814</v>
      </c>
      <c r="BF107" s="114">
        <f t="shared" si="196"/>
        <v>0.2082410796005098</v>
      </c>
      <c r="BG107" s="114">
        <f t="shared" si="196"/>
        <v>0.21448831198852511</v>
      </c>
    </row>
    <row r="108" spans="1:158" x14ac:dyDescent="0.2">
      <c r="C108" s="81" t="s">
        <v>174</v>
      </c>
      <c r="G108" s="83" t="s">
        <v>139</v>
      </c>
      <c r="I108" s="104"/>
      <c r="J108" s="114">
        <f t="shared" ref="J108:AO108" si="197">IF(SUMPRODUCT($J99:$BG99,discount_rate_divider)=0,0,SUMPRODUCT($J90:$BG90,discount_rate_divider)/SUMPRODUCT($J99:$BG99,discount_rate_divider))*J$72</f>
        <v>6.1487196916327429</v>
      </c>
      <c r="K108" s="114">
        <f t="shared" si="197"/>
        <v>6.3836007838531135</v>
      </c>
      <c r="L108" s="114">
        <f t="shared" si="197"/>
        <v>6.6114953318366707</v>
      </c>
      <c r="M108" s="114">
        <f t="shared" si="197"/>
        <v>6.873971696510587</v>
      </c>
      <c r="N108" s="114">
        <f t="shared" si="197"/>
        <v>7.1544297417282188</v>
      </c>
      <c r="O108" s="114">
        <f t="shared" si="197"/>
        <v>7.3068190952270307</v>
      </c>
      <c r="P108" s="114">
        <f t="shared" si="197"/>
        <v>7.552328216826659</v>
      </c>
      <c r="Q108" s="114">
        <f t="shared" si="197"/>
        <v>8.0636208371058249</v>
      </c>
      <c r="R108" s="114">
        <f t="shared" si="197"/>
        <v>8.4530937235380357</v>
      </c>
      <c r="S108" s="114">
        <f t="shared" si="197"/>
        <v>8.7134490102230071</v>
      </c>
      <c r="T108" s="114">
        <f t="shared" si="197"/>
        <v>9.0175483806797896</v>
      </c>
      <c r="U108" s="114">
        <f t="shared" si="197"/>
        <v>9.2880748321001825</v>
      </c>
      <c r="V108" s="114">
        <f t="shared" si="197"/>
        <v>9.5667170770631884</v>
      </c>
      <c r="W108" s="114">
        <f t="shared" si="197"/>
        <v>9.8537185893750845</v>
      </c>
      <c r="X108" s="114">
        <f t="shared" si="197"/>
        <v>10.149330147056338</v>
      </c>
      <c r="Y108" s="114">
        <f t="shared" si="197"/>
        <v>10.453810051468029</v>
      </c>
      <c r="Z108" s="114">
        <f t="shared" si="197"/>
        <v>10.767424353012069</v>
      </c>
      <c r="AA108" s="114">
        <f t="shared" si="197"/>
        <v>11.090447083602431</v>
      </c>
      <c r="AB108" s="114">
        <f t="shared" si="197"/>
        <v>11.423160496110505</v>
      </c>
      <c r="AC108" s="114">
        <f t="shared" si="197"/>
        <v>11.765855310993821</v>
      </c>
      <c r="AD108" s="114">
        <f t="shared" si="197"/>
        <v>12.118830970323636</v>
      </c>
      <c r="AE108" s="114">
        <f t="shared" si="197"/>
        <v>12.482395899433346</v>
      </c>
      <c r="AF108" s="114">
        <f t="shared" si="197"/>
        <v>12.856867776416347</v>
      </c>
      <c r="AG108" s="114">
        <f t="shared" si="197"/>
        <v>13.242573809708839</v>
      </c>
      <c r="AH108" s="114">
        <f t="shared" si="197"/>
        <v>13.639851024000105</v>
      </c>
      <c r="AI108" s="114">
        <f t="shared" si="197"/>
        <v>14.049046554720109</v>
      </c>
      <c r="AJ108" s="114">
        <f t="shared" si="197"/>
        <v>14.470517951361712</v>
      </c>
      <c r="AK108" s="114">
        <f t="shared" si="197"/>
        <v>14.904633489902563</v>
      </c>
      <c r="AL108" s="114">
        <f t="shared" si="197"/>
        <v>15.35177249459964</v>
      </c>
      <c r="AM108" s="114">
        <f t="shared" si="197"/>
        <v>15.81232566943763</v>
      </c>
      <c r="AN108" s="114">
        <f t="shared" si="197"/>
        <v>16.286695439520759</v>
      </c>
      <c r="AO108" s="114">
        <f t="shared" si="197"/>
        <v>16.775296302706383</v>
      </c>
      <c r="AP108" s="114">
        <f t="shared" ref="AP108:BG108" si="198">IF(SUMPRODUCT($J99:$BG99,discount_rate_divider)=0,0,SUMPRODUCT($J90:$BG90,discount_rate_divider)/SUMPRODUCT($J99:$BG99,discount_rate_divider))*AP$72</f>
        <v>17.278555191787575</v>
      </c>
      <c r="AQ108" s="114">
        <f t="shared" si="198"/>
        <v>17.796911847541203</v>
      </c>
      <c r="AR108" s="114">
        <f t="shared" si="198"/>
        <v>18.33081920296744</v>
      </c>
      <c r="AS108" s="114">
        <f t="shared" si="198"/>
        <v>18.880743779056463</v>
      </c>
      <c r="AT108" s="114">
        <f t="shared" si="198"/>
        <v>19.447166092428159</v>
      </c>
      <c r="AU108" s="114">
        <f t="shared" si="198"/>
        <v>20.030581075201006</v>
      </c>
      <c r="AV108" s="114">
        <f t="shared" si="198"/>
        <v>20.631498507457039</v>
      </c>
      <c r="AW108" s="114">
        <f t="shared" si="198"/>
        <v>21.250443462680749</v>
      </c>
      <c r="AX108" s="114">
        <f t="shared" si="198"/>
        <v>21.887956766561175</v>
      </c>
      <c r="AY108" s="114">
        <f t="shared" si="198"/>
        <v>22.544595469558011</v>
      </c>
      <c r="AZ108" s="114">
        <f t="shared" si="198"/>
        <v>23.220933333644748</v>
      </c>
      <c r="BA108" s="114">
        <f t="shared" si="198"/>
        <v>23.917561333654092</v>
      </c>
      <c r="BB108" s="114">
        <f t="shared" si="198"/>
        <v>24.635088173663714</v>
      </c>
      <c r="BC108" s="114">
        <f t="shared" si="198"/>
        <v>25.374140818873624</v>
      </c>
      <c r="BD108" s="114">
        <f t="shared" si="198"/>
        <v>26.135365043439833</v>
      </c>
      <c r="BE108" s="114">
        <f t="shared" si="198"/>
        <v>26.91942599474303</v>
      </c>
      <c r="BF108" s="114">
        <f t="shared" si="198"/>
        <v>27.727008774585322</v>
      </c>
      <c r="BG108" s="114">
        <f t="shared" si="198"/>
        <v>28.558819037822882</v>
      </c>
    </row>
    <row r="110" spans="1:158" ht="18" x14ac:dyDescent="0.25">
      <c r="A110" s="77">
        <v>3</v>
      </c>
      <c r="B110" s="78" t="s">
        <v>173</v>
      </c>
      <c r="C110" s="79"/>
      <c r="D110" s="79"/>
      <c r="E110" s="79"/>
      <c r="F110" s="82"/>
      <c r="G110" s="82"/>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row>
    <row r="111" spans="1:158" s="81" customFormat="1" ht="12" customHeight="1" x14ac:dyDescent="0.2">
      <c r="A111" s="80"/>
      <c r="B111" s="86"/>
      <c r="S111" s="194"/>
    </row>
    <row r="112" spans="1:158" s="81" customFormat="1" ht="12.75" x14ac:dyDescent="0.2">
      <c r="A112" s="42"/>
      <c r="B112" s="84" t="s">
        <v>136</v>
      </c>
      <c r="C112" s="42"/>
      <c r="D112" s="42"/>
      <c r="E112" s="42"/>
      <c r="F112" s="42"/>
      <c r="G112" s="42"/>
      <c r="H112" s="42"/>
      <c r="I112" s="42"/>
      <c r="J112" s="42"/>
      <c r="K112" s="42"/>
      <c r="L112" s="42"/>
      <c r="M112" s="42"/>
      <c r="N112" s="42"/>
      <c r="O112" s="42"/>
      <c r="P112" s="42"/>
      <c r="Q112" s="42"/>
      <c r="R112" s="42"/>
      <c r="S112" s="194"/>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158" s="81" customFormat="1" x14ac:dyDescent="0.2">
      <c r="A113" s="42"/>
      <c r="C113" s="81" t="s">
        <v>172</v>
      </c>
      <c r="D113" s="42"/>
      <c r="E113" s="42"/>
      <c r="F113" s="42"/>
      <c r="G113" s="83" t="s">
        <v>139</v>
      </c>
      <c r="H113" s="42"/>
      <c r="I113" s="42"/>
      <c r="J113" s="114">
        <f t="shared" ref="J113:N114" si="199">$O113*J$118</f>
        <v>7.4574374999999998E-2</v>
      </c>
      <c r="K113" s="114">
        <f t="shared" si="199"/>
        <v>7.4574374999999998E-2</v>
      </c>
      <c r="L113" s="114">
        <f t="shared" si="199"/>
        <v>7.4574374999999998E-2</v>
      </c>
      <c r="M113" s="114">
        <f t="shared" si="199"/>
        <v>7.4574374999999998E-2</v>
      </c>
      <c r="N113" s="114">
        <f t="shared" si="199"/>
        <v>7.4574374999999998E-2</v>
      </c>
      <c r="O113" s="119">
        <f>precio.folio</f>
        <v>7.4574374999999998E-2</v>
      </c>
      <c r="P113" s="114">
        <f t="shared" ref="P113:Y114" si="200">$O113*P$118</f>
        <v>7.4574374999999998E-2</v>
      </c>
      <c r="Q113" s="114">
        <f t="shared" si="200"/>
        <v>7.4574374999999998E-2</v>
      </c>
      <c r="R113" s="114">
        <f t="shared" si="200"/>
        <v>7.5320118749999998E-2</v>
      </c>
      <c r="S113" s="114">
        <f t="shared" si="200"/>
        <v>7.6073319937499995E-2</v>
      </c>
      <c r="T113" s="114">
        <f t="shared" si="200"/>
        <v>7.6073319937499995E-2</v>
      </c>
      <c r="U113" s="114">
        <f t="shared" si="200"/>
        <v>7.6073319937499995E-2</v>
      </c>
      <c r="V113" s="114">
        <f t="shared" si="200"/>
        <v>7.6073319937499995E-2</v>
      </c>
      <c r="W113" s="114">
        <f t="shared" si="200"/>
        <v>7.6073319937499995E-2</v>
      </c>
      <c r="X113" s="114">
        <f t="shared" si="200"/>
        <v>7.6073319937499995E-2</v>
      </c>
      <c r="Y113" s="114">
        <f t="shared" si="200"/>
        <v>7.6073319937499995E-2</v>
      </c>
      <c r="Z113" s="114">
        <f t="shared" ref="Z113:AI114" si="201">$O113*Z$118</f>
        <v>7.6073319937499995E-2</v>
      </c>
      <c r="AA113" s="114">
        <f t="shared" si="201"/>
        <v>7.6073319937499995E-2</v>
      </c>
      <c r="AB113" s="114">
        <f t="shared" si="201"/>
        <v>7.6073319937499995E-2</v>
      </c>
      <c r="AC113" s="114">
        <f t="shared" si="201"/>
        <v>7.6073319937499995E-2</v>
      </c>
      <c r="AD113" s="114">
        <f t="shared" si="201"/>
        <v>7.6073319937499995E-2</v>
      </c>
      <c r="AE113" s="114">
        <f t="shared" si="201"/>
        <v>7.6073319937499995E-2</v>
      </c>
      <c r="AF113" s="114">
        <f t="shared" si="201"/>
        <v>7.6073319937499995E-2</v>
      </c>
      <c r="AG113" s="114">
        <f t="shared" si="201"/>
        <v>7.6073319937499995E-2</v>
      </c>
      <c r="AH113" s="114">
        <f t="shared" si="201"/>
        <v>7.6073319937499995E-2</v>
      </c>
      <c r="AI113" s="114">
        <f t="shared" si="201"/>
        <v>7.6073319937499995E-2</v>
      </c>
      <c r="AJ113" s="114">
        <f t="shared" ref="AJ113:AS114" si="202">$O113*AJ$118</f>
        <v>7.6073319937499995E-2</v>
      </c>
      <c r="AK113" s="114">
        <f t="shared" si="202"/>
        <v>7.6073319937499995E-2</v>
      </c>
      <c r="AL113" s="114">
        <f t="shared" si="202"/>
        <v>7.6073319937499995E-2</v>
      </c>
      <c r="AM113" s="114">
        <f t="shared" si="202"/>
        <v>7.6073319937499995E-2</v>
      </c>
      <c r="AN113" s="114">
        <f t="shared" si="202"/>
        <v>7.6073319937499995E-2</v>
      </c>
      <c r="AO113" s="114">
        <f t="shared" si="202"/>
        <v>7.6073319937499995E-2</v>
      </c>
      <c r="AP113" s="114">
        <f t="shared" si="202"/>
        <v>7.6073319937499995E-2</v>
      </c>
      <c r="AQ113" s="114">
        <f t="shared" si="202"/>
        <v>7.6073319937499995E-2</v>
      </c>
      <c r="AR113" s="114">
        <f t="shared" si="202"/>
        <v>7.6073319937499995E-2</v>
      </c>
      <c r="AS113" s="114">
        <f t="shared" si="202"/>
        <v>7.6073319937499995E-2</v>
      </c>
      <c r="AT113" s="114">
        <f t="shared" ref="AT113:BG114" si="203">$O113*AT$118</f>
        <v>7.6073319937499995E-2</v>
      </c>
      <c r="AU113" s="114">
        <f t="shared" si="203"/>
        <v>7.6073319937499995E-2</v>
      </c>
      <c r="AV113" s="114">
        <f t="shared" si="203"/>
        <v>7.6073319937499995E-2</v>
      </c>
      <c r="AW113" s="114">
        <f t="shared" si="203"/>
        <v>7.6073319937499995E-2</v>
      </c>
      <c r="AX113" s="114">
        <f t="shared" si="203"/>
        <v>7.6073319937499995E-2</v>
      </c>
      <c r="AY113" s="114">
        <f t="shared" si="203"/>
        <v>7.6073319937499995E-2</v>
      </c>
      <c r="AZ113" s="114">
        <f t="shared" si="203"/>
        <v>7.6073319937499995E-2</v>
      </c>
      <c r="BA113" s="114">
        <f t="shared" si="203"/>
        <v>7.6073319937499995E-2</v>
      </c>
      <c r="BB113" s="114">
        <f t="shared" si="203"/>
        <v>7.6073319937499995E-2</v>
      </c>
      <c r="BC113" s="114">
        <f t="shared" si="203"/>
        <v>7.6073319937499995E-2</v>
      </c>
      <c r="BD113" s="114">
        <f t="shared" si="203"/>
        <v>7.6073319937499995E-2</v>
      </c>
      <c r="BE113" s="114">
        <f t="shared" si="203"/>
        <v>7.6073319937499995E-2</v>
      </c>
      <c r="BF113" s="114">
        <f t="shared" si="203"/>
        <v>7.6073319937499995E-2</v>
      </c>
      <c r="BG113" s="114">
        <f t="shared" si="203"/>
        <v>7.6073319937499995E-2</v>
      </c>
      <c r="BH113" s="42"/>
    </row>
    <row r="114" spans="1:158" s="81" customFormat="1" ht="12.75" x14ac:dyDescent="0.2">
      <c r="A114" s="42"/>
      <c r="B114" s="92"/>
      <c r="C114" s="81" t="s">
        <v>142</v>
      </c>
      <c r="D114" s="42"/>
      <c r="E114" s="42"/>
      <c r="F114" s="42"/>
      <c r="G114" s="83" t="s">
        <v>139</v>
      </c>
      <c r="H114" s="42"/>
      <c r="I114" s="42"/>
      <c r="J114" s="114">
        <f t="shared" si="199"/>
        <v>0.26283333333333331</v>
      </c>
      <c r="K114" s="114">
        <f t="shared" si="199"/>
        <v>0.26283333333333331</v>
      </c>
      <c r="L114" s="114">
        <f t="shared" si="199"/>
        <v>0.26283333333333331</v>
      </c>
      <c r="M114" s="114">
        <f t="shared" si="199"/>
        <v>0.26283333333333331</v>
      </c>
      <c r="N114" s="114">
        <f t="shared" si="199"/>
        <v>0.26283333333333331</v>
      </c>
      <c r="O114" s="119">
        <f>precio.sobre</f>
        <v>0.26283333333333331</v>
      </c>
      <c r="P114" s="114">
        <f t="shared" si="200"/>
        <v>0.26283333333333331</v>
      </c>
      <c r="Q114" s="114">
        <f t="shared" si="200"/>
        <v>0.26283333333333331</v>
      </c>
      <c r="R114" s="114">
        <f t="shared" si="200"/>
        <v>0.26546166666666665</v>
      </c>
      <c r="S114" s="114">
        <f t="shared" si="200"/>
        <v>0.26811628333333332</v>
      </c>
      <c r="T114" s="114">
        <f t="shared" si="200"/>
        <v>0.26811628333333332</v>
      </c>
      <c r="U114" s="114">
        <f t="shared" si="200"/>
        <v>0.26811628333333332</v>
      </c>
      <c r="V114" s="114">
        <f t="shared" si="200"/>
        <v>0.26811628333333332</v>
      </c>
      <c r="W114" s="114">
        <f t="shared" si="200"/>
        <v>0.26811628333333332</v>
      </c>
      <c r="X114" s="114">
        <f t="shared" si="200"/>
        <v>0.26811628333333332</v>
      </c>
      <c r="Y114" s="114">
        <f t="shared" si="200"/>
        <v>0.26811628333333332</v>
      </c>
      <c r="Z114" s="114">
        <f t="shared" si="201"/>
        <v>0.26811628333333332</v>
      </c>
      <c r="AA114" s="114">
        <f t="shared" si="201"/>
        <v>0.26811628333333332</v>
      </c>
      <c r="AB114" s="114">
        <f t="shared" si="201"/>
        <v>0.26811628333333332</v>
      </c>
      <c r="AC114" s="114">
        <f t="shared" si="201"/>
        <v>0.26811628333333332</v>
      </c>
      <c r="AD114" s="114">
        <f t="shared" si="201"/>
        <v>0.26811628333333332</v>
      </c>
      <c r="AE114" s="114">
        <f t="shared" si="201"/>
        <v>0.26811628333333332</v>
      </c>
      <c r="AF114" s="114">
        <f t="shared" si="201"/>
        <v>0.26811628333333332</v>
      </c>
      <c r="AG114" s="114">
        <f t="shared" si="201"/>
        <v>0.26811628333333332</v>
      </c>
      <c r="AH114" s="114">
        <f t="shared" si="201"/>
        <v>0.26811628333333332</v>
      </c>
      <c r="AI114" s="114">
        <f t="shared" si="201"/>
        <v>0.26811628333333332</v>
      </c>
      <c r="AJ114" s="114">
        <f t="shared" si="202"/>
        <v>0.26811628333333332</v>
      </c>
      <c r="AK114" s="114">
        <f t="shared" si="202"/>
        <v>0.26811628333333332</v>
      </c>
      <c r="AL114" s="114">
        <f t="shared" si="202"/>
        <v>0.26811628333333332</v>
      </c>
      <c r="AM114" s="114">
        <f t="shared" si="202"/>
        <v>0.26811628333333332</v>
      </c>
      <c r="AN114" s="114">
        <f t="shared" si="202"/>
        <v>0.26811628333333332</v>
      </c>
      <c r="AO114" s="114">
        <f t="shared" si="202"/>
        <v>0.26811628333333332</v>
      </c>
      <c r="AP114" s="114">
        <f t="shared" si="202"/>
        <v>0.26811628333333332</v>
      </c>
      <c r="AQ114" s="114">
        <f t="shared" si="202"/>
        <v>0.26811628333333332</v>
      </c>
      <c r="AR114" s="114">
        <f t="shared" si="202"/>
        <v>0.26811628333333332</v>
      </c>
      <c r="AS114" s="114">
        <f t="shared" si="202"/>
        <v>0.26811628333333332</v>
      </c>
      <c r="AT114" s="114">
        <f t="shared" si="203"/>
        <v>0.26811628333333332</v>
      </c>
      <c r="AU114" s="114">
        <f t="shared" si="203"/>
        <v>0.26811628333333332</v>
      </c>
      <c r="AV114" s="114">
        <f t="shared" si="203"/>
        <v>0.26811628333333332</v>
      </c>
      <c r="AW114" s="114">
        <f t="shared" si="203"/>
        <v>0.26811628333333332</v>
      </c>
      <c r="AX114" s="114">
        <f t="shared" si="203"/>
        <v>0.26811628333333332</v>
      </c>
      <c r="AY114" s="114">
        <f t="shared" si="203"/>
        <v>0.26811628333333332</v>
      </c>
      <c r="AZ114" s="114">
        <f t="shared" si="203"/>
        <v>0.26811628333333332</v>
      </c>
      <c r="BA114" s="114">
        <f t="shared" si="203"/>
        <v>0.26811628333333332</v>
      </c>
      <c r="BB114" s="114">
        <f t="shared" si="203"/>
        <v>0.26811628333333332</v>
      </c>
      <c r="BC114" s="114">
        <f t="shared" si="203"/>
        <v>0.26811628333333332</v>
      </c>
      <c r="BD114" s="114">
        <f t="shared" si="203"/>
        <v>0.26811628333333332</v>
      </c>
      <c r="BE114" s="114">
        <f t="shared" si="203"/>
        <v>0.26811628333333332</v>
      </c>
      <c r="BF114" s="114">
        <f t="shared" si="203"/>
        <v>0.26811628333333332</v>
      </c>
      <c r="BG114" s="114">
        <f t="shared" si="203"/>
        <v>0.26811628333333332</v>
      </c>
      <c r="BH114" s="42"/>
    </row>
    <row r="115" spans="1:158" s="81" customFormat="1" ht="12.75" x14ac:dyDescent="0.2">
      <c r="A115" s="42"/>
      <c r="B115" s="92"/>
      <c r="C115" s="81" t="s">
        <v>285</v>
      </c>
      <c r="D115" s="42"/>
      <c r="E115" s="42"/>
      <c r="F115" s="42"/>
      <c r="G115" s="83" t="s">
        <v>139</v>
      </c>
      <c r="H115" s="42"/>
      <c r="I115" s="42"/>
      <c r="J115" s="114">
        <f t="shared" ref="J115:M115" si="204">$O115*J$118</f>
        <v>0.98207999999999995</v>
      </c>
      <c r="K115" s="114">
        <f t="shared" si="204"/>
        <v>0.98207999999999995</v>
      </c>
      <c r="L115" s="114">
        <f t="shared" si="204"/>
        <v>0.98207999999999995</v>
      </c>
      <c r="M115" s="114">
        <f t="shared" si="204"/>
        <v>0.98207999999999995</v>
      </c>
      <c r="N115" s="114">
        <f>$O115*N$118</f>
        <v>0.98207999999999995</v>
      </c>
      <c r="O115" s="119">
        <f>costo_por_copia_color</f>
        <v>0.98207999999999995</v>
      </c>
      <c r="P115" s="114">
        <f>$O115*P$118</f>
        <v>0.98207999999999995</v>
      </c>
      <c r="Q115" s="114">
        <f>$O115*Q$118</f>
        <v>0.98207999999999995</v>
      </c>
      <c r="R115" s="114">
        <f t="shared" ref="R115:BG115" si="205">$O115*R$118</f>
        <v>0.99190079999999992</v>
      </c>
      <c r="S115" s="114">
        <f t="shared" si="205"/>
        <v>1.001819808</v>
      </c>
      <c r="T115" s="114">
        <f t="shared" si="205"/>
        <v>1.001819808</v>
      </c>
      <c r="U115" s="114">
        <f t="shared" si="205"/>
        <v>1.001819808</v>
      </c>
      <c r="V115" s="114">
        <f t="shared" si="205"/>
        <v>1.001819808</v>
      </c>
      <c r="W115" s="114">
        <f t="shared" si="205"/>
        <v>1.001819808</v>
      </c>
      <c r="X115" s="114">
        <f t="shared" si="205"/>
        <v>1.001819808</v>
      </c>
      <c r="Y115" s="114">
        <f t="shared" si="205"/>
        <v>1.001819808</v>
      </c>
      <c r="Z115" s="114">
        <f t="shared" si="205"/>
        <v>1.001819808</v>
      </c>
      <c r="AA115" s="114">
        <f t="shared" si="205"/>
        <v>1.001819808</v>
      </c>
      <c r="AB115" s="114">
        <f t="shared" si="205"/>
        <v>1.001819808</v>
      </c>
      <c r="AC115" s="114">
        <f t="shared" si="205"/>
        <v>1.001819808</v>
      </c>
      <c r="AD115" s="114">
        <f t="shared" si="205"/>
        <v>1.001819808</v>
      </c>
      <c r="AE115" s="114">
        <f t="shared" si="205"/>
        <v>1.001819808</v>
      </c>
      <c r="AF115" s="114">
        <f t="shared" si="205"/>
        <v>1.001819808</v>
      </c>
      <c r="AG115" s="114">
        <f t="shared" si="205"/>
        <v>1.001819808</v>
      </c>
      <c r="AH115" s="114">
        <f t="shared" si="205"/>
        <v>1.001819808</v>
      </c>
      <c r="AI115" s="114">
        <f t="shared" si="205"/>
        <v>1.001819808</v>
      </c>
      <c r="AJ115" s="114">
        <f t="shared" si="205"/>
        <v>1.001819808</v>
      </c>
      <c r="AK115" s="114">
        <f t="shared" si="205"/>
        <v>1.001819808</v>
      </c>
      <c r="AL115" s="114">
        <f t="shared" si="205"/>
        <v>1.001819808</v>
      </c>
      <c r="AM115" s="114">
        <f t="shared" si="205"/>
        <v>1.001819808</v>
      </c>
      <c r="AN115" s="114">
        <f t="shared" si="205"/>
        <v>1.001819808</v>
      </c>
      <c r="AO115" s="114">
        <f t="shared" si="205"/>
        <v>1.001819808</v>
      </c>
      <c r="AP115" s="114">
        <f t="shared" si="205"/>
        <v>1.001819808</v>
      </c>
      <c r="AQ115" s="114">
        <f t="shared" si="205"/>
        <v>1.001819808</v>
      </c>
      <c r="AR115" s="114">
        <f t="shared" si="205"/>
        <v>1.001819808</v>
      </c>
      <c r="AS115" s="114">
        <f t="shared" si="205"/>
        <v>1.001819808</v>
      </c>
      <c r="AT115" s="114">
        <f t="shared" si="205"/>
        <v>1.001819808</v>
      </c>
      <c r="AU115" s="114">
        <f t="shared" si="205"/>
        <v>1.001819808</v>
      </c>
      <c r="AV115" s="114">
        <f t="shared" si="205"/>
        <v>1.001819808</v>
      </c>
      <c r="AW115" s="114">
        <f t="shared" si="205"/>
        <v>1.001819808</v>
      </c>
      <c r="AX115" s="114">
        <f t="shared" si="205"/>
        <v>1.001819808</v>
      </c>
      <c r="AY115" s="114">
        <f t="shared" si="205"/>
        <v>1.001819808</v>
      </c>
      <c r="AZ115" s="114">
        <f t="shared" si="205"/>
        <v>1.001819808</v>
      </c>
      <c r="BA115" s="114">
        <f t="shared" si="205"/>
        <v>1.001819808</v>
      </c>
      <c r="BB115" s="114">
        <f t="shared" si="205"/>
        <v>1.001819808</v>
      </c>
      <c r="BC115" s="114">
        <f t="shared" si="205"/>
        <v>1.001819808</v>
      </c>
      <c r="BD115" s="114">
        <f t="shared" si="205"/>
        <v>1.001819808</v>
      </c>
      <c r="BE115" s="114">
        <f t="shared" si="205"/>
        <v>1.001819808</v>
      </c>
      <c r="BF115" s="114">
        <f t="shared" si="205"/>
        <v>1.001819808</v>
      </c>
      <c r="BG115" s="114">
        <f t="shared" si="205"/>
        <v>1.001819808</v>
      </c>
      <c r="BH115" s="42"/>
    </row>
    <row r="116" spans="1:158" ht="12.75" x14ac:dyDescent="0.2">
      <c r="B116" s="84"/>
      <c r="C116" t="s">
        <v>143</v>
      </c>
      <c r="G116" s="83" t="s">
        <v>139</v>
      </c>
      <c r="I116" s="42"/>
      <c r="J116" s="114">
        <f>$O116*J$118</f>
        <v>2.23</v>
      </c>
      <c r="K116" s="114">
        <f>$O116*K$118</f>
        <v>2.23</v>
      </c>
      <c r="L116" s="114">
        <f>$O116*L$118</f>
        <v>2.23</v>
      </c>
      <c r="M116" s="114">
        <f>$O116*M$118</f>
        <v>2.23</v>
      </c>
      <c r="N116" s="114">
        <f>$O116*N$118</f>
        <v>2.23</v>
      </c>
      <c r="O116" s="119">
        <f>franqueo</f>
        <v>2.23</v>
      </c>
      <c r="P116" s="114">
        <f>$O116*P$118</f>
        <v>2.23</v>
      </c>
      <c r="Q116" s="114">
        <f t="shared" ref="Q116:BG116" si="206">$O116*Q$118</f>
        <v>2.23</v>
      </c>
      <c r="R116" s="114">
        <f>$O116*R$118</f>
        <v>2.2523</v>
      </c>
      <c r="S116" s="114">
        <f t="shared" si="206"/>
        <v>2.274823</v>
      </c>
      <c r="T116" s="114">
        <f t="shared" si="206"/>
        <v>2.274823</v>
      </c>
      <c r="U116" s="114">
        <f t="shared" si="206"/>
        <v>2.274823</v>
      </c>
      <c r="V116" s="114">
        <f t="shared" si="206"/>
        <v>2.274823</v>
      </c>
      <c r="W116" s="114">
        <f t="shared" si="206"/>
        <v>2.274823</v>
      </c>
      <c r="X116" s="114">
        <f t="shared" si="206"/>
        <v>2.274823</v>
      </c>
      <c r="Y116" s="114">
        <f t="shared" si="206"/>
        <v>2.274823</v>
      </c>
      <c r="Z116" s="114">
        <f t="shared" si="206"/>
        <v>2.274823</v>
      </c>
      <c r="AA116" s="114">
        <f t="shared" si="206"/>
        <v>2.274823</v>
      </c>
      <c r="AB116" s="114">
        <f t="shared" si="206"/>
        <v>2.274823</v>
      </c>
      <c r="AC116" s="114">
        <f t="shared" si="206"/>
        <v>2.274823</v>
      </c>
      <c r="AD116" s="114">
        <f t="shared" si="206"/>
        <v>2.274823</v>
      </c>
      <c r="AE116" s="114">
        <f t="shared" si="206"/>
        <v>2.274823</v>
      </c>
      <c r="AF116" s="114">
        <f t="shared" si="206"/>
        <v>2.274823</v>
      </c>
      <c r="AG116" s="114">
        <f t="shared" si="206"/>
        <v>2.274823</v>
      </c>
      <c r="AH116" s="114">
        <f t="shared" si="206"/>
        <v>2.274823</v>
      </c>
      <c r="AI116" s="114">
        <f t="shared" si="206"/>
        <v>2.274823</v>
      </c>
      <c r="AJ116" s="114">
        <f t="shared" si="206"/>
        <v>2.274823</v>
      </c>
      <c r="AK116" s="114">
        <f t="shared" si="206"/>
        <v>2.274823</v>
      </c>
      <c r="AL116" s="114">
        <f t="shared" si="206"/>
        <v>2.274823</v>
      </c>
      <c r="AM116" s="114">
        <f t="shared" si="206"/>
        <v>2.274823</v>
      </c>
      <c r="AN116" s="114">
        <f t="shared" si="206"/>
        <v>2.274823</v>
      </c>
      <c r="AO116" s="114">
        <f t="shared" si="206"/>
        <v>2.274823</v>
      </c>
      <c r="AP116" s="114">
        <f t="shared" si="206"/>
        <v>2.274823</v>
      </c>
      <c r="AQ116" s="114">
        <f t="shared" si="206"/>
        <v>2.274823</v>
      </c>
      <c r="AR116" s="114">
        <f t="shared" si="206"/>
        <v>2.274823</v>
      </c>
      <c r="AS116" s="114">
        <f t="shared" si="206"/>
        <v>2.274823</v>
      </c>
      <c r="AT116" s="114">
        <f t="shared" si="206"/>
        <v>2.274823</v>
      </c>
      <c r="AU116" s="114">
        <f t="shared" si="206"/>
        <v>2.274823</v>
      </c>
      <c r="AV116" s="114">
        <f t="shared" si="206"/>
        <v>2.274823</v>
      </c>
      <c r="AW116" s="114">
        <f t="shared" si="206"/>
        <v>2.274823</v>
      </c>
      <c r="AX116" s="114">
        <f t="shared" si="206"/>
        <v>2.274823</v>
      </c>
      <c r="AY116" s="114">
        <f t="shared" si="206"/>
        <v>2.274823</v>
      </c>
      <c r="AZ116" s="114">
        <f t="shared" si="206"/>
        <v>2.274823</v>
      </c>
      <c r="BA116" s="114">
        <f t="shared" si="206"/>
        <v>2.274823</v>
      </c>
      <c r="BB116" s="114">
        <f t="shared" si="206"/>
        <v>2.274823</v>
      </c>
      <c r="BC116" s="114">
        <f t="shared" si="206"/>
        <v>2.274823</v>
      </c>
      <c r="BD116" s="114">
        <f t="shared" si="206"/>
        <v>2.274823</v>
      </c>
      <c r="BE116" s="114">
        <f t="shared" si="206"/>
        <v>2.274823</v>
      </c>
      <c r="BF116" s="114">
        <f t="shared" si="206"/>
        <v>2.274823</v>
      </c>
      <c r="BG116" s="114">
        <f t="shared" si="206"/>
        <v>2.274823</v>
      </c>
    </row>
    <row r="117" spans="1:158" s="81" customFormat="1" x14ac:dyDescent="0.2">
      <c r="B117" s="101" t="s">
        <v>201</v>
      </c>
      <c r="G117" s="81" t="s">
        <v>140</v>
      </c>
      <c r="I117" s="42"/>
      <c r="J117" s="122">
        <v>0</v>
      </c>
      <c r="K117" s="122">
        <v>0</v>
      </c>
      <c r="L117" s="122">
        <v>0</v>
      </c>
      <c r="M117" s="122">
        <v>0</v>
      </c>
      <c r="N117" s="122">
        <v>0</v>
      </c>
      <c r="O117" s="122">
        <v>0</v>
      </c>
      <c r="P117" s="122">
        <v>0</v>
      </c>
      <c r="Q117" s="122">
        <v>0</v>
      </c>
      <c r="R117" s="122">
        <v>0.01</v>
      </c>
      <c r="S117" s="166">
        <f t="shared" ref="S117:BG117" si="207">R117</f>
        <v>0.01</v>
      </c>
      <c r="T117" s="166">
        <v>0</v>
      </c>
      <c r="U117" s="166">
        <f t="shared" si="207"/>
        <v>0</v>
      </c>
      <c r="V117" s="166">
        <f t="shared" si="207"/>
        <v>0</v>
      </c>
      <c r="W117" s="166">
        <f t="shared" si="207"/>
        <v>0</v>
      </c>
      <c r="X117" s="166">
        <f t="shared" si="207"/>
        <v>0</v>
      </c>
      <c r="Y117" s="166">
        <f t="shared" si="207"/>
        <v>0</v>
      </c>
      <c r="Z117" s="166">
        <f t="shared" si="207"/>
        <v>0</v>
      </c>
      <c r="AA117" s="166">
        <f t="shared" si="207"/>
        <v>0</v>
      </c>
      <c r="AB117" s="166">
        <f t="shared" si="207"/>
        <v>0</v>
      </c>
      <c r="AC117" s="166">
        <f t="shared" si="207"/>
        <v>0</v>
      </c>
      <c r="AD117" s="166">
        <f t="shared" si="207"/>
        <v>0</v>
      </c>
      <c r="AE117" s="166">
        <f t="shared" si="207"/>
        <v>0</v>
      </c>
      <c r="AF117" s="166">
        <f t="shared" si="207"/>
        <v>0</v>
      </c>
      <c r="AG117" s="166">
        <f t="shared" si="207"/>
        <v>0</v>
      </c>
      <c r="AH117" s="166">
        <f t="shared" si="207"/>
        <v>0</v>
      </c>
      <c r="AI117" s="166">
        <f t="shared" si="207"/>
        <v>0</v>
      </c>
      <c r="AJ117" s="166">
        <f t="shared" si="207"/>
        <v>0</v>
      </c>
      <c r="AK117" s="166">
        <f t="shared" si="207"/>
        <v>0</v>
      </c>
      <c r="AL117" s="166">
        <f t="shared" si="207"/>
        <v>0</v>
      </c>
      <c r="AM117" s="166">
        <f t="shared" si="207"/>
        <v>0</v>
      </c>
      <c r="AN117" s="166">
        <f t="shared" si="207"/>
        <v>0</v>
      </c>
      <c r="AO117" s="166">
        <f t="shared" si="207"/>
        <v>0</v>
      </c>
      <c r="AP117" s="166">
        <f t="shared" si="207"/>
        <v>0</v>
      </c>
      <c r="AQ117" s="166">
        <f t="shared" si="207"/>
        <v>0</v>
      </c>
      <c r="AR117" s="166">
        <f t="shared" si="207"/>
        <v>0</v>
      </c>
      <c r="AS117" s="166">
        <f t="shared" si="207"/>
        <v>0</v>
      </c>
      <c r="AT117" s="166">
        <f t="shared" si="207"/>
        <v>0</v>
      </c>
      <c r="AU117" s="166">
        <f t="shared" si="207"/>
        <v>0</v>
      </c>
      <c r="AV117" s="166">
        <f t="shared" si="207"/>
        <v>0</v>
      </c>
      <c r="AW117" s="166">
        <f t="shared" si="207"/>
        <v>0</v>
      </c>
      <c r="AX117" s="166">
        <f t="shared" si="207"/>
        <v>0</v>
      </c>
      <c r="AY117" s="166">
        <f t="shared" si="207"/>
        <v>0</v>
      </c>
      <c r="AZ117" s="166">
        <f t="shared" si="207"/>
        <v>0</v>
      </c>
      <c r="BA117" s="166">
        <f t="shared" si="207"/>
        <v>0</v>
      </c>
      <c r="BB117" s="166">
        <f t="shared" si="207"/>
        <v>0</v>
      </c>
      <c r="BC117" s="166">
        <f t="shared" si="207"/>
        <v>0</v>
      </c>
      <c r="BD117" s="166">
        <f t="shared" si="207"/>
        <v>0</v>
      </c>
      <c r="BE117" s="166">
        <f t="shared" si="207"/>
        <v>0</v>
      </c>
      <c r="BF117" s="166">
        <f t="shared" si="207"/>
        <v>0</v>
      </c>
      <c r="BG117" s="166">
        <f t="shared" si="207"/>
        <v>0</v>
      </c>
    </row>
    <row r="118" spans="1:158" s="81" customFormat="1" x14ac:dyDescent="0.2">
      <c r="B118" s="101"/>
      <c r="C118" s="81" t="s">
        <v>175</v>
      </c>
      <c r="I118" s="42"/>
      <c r="J118" s="165">
        <f>K118/(1+K117)</f>
        <v>1</v>
      </c>
      <c r="K118" s="165">
        <f>L118/(1+L117)</f>
        <v>1</v>
      </c>
      <c r="L118" s="165">
        <f>M118/(1+M117)</f>
        <v>1</v>
      </c>
      <c r="M118" s="165">
        <f>N118/(1+N117)</f>
        <v>1</v>
      </c>
      <c r="N118" s="165">
        <f>O118/(1+O117)</f>
        <v>1</v>
      </c>
      <c r="O118" s="109">
        <v>1</v>
      </c>
      <c r="P118" s="114">
        <f>O118*(1+P117)</f>
        <v>1</v>
      </c>
      <c r="Q118" s="114">
        <f>P118*(1+Q117)</f>
        <v>1</v>
      </c>
      <c r="R118" s="114">
        <f t="shared" ref="R118:BG118" si="208">Q118*(1+R117)</f>
        <v>1.01</v>
      </c>
      <c r="S118" s="114">
        <f t="shared" si="208"/>
        <v>1.0201</v>
      </c>
      <c r="T118" s="114">
        <f t="shared" si="208"/>
        <v>1.0201</v>
      </c>
      <c r="U118" s="114">
        <f t="shared" si="208"/>
        <v>1.0201</v>
      </c>
      <c r="V118" s="114">
        <f t="shared" si="208"/>
        <v>1.0201</v>
      </c>
      <c r="W118" s="114">
        <f t="shared" si="208"/>
        <v>1.0201</v>
      </c>
      <c r="X118" s="114">
        <f t="shared" si="208"/>
        <v>1.0201</v>
      </c>
      <c r="Y118" s="114">
        <f t="shared" si="208"/>
        <v>1.0201</v>
      </c>
      <c r="Z118" s="114">
        <f t="shared" si="208"/>
        <v>1.0201</v>
      </c>
      <c r="AA118" s="114">
        <f t="shared" si="208"/>
        <v>1.0201</v>
      </c>
      <c r="AB118" s="114">
        <f t="shared" si="208"/>
        <v>1.0201</v>
      </c>
      <c r="AC118" s="114">
        <f t="shared" si="208"/>
        <v>1.0201</v>
      </c>
      <c r="AD118" s="114">
        <f t="shared" si="208"/>
        <v>1.0201</v>
      </c>
      <c r="AE118" s="114">
        <f t="shared" si="208"/>
        <v>1.0201</v>
      </c>
      <c r="AF118" s="114">
        <f t="shared" si="208"/>
        <v>1.0201</v>
      </c>
      <c r="AG118" s="114">
        <f t="shared" si="208"/>
        <v>1.0201</v>
      </c>
      <c r="AH118" s="114">
        <f t="shared" si="208"/>
        <v>1.0201</v>
      </c>
      <c r="AI118" s="114">
        <f t="shared" si="208"/>
        <v>1.0201</v>
      </c>
      <c r="AJ118" s="114">
        <f t="shared" si="208"/>
        <v>1.0201</v>
      </c>
      <c r="AK118" s="114">
        <f t="shared" si="208"/>
        <v>1.0201</v>
      </c>
      <c r="AL118" s="114">
        <f t="shared" si="208"/>
        <v>1.0201</v>
      </c>
      <c r="AM118" s="114">
        <f t="shared" si="208"/>
        <v>1.0201</v>
      </c>
      <c r="AN118" s="114">
        <f t="shared" si="208"/>
        <v>1.0201</v>
      </c>
      <c r="AO118" s="114">
        <f t="shared" si="208"/>
        <v>1.0201</v>
      </c>
      <c r="AP118" s="114">
        <f t="shared" si="208"/>
        <v>1.0201</v>
      </c>
      <c r="AQ118" s="114">
        <f t="shared" si="208"/>
        <v>1.0201</v>
      </c>
      <c r="AR118" s="114">
        <f t="shared" si="208"/>
        <v>1.0201</v>
      </c>
      <c r="AS118" s="114">
        <f t="shared" si="208"/>
        <v>1.0201</v>
      </c>
      <c r="AT118" s="114">
        <f t="shared" si="208"/>
        <v>1.0201</v>
      </c>
      <c r="AU118" s="114">
        <f t="shared" si="208"/>
        <v>1.0201</v>
      </c>
      <c r="AV118" s="114">
        <f t="shared" si="208"/>
        <v>1.0201</v>
      </c>
      <c r="AW118" s="114">
        <f t="shared" si="208"/>
        <v>1.0201</v>
      </c>
      <c r="AX118" s="114">
        <f t="shared" si="208"/>
        <v>1.0201</v>
      </c>
      <c r="AY118" s="114">
        <f t="shared" si="208"/>
        <v>1.0201</v>
      </c>
      <c r="AZ118" s="114">
        <f t="shared" si="208"/>
        <v>1.0201</v>
      </c>
      <c r="BA118" s="114">
        <f t="shared" si="208"/>
        <v>1.0201</v>
      </c>
      <c r="BB118" s="114">
        <f t="shared" si="208"/>
        <v>1.0201</v>
      </c>
      <c r="BC118" s="114">
        <f t="shared" si="208"/>
        <v>1.0201</v>
      </c>
      <c r="BD118" s="114">
        <f t="shared" si="208"/>
        <v>1.0201</v>
      </c>
      <c r="BE118" s="114">
        <f t="shared" si="208"/>
        <v>1.0201</v>
      </c>
      <c r="BF118" s="114">
        <f t="shared" si="208"/>
        <v>1.0201</v>
      </c>
      <c r="BG118" s="114">
        <f t="shared" si="208"/>
        <v>1.0201</v>
      </c>
    </row>
    <row r="119" spans="1:158" s="81" customFormat="1" x14ac:dyDescent="0.2">
      <c r="B119" s="101" t="s">
        <v>150</v>
      </c>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row>
    <row r="120" spans="1:158" s="81" customFormat="1" x14ac:dyDescent="0.2">
      <c r="B120" s="101"/>
      <c r="C120" s="121" t="s">
        <v>180</v>
      </c>
      <c r="G120" s="81" t="s">
        <v>139</v>
      </c>
      <c r="I120"/>
      <c r="J120" s="119">
        <f t="array" ref="J120:BG120">recibo_promedio</f>
        <v>333.1840054180347</v>
      </c>
      <c r="K120" s="119">
        <v>320.12982208151402</v>
      </c>
      <c r="L120" s="119">
        <v>309.36935949353818</v>
      </c>
      <c r="M120" s="119">
        <v>296.68669161983917</v>
      </c>
      <c r="N120" s="119">
        <v>294.66817094530796</v>
      </c>
      <c r="O120" s="119">
        <v>244.34461074129021</v>
      </c>
      <c r="P120" s="119">
        <v>244.08309406008038</v>
      </c>
      <c r="Q120" s="119">
        <v>243.87410463156996</v>
      </c>
      <c r="R120" s="167">
        <v>243.71749676626996</v>
      </c>
      <c r="S120" s="167">
        <v>243.61315856832286</v>
      </c>
      <c r="T120" s="167">
        <v>243.56101180352653</v>
      </c>
      <c r="U120" s="167">
        <v>243.56101180352661</v>
      </c>
      <c r="V120" s="167">
        <v>243.56101180352653</v>
      </c>
      <c r="W120" s="167">
        <v>243.56101180352653</v>
      </c>
      <c r="X120" s="167">
        <v>243.56101180352653</v>
      </c>
      <c r="Y120" s="167">
        <v>243.56101180352661</v>
      </c>
      <c r="Z120" s="167">
        <v>243.56101180352655</v>
      </c>
      <c r="AA120" s="167">
        <v>243.56101180352655</v>
      </c>
      <c r="AB120" s="167">
        <v>243.56101180352655</v>
      </c>
      <c r="AC120" s="167">
        <v>243.56101180352655</v>
      </c>
      <c r="AD120" s="167">
        <v>243.56101180352655</v>
      </c>
      <c r="AE120" s="167">
        <v>243.56101180352655</v>
      </c>
      <c r="AF120" s="167">
        <v>243.56101180352655</v>
      </c>
      <c r="AG120" s="167">
        <v>243.56101180352655</v>
      </c>
      <c r="AH120" s="167">
        <v>243.56101180352655</v>
      </c>
      <c r="AI120" s="167">
        <v>243.56101180352655</v>
      </c>
      <c r="AJ120" s="167">
        <v>243.56101180352655</v>
      </c>
      <c r="AK120" s="167">
        <v>243.56101180352661</v>
      </c>
      <c r="AL120" s="167">
        <v>243.56101180352655</v>
      </c>
      <c r="AM120" s="167">
        <v>243.56101180352653</v>
      </c>
      <c r="AN120" s="167">
        <v>243.56101180352655</v>
      </c>
      <c r="AO120" s="167">
        <v>243.56101180352655</v>
      </c>
      <c r="AP120" s="167">
        <v>243.56101180352655</v>
      </c>
      <c r="AQ120" s="167">
        <v>243.56101180352655</v>
      </c>
      <c r="AR120" s="167">
        <v>243.56101180352655</v>
      </c>
      <c r="AS120" s="167">
        <v>243.56101180352655</v>
      </c>
      <c r="AT120" s="167">
        <v>243.56101180352655</v>
      </c>
      <c r="AU120" s="167">
        <v>243.56101180352655</v>
      </c>
      <c r="AV120" s="167">
        <v>243.56101180352655</v>
      </c>
      <c r="AW120" s="167">
        <v>243.56101180352655</v>
      </c>
      <c r="AX120" s="167">
        <v>243.56101180352655</v>
      </c>
      <c r="AY120" s="167">
        <v>243.56101180352653</v>
      </c>
      <c r="AZ120" s="167">
        <v>243.56101180352655</v>
      </c>
      <c r="BA120" s="167">
        <v>243.56101180352655</v>
      </c>
      <c r="BB120" s="167">
        <v>243.56101180352655</v>
      </c>
      <c r="BC120" s="167">
        <v>243.56101180352653</v>
      </c>
      <c r="BD120" s="167">
        <v>243.56101180352655</v>
      </c>
      <c r="BE120" s="167">
        <v>243.56101180352655</v>
      </c>
      <c r="BF120" s="167">
        <v>243.56101180352655</v>
      </c>
      <c r="BG120" s="167">
        <v>243.56101180352655</v>
      </c>
    </row>
    <row r="122" spans="1:158" x14ac:dyDescent="0.2">
      <c r="C122" s="121" t="s">
        <v>258</v>
      </c>
    </row>
    <row r="123" spans="1:158" s="81" customFormat="1" x14ac:dyDescent="0.2">
      <c r="B123" s="101"/>
      <c r="C123" s="147" t="s">
        <v>259</v>
      </c>
      <c r="G123" s="81" t="s">
        <v>140</v>
      </c>
      <c r="I123"/>
      <c r="J123" s="149">
        <f t="shared" ref="J123:S123" si="209">comision_media</f>
        <v>1.4523824070158727E-2</v>
      </c>
      <c r="K123" s="149">
        <f t="shared" si="209"/>
        <v>1.4523824070158727E-2</v>
      </c>
      <c r="L123" s="149">
        <f t="shared" si="209"/>
        <v>1.4523824070158727E-2</v>
      </c>
      <c r="M123" s="149">
        <f t="shared" si="209"/>
        <v>1.4523824070158727E-2</v>
      </c>
      <c r="N123" s="149">
        <f t="shared" si="209"/>
        <v>1.4523824070158727E-2</v>
      </c>
      <c r="O123" s="149">
        <f t="shared" si="209"/>
        <v>1.4523824070158727E-2</v>
      </c>
      <c r="P123" s="149">
        <f t="shared" si="209"/>
        <v>1.4523824070158727E-2</v>
      </c>
      <c r="Q123" s="149">
        <f t="shared" si="209"/>
        <v>1.4523824070158727E-2</v>
      </c>
      <c r="R123" s="149">
        <f t="shared" si="209"/>
        <v>1.4523824070158727E-2</v>
      </c>
      <c r="S123" s="149">
        <f t="shared" si="209"/>
        <v>1.4523824070158727E-2</v>
      </c>
      <c r="T123" s="149">
        <f t="shared" ref="T123:BA123" si="210">comision_media_2020</f>
        <v>1.4348824070158727E-2</v>
      </c>
      <c r="U123" s="149">
        <f t="shared" si="210"/>
        <v>1.4348824070158727E-2</v>
      </c>
      <c r="V123" s="149">
        <f t="shared" si="210"/>
        <v>1.4348824070158727E-2</v>
      </c>
      <c r="W123" s="149">
        <f t="shared" si="210"/>
        <v>1.4348824070158727E-2</v>
      </c>
      <c r="X123" s="149">
        <f t="shared" si="210"/>
        <v>1.4348824070158727E-2</v>
      </c>
      <c r="Y123" s="149">
        <f t="shared" si="210"/>
        <v>1.4348824070158727E-2</v>
      </c>
      <c r="Z123" s="149">
        <f t="shared" si="210"/>
        <v>1.4348824070158727E-2</v>
      </c>
      <c r="AA123" s="149">
        <f t="shared" si="210"/>
        <v>1.4348824070158727E-2</v>
      </c>
      <c r="AB123" s="149">
        <f t="shared" si="210"/>
        <v>1.4348824070158727E-2</v>
      </c>
      <c r="AC123" s="149">
        <f t="shared" si="210"/>
        <v>1.4348824070158727E-2</v>
      </c>
      <c r="AD123" s="149">
        <f t="shared" si="210"/>
        <v>1.4348824070158727E-2</v>
      </c>
      <c r="AE123" s="149">
        <f t="shared" si="210"/>
        <v>1.4348824070158727E-2</v>
      </c>
      <c r="AF123" s="149">
        <f t="shared" si="210"/>
        <v>1.4348824070158727E-2</v>
      </c>
      <c r="AG123" s="149">
        <f t="shared" si="210"/>
        <v>1.4348824070158727E-2</v>
      </c>
      <c r="AH123" s="149">
        <f t="shared" si="210"/>
        <v>1.4348824070158727E-2</v>
      </c>
      <c r="AI123" s="149">
        <f t="shared" si="210"/>
        <v>1.4348824070158727E-2</v>
      </c>
      <c r="AJ123" s="149">
        <f t="shared" si="210"/>
        <v>1.4348824070158727E-2</v>
      </c>
      <c r="AK123" s="149">
        <f t="shared" si="210"/>
        <v>1.4348824070158727E-2</v>
      </c>
      <c r="AL123" s="149">
        <f t="shared" si="210"/>
        <v>1.4348824070158727E-2</v>
      </c>
      <c r="AM123" s="149">
        <f t="shared" si="210"/>
        <v>1.4348824070158727E-2</v>
      </c>
      <c r="AN123" s="149">
        <f t="shared" si="210"/>
        <v>1.4348824070158727E-2</v>
      </c>
      <c r="AO123" s="149">
        <f t="shared" si="210"/>
        <v>1.4348824070158727E-2</v>
      </c>
      <c r="AP123" s="149">
        <f t="shared" si="210"/>
        <v>1.4348824070158727E-2</v>
      </c>
      <c r="AQ123" s="149">
        <f t="shared" si="210"/>
        <v>1.4348824070158727E-2</v>
      </c>
      <c r="AR123" s="149">
        <f t="shared" si="210"/>
        <v>1.4348824070158727E-2</v>
      </c>
      <c r="AS123" s="149">
        <f t="shared" si="210"/>
        <v>1.4348824070158727E-2</v>
      </c>
      <c r="AT123" s="149">
        <f t="shared" si="210"/>
        <v>1.4348824070158727E-2</v>
      </c>
      <c r="AU123" s="149">
        <f t="shared" si="210"/>
        <v>1.4348824070158727E-2</v>
      </c>
      <c r="AV123" s="149">
        <f t="shared" si="210"/>
        <v>1.4348824070158727E-2</v>
      </c>
      <c r="AW123" s="149">
        <f t="shared" si="210"/>
        <v>1.4348824070158727E-2</v>
      </c>
      <c r="AX123" s="149">
        <f t="shared" si="210"/>
        <v>1.4348824070158727E-2</v>
      </c>
      <c r="AY123" s="149">
        <f t="shared" si="210"/>
        <v>1.4348824070158727E-2</v>
      </c>
      <c r="AZ123" s="149">
        <f t="shared" si="210"/>
        <v>1.4348824070158727E-2</v>
      </c>
      <c r="BA123" s="149">
        <f t="shared" si="210"/>
        <v>1.4348824070158727E-2</v>
      </c>
      <c r="BB123" s="149">
        <f t="shared" ref="BB123:BG123" si="211">comision_media</f>
        <v>1.4523824070158727E-2</v>
      </c>
      <c r="BC123" s="149">
        <f t="shared" si="211"/>
        <v>1.4523824070158727E-2</v>
      </c>
      <c r="BD123" s="149">
        <f t="shared" si="211"/>
        <v>1.4523824070158727E-2</v>
      </c>
      <c r="BE123" s="149">
        <f t="shared" si="211"/>
        <v>1.4523824070158727E-2</v>
      </c>
      <c r="BF123" s="149">
        <f t="shared" si="211"/>
        <v>1.4523824070158727E-2</v>
      </c>
      <c r="BG123" s="149">
        <f t="shared" si="211"/>
        <v>1.4523824070158727E-2</v>
      </c>
    </row>
    <row r="124" spans="1:158" s="81" customFormat="1" x14ac:dyDescent="0.2">
      <c r="B124" s="101"/>
      <c r="C124" s="147" t="s">
        <v>189</v>
      </c>
      <c r="G124" s="81" t="s">
        <v>139</v>
      </c>
      <c r="I124"/>
      <c r="J124" s="114">
        <f>J120*J123</f>
        <v>4.8391058776823481</v>
      </c>
      <c r="K124" s="114">
        <f t="shared" ref="K124:Q124" si="212">K120*K123</f>
        <v>4.6495092155231239</v>
      </c>
      <c r="L124" s="114">
        <f t="shared" si="212"/>
        <v>4.4932261499818384</v>
      </c>
      <c r="M124" s="114">
        <f t="shared" si="212"/>
        <v>4.3090253130439793</v>
      </c>
      <c r="N124" s="114">
        <f t="shared" si="212"/>
        <v>4.2797086738851107</v>
      </c>
      <c r="O124" s="114">
        <f t="shared" si="212"/>
        <v>3.5488181388979156</v>
      </c>
      <c r="P124" s="114">
        <f t="shared" si="212"/>
        <v>3.545019916628612</v>
      </c>
      <c r="Q124" s="114">
        <f t="shared" si="212"/>
        <v>3.5419845909364036</v>
      </c>
      <c r="R124" s="114">
        <f t="shared" ref="R124:BG124" si="213">R120*R123</f>
        <v>3.5397100458527833</v>
      </c>
      <c r="S124" s="114">
        <f t="shared" si="213"/>
        <v>3.5381946562220024</v>
      </c>
      <c r="T124" s="114">
        <f t="shared" si="213"/>
        <v>3.4948141087186553</v>
      </c>
      <c r="U124" s="114">
        <f t="shared" si="213"/>
        <v>3.4948141087186566</v>
      </c>
      <c r="V124" s="114">
        <f t="shared" si="213"/>
        <v>3.4948141087186553</v>
      </c>
      <c r="W124" s="114">
        <f t="shared" si="213"/>
        <v>3.4948141087186553</v>
      </c>
      <c r="X124" s="114">
        <f t="shared" si="213"/>
        <v>3.4948141087186553</v>
      </c>
      <c r="Y124" s="114">
        <f t="shared" si="213"/>
        <v>3.4948141087186566</v>
      </c>
      <c r="Z124" s="114">
        <f t="shared" si="213"/>
        <v>3.4948141087186557</v>
      </c>
      <c r="AA124" s="114">
        <f t="shared" si="213"/>
        <v>3.4948141087186557</v>
      </c>
      <c r="AB124" s="114">
        <f t="shared" si="213"/>
        <v>3.4948141087186557</v>
      </c>
      <c r="AC124" s="114">
        <f t="shared" si="213"/>
        <v>3.4948141087186557</v>
      </c>
      <c r="AD124" s="114">
        <f t="shared" si="213"/>
        <v>3.4948141087186557</v>
      </c>
      <c r="AE124" s="114">
        <f t="shared" si="213"/>
        <v>3.4948141087186557</v>
      </c>
      <c r="AF124" s="114">
        <f t="shared" si="213"/>
        <v>3.4948141087186557</v>
      </c>
      <c r="AG124" s="114">
        <f t="shared" si="213"/>
        <v>3.4948141087186557</v>
      </c>
      <c r="AH124" s="114">
        <f t="shared" si="213"/>
        <v>3.4948141087186557</v>
      </c>
      <c r="AI124" s="114">
        <f t="shared" si="213"/>
        <v>3.4948141087186557</v>
      </c>
      <c r="AJ124" s="114">
        <f t="shared" si="213"/>
        <v>3.4948141087186557</v>
      </c>
      <c r="AK124" s="114">
        <f t="shared" si="213"/>
        <v>3.4948141087186566</v>
      </c>
      <c r="AL124" s="114">
        <f t="shared" si="213"/>
        <v>3.4948141087186557</v>
      </c>
      <c r="AM124" s="114">
        <f t="shared" si="213"/>
        <v>3.4948141087186553</v>
      </c>
      <c r="AN124" s="114">
        <f t="shared" si="213"/>
        <v>3.4948141087186557</v>
      </c>
      <c r="AO124" s="114">
        <f t="shared" si="213"/>
        <v>3.4948141087186557</v>
      </c>
      <c r="AP124" s="114">
        <f t="shared" si="213"/>
        <v>3.4948141087186557</v>
      </c>
      <c r="AQ124" s="114">
        <f t="shared" si="213"/>
        <v>3.4948141087186557</v>
      </c>
      <c r="AR124" s="114">
        <f t="shared" si="213"/>
        <v>3.4948141087186557</v>
      </c>
      <c r="AS124" s="114">
        <f t="shared" si="213"/>
        <v>3.4948141087186557</v>
      </c>
      <c r="AT124" s="114">
        <f t="shared" si="213"/>
        <v>3.4948141087186557</v>
      </c>
      <c r="AU124" s="114">
        <f t="shared" si="213"/>
        <v>3.4948141087186557</v>
      </c>
      <c r="AV124" s="114">
        <f t="shared" si="213"/>
        <v>3.4948141087186557</v>
      </c>
      <c r="AW124" s="114">
        <f t="shared" si="213"/>
        <v>3.4948141087186557</v>
      </c>
      <c r="AX124" s="114">
        <f t="shared" si="213"/>
        <v>3.4948141087186557</v>
      </c>
      <c r="AY124" s="114">
        <f t="shared" si="213"/>
        <v>3.4948141087186553</v>
      </c>
      <c r="AZ124" s="114">
        <f t="shared" si="213"/>
        <v>3.4948141087186557</v>
      </c>
      <c r="BA124" s="114">
        <f t="shared" si="213"/>
        <v>3.4948141087186557</v>
      </c>
      <c r="BB124" s="114">
        <f t="shared" si="213"/>
        <v>3.5374372857842729</v>
      </c>
      <c r="BC124" s="114">
        <f t="shared" si="213"/>
        <v>3.5374372857842724</v>
      </c>
      <c r="BD124" s="114">
        <f t="shared" si="213"/>
        <v>3.5374372857842729</v>
      </c>
      <c r="BE124" s="114">
        <f t="shared" si="213"/>
        <v>3.5374372857842729</v>
      </c>
      <c r="BF124" s="114">
        <f t="shared" si="213"/>
        <v>3.5374372857842729</v>
      </c>
      <c r="BG124" s="114">
        <f t="shared" si="213"/>
        <v>3.5374372857842729</v>
      </c>
    </row>
    <row r="125" spans="1:158" ht="12.75" x14ac:dyDescent="0.2">
      <c r="B125" s="92"/>
    </row>
    <row r="126" spans="1:158" ht="18" x14ac:dyDescent="0.25">
      <c r="A126" s="77">
        <v>4</v>
      </c>
      <c r="B126" s="78" t="s">
        <v>182</v>
      </c>
      <c r="C126" s="79"/>
      <c r="D126" s="79"/>
      <c r="E126" s="79"/>
      <c r="F126" s="82"/>
      <c r="G126" s="82"/>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row>
    <row r="127" spans="1:158" s="81" customFormat="1" ht="12" customHeight="1" x14ac:dyDescent="0.2">
      <c r="A127" s="80"/>
      <c r="B127" s="86"/>
    </row>
    <row r="128" spans="1:158" s="81" customFormat="1" ht="12.75" x14ac:dyDescent="0.2">
      <c r="A128" s="42"/>
      <c r="B128" s="84" t="s">
        <v>177</v>
      </c>
      <c r="C128" s="42"/>
      <c r="D128" s="42"/>
      <c r="E128" s="42"/>
      <c r="F128" s="42"/>
      <c r="G128" s="83" t="s">
        <v>139</v>
      </c>
      <c r="H128" s="42"/>
      <c r="J128" s="114">
        <f t="shared" ref="J128" ca="1" si="214">SUM(J53:J58,J101:J106) + (J113*ROUNDUP(folios_por_recibo/2,0)) + J114 +  (J115*folios_por_recibo) + J107</f>
        <v>3.1288116233804502</v>
      </c>
      <c r="K128" s="114">
        <f t="shared" ref="K128:AP128" ca="1" si="215">SUM(J53:J58,J101:J106) + (J113*ROUNDUP(folios_por_recibo/2,0)) + J114 +  (J115*folios_por_recibo) + J107</f>
        <v>3.1288116233804502</v>
      </c>
      <c r="L128" s="114">
        <f t="shared" ca="1" si="215"/>
        <v>3.1340194397240104</v>
      </c>
      <c r="M128" s="114">
        <f t="shared" ca="1" si="215"/>
        <v>3.1390723494341022</v>
      </c>
      <c r="N128" s="114">
        <f t="shared" ca="1" si="215"/>
        <v>3.1448920120081536</v>
      </c>
      <c r="O128" s="114">
        <f t="shared" ca="1" si="215"/>
        <v>3.1511103669117366</v>
      </c>
      <c r="P128" s="114">
        <f t="shared" ca="1" si="215"/>
        <v>3.1519831795309705</v>
      </c>
      <c r="Q128" s="114">
        <f t="shared" ca="1" si="215"/>
        <v>3.1549707763468247</v>
      </c>
      <c r="R128" s="114">
        <f t="shared" ca="1" si="215"/>
        <v>3.1639004792868159</v>
      </c>
      <c r="S128" s="114">
        <f t="shared" ca="1" si="215"/>
        <v>3.1988491338942309</v>
      </c>
      <c r="T128" s="114">
        <f t="shared" ca="1" si="215"/>
        <v>3.231268865543901</v>
      </c>
      <c r="U128" s="114">
        <f t="shared" ca="1" si="215"/>
        <v>3.2357461869023472</v>
      </c>
      <c r="V128" s="114">
        <f t="shared" ca="1" si="215"/>
        <v>3.2395244290624894</v>
      </c>
      <c r="W128" s="114">
        <f t="shared" ca="1" si="215"/>
        <v>3.24352701389045</v>
      </c>
      <c r="X128" s="114">
        <f t="shared" ca="1" si="215"/>
        <v>3.2477584517582025</v>
      </c>
      <c r="Y128" s="114">
        <f t="shared" ca="1" si="215"/>
        <v>3.2522234327470421</v>
      </c>
      <c r="Z128" s="114">
        <f t="shared" ca="1" si="215"/>
        <v>3.2569268311508996</v>
      </c>
      <c r="AA128" s="114">
        <f t="shared" ca="1" si="215"/>
        <v>3.2618737101325186</v>
      </c>
      <c r="AB128" s="114">
        <f t="shared" ca="1" si="215"/>
        <v>3.2670693265367201</v>
      </c>
      <c r="AC128" s="114">
        <f t="shared" ca="1" si="215"/>
        <v>3.2725191358651178</v>
      </c>
      <c r="AD128" s="114">
        <f t="shared" ca="1" si="215"/>
        <v>3.2782287974167961</v>
      </c>
      <c r="AE128" s="114">
        <f t="shared" ca="1" si="215"/>
        <v>3.2842041795995858</v>
      </c>
      <c r="AF128" s="114">
        <f t="shared" ca="1" si="215"/>
        <v>3.2904513654167284</v>
      </c>
      <c r="AG128" s="114">
        <f t="shared" ca="1" si="215"/>
        <v>3.2969766581338775</v>
      </c>
      <c r="AH128" s="114">
        <f t="shared" ca="1" si="215"/>
        <v>3.3037865871315226</v>
      </c>
      <c r="AI128" s="114">
        <f t="shared" ca="1" si="215"/>
        <v>3.3108879139480996</v>
      </c>
      <c r="AJ128" s="114">
        <f t="shared" ca="1" si="215"/>
        <v>3.3182876385191959</v>
      </c>
      <c r="AK128" s="114">
        <f t="shared" ca="1" si="215"/>
        <v>3.3259930056184479</v>
      </c>
      <c r="AL128" s="114">
        <f t="shared" ca="1" si="215"/>
        <v>3.3340115115058784</v>
      </c>
      <c r="AM128" s="114">
        <f t="shared" ca="1" si="215"/>
        <v>3.3423509107896292</v>
      </c>
      <c r="AN128" s="114">
        <f t="shared" ca="1" si="215"/>
        <v>3.3510192235071963</v>
      </c>
      <c r="AO128" s="114">
        <f t="shared" ca="1" si="215"/>
        <v>3.3600247424324876</v>
      </c>
      <c r="AP128" s="114">
        <f t="shared" ca="1" si="215"/>
        <v>3.3693760406152116</v>
      </c>
      <c r="AQ128" s="114">
        <f t="shared" ref="AQ128:BG128" ca="1" si="216">SUM(AP53:AP58,AP101:AP106) + (AP113*ROUNDUP(folios_por_recibo/2,0)) + AP114 +  (AP115*folios_por_recibo) + AP107</f>
        <v>3.3790819791592965</v>
      </c>
      <c r="AR128" s="114">
        <f t="shared" ca="1" si="216"/>
        <v>3.3891517152472668</v>
      </c>
      <c r="AS128" s="114">
        <f t="shared" ca="1" si="216"/>
        <v>3.3995947104176878</v>
      </c>
      <c r="AT128" s="114">
        <f t="shared" ca="1" si="216"/>
        <v>3.4104207391030359</v>
      </c>
      <c r="AU128" s="114">
        <f t="shared" ca="1" si="216"/>
        <v>3.4216398974355635</v>
      </c>
      <c r="AV128" s="114">
        <f t="shared" ca="1" si="216"/>
        <v>3.4332626123289529</v>
      </c>
      <c r="AW128" s="114">
        <f t="shared" ca="1" si="216"/>
        <v>3.4452996508438121</v>
      </c>
      <c r="AX128" s="114">
        <f t="shared" ca="1" si="216"/>
        <v>3.4577621298452934</v>
      </c>
      <c r="AY128" s="114">
        <f t="shared" ca="1" si="216"/>
        <v>3.4706615259613698</v>
      </c>
      <c r="AZ128" s="114">
        <f t="shared" ca="1" si="216"/>
        <v>3.4840096858505891</v>
      </c>
      <c r="BA128" s="114">
        <f t="shared" ca="1" si="216"/>
        <v>3.4978188367883529</v>
      </c>
      <c r="BB128" s="114">
        <f t="shared" ca="1" si="216"/>
        <v>3.5121015975810796</v>
      </c>
      <c r="BC128" s="114">
        <f t="shared" ca="1" si="216"/>
        <v>3.5268709898178816</v>
      </c>
      <c r="BD128" s="114">
        <f t="shared" ca="1" si="216"/>
        <v>3.5421404494696751</v>
      </c>
      <c r="BE128" s="114">
        <f t="shared" ca="1" si="216"/>
        <v>3.557923838845952</v>
      </c>
      <c r="BF128" s="114">
        <f t="shared" ca="1" si="216"/>
        <v>3.5742354589197491</v>
      </c>
      <c r="BG128" s="114">
        <f t="shared" ca="1" si="216"/>
        <v>3.5910900620316668</v>
      </c>
      <c r="BH128" s="42"/>
    </row>
    <row r="129" spans="1:60" s="81" customFormat="1" x14ac:dyDescent="0.2">
      <c r="A129" s="42"/>
      <c r="D129" s="42"/>
      <c r="E129" s="42"/>
      <c r="F129" s="42"/>
      <c r="G129" s="42"/>
      <c r="H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ht="12.75" x14ac:dyDescent="0.2">
      <c r="B130" s="84" t="s">
        <v>179</v>
      </c>
      <c r="G130" t="s">
        <v>139</v>
      </c>
      <c r="I130" s="81"/>
      <c r="J130" s="114">
        <f t="shared" ref="J130:Q130" si="217">J116</f>
        <v>2.23</v>
      </c>
      <c r="K130" s="114">
        <f t="shared" si="217"/>
        <v>2.23</v>
      </c>
      <c r="L130" s="114">
        <f t="shared" si="217"/>
        <v>2.23</v>
      </c>
      <c r="M130" s="114">
        <f t="shared" si="217"/>
        <v>2.23</v>
      </c>
      <c r="N130" s="114">
        <f t="shared" si="217"/>
        <v>2.23</v>
      </c>
      <c r="O130" s="114">
        <f t="shared" si="217"/>
        <v>2.23</v>
      </c>
      <c r="P130" s="114">
        <f t="shared" si="217"/>
        <v>2.23</v>
      </c>
      <c r="Q130" s="114">
        <f t="shared" si="217"/>
        <v>2.23</v>
      </c>
      <c r="R130" s="114">
        <f t="shared" ref="R130:BG130" si="218">R116</f>
        <v>2.2523</v>
      </c>
      <c r="S130" s="114">
        <f t="shared" si="218"/>
        <v>2.274823</v>
      </c>
      <c r="T130" s="114">
        <f t="shared" si="218"/>
        <v>2.274823</v>
      </c>
      <c r="U130" s="114">
        <f t="shared" si="218"/>
        <v>2.274823</v>
      </c>
      <c r="V130" s="114">
        <f t="shared" si="218"/>
        <v>2.274823</v>
      </c>
      <c r="W130" s="114">
        <f t="shared" si="218"/>
        <v>2.274823</v>
      </c>
      <c r="X130" s="114">
        <f t="shared" si="218"/>
        <v>2.274823</v>
      </c>
      <c r="Y130" s="114">
        <f t="shared" si="218"/>
        <v>2.274823</v>
      </c>
      <c r="Z130" s="114">
        <f t="shared" si="218"/>
        <v>2.274823</v>
      </c>
      <c r="AA130" s="114">
        <f t="shared" si="218"/>
        <v>2.274823</v>
      </c>
      <c r="AB130" s="114">
        <f t="shared" si="218"/>
        <v>2.274823</v>
      </c>
      <c r="AC130" s="114">
        <f t="shared" si="218"/>
        <v>2.274823</v>
      </c>
      <c r="AD130" s="114">
        <f t="shared" si="218"/>
        <v>2.274823</v>
      </c>
      <c r="AE130" s="114">
        <f t="shared" si="218"/>
        <v>2.274823</v>
      </c>
      <c r="AF130" s="114">
        <f t="shared" si="218"/>
        <v>2.274823</v>
      </c>
      <c r="AG130" s="114">
        <f t="shared" si="218"/>
        <v>2.274823</v>
      </c>
      <c r="AH130" s="114">
        <f t="shared" si="218"/>
        <v>2.274823</v>
      </c>
      <c r="AI130" s="114">
        <f t="shared" si="218"/>
        <v>2.274823</v>
      </c>
      <c r="AJ130" s="114">
        <f t="shared" si="218"/>
        <v>2.274823</v>
      </c>
      <c r="AK130" s="114">
        <f t="shared" si="218"/>
        <v>2.274823</v>
      </c>
      <c r="AL130" s="114">
        <f t="shared" si="218"/>
        <v>2.274823</v>
      </c>
      <c r="AM130" s="114">
        <f t="shared" si="218"/>
        <v>2.274823</v>
      </c>
      <c r="AN130" s="114">
        <f t="shared" si="218"/>
        <v>2.274823</v>
      </c>
      <c r="AO130" s="114">
        <f t="shared" si="218"/>
        <v>2.274823</v>
      </c>
      <c r="AP130" s="114">
        <f t="shared" si="218"/>
        <v>2.274823</v>
      </c>
      <c r="AQ130" s="114">
        <f t="shared" si="218"/>
        <v>2.274823</v>
      </c>
      <c r="AR130" s="114">
        <f t="shared" si="218"/>
        <v>2.274823</v>
      </c>
      <c r="AS130" s="114">
        <f t="shared" si="218"/>
        <v>2.274823</v>
      </c>
      <c r="AT130" s="114">
        <f t="shared" si="218"/>
        <v>2.274823</v>
      </c>
      <c r="AU130" s="114">
        <f t="shared" si="218"/>
        <v>2.274823</v>
      </c>
      <c r="AV130" s="114">
        <f t="shared" si="218"/>
        <v>2.274823</v>
      </c>
      <c r="AW130" s="114">
        <f t="shared" si="218"/>
        <v>2.274823</v>
      </c>
      <c r="AX130" s="114">
        <f t="shared" si="218"/>
        <v>2.274823</v>
      </c>
      <c r="AY130" s="114">
        <f t="shared" si="218"/>
        <v>2.274823</v>
      </c>
      <c r="AZ130" s="114">
        <f t="shared" si="218"/>
        <v>2.274823</v>
      </c>
      <c r="BA130" s="114">
        <f t="shared" si="218"/>
        <v>2.274823</v>
      </c>
      <c r="BB130" s="114">
        <f t="shared" si="218"/>
        <v>2.274823</v>
      </c>
      <c r="BC130" s="114">
        <f t="shared" si="218"/>
        <v>2.274823</v>
      </c>
      <c r="BD130" s="114">
        <f t="shared" si="218"/>
        <v>2.274823</v>
      </c>
      <c r="BE130" s="114">
        <f t="shared" si="218"/>
        <v>2.274823</v>
      </c>
      <c r="BF130" s="114">
        <f t="shared" si="218"/>
        <v>2.274823</v>
      </c>
      <c r="BG130" s="114">
        <f t="shared" si="218"/>
        <v>2.274823</v>
      </c>
    </row>
    <row r="131" spans="1:60" x14ac:dyDescent="0.2">
      <c r="I131" s="81"/>
      <c r="J131" s="81"/>
      <c r="K131" s="81"/>
      <c r="L131" s="81"/>
      <c r="M131" s="81"/>
      <c r="N131" s="81"/>
      <c r="O131" s="81"/>
      <c r="P131" s="81"/>
      <c r="Q131" s="81"/>
    </row>
    <row r="132" spans="1:60" ht="12.75" x14ac:dyDescent="0.2">
      <c r="B132" s="84" t="s">
        <v>178</v>
      </c>
      <c r="G132" t="s">
        <v>139</v>
      </c>
      <c r="I132" s="81"/>
      <c r="J132" s="114">
        <f>(J108*total_tiendas_Telmex + 0*(1-total_tiendas_Telmex))+'Costos anualizados'!J124</f>
        <v>5.7614138314272596</v>
      </c>
      <c r="K132" s="114">
        <f>(K108*total_tiendas_Telmex + 0*(1-total_tiendas_Telmex))+'Costos anualizados'!K124</f>
        <v>5.6070493331010915</v>
      </c>
      <c r="L132" s="114">
        <f>(L108*total_tiendas_Telmex + 0*(1-total_tiendas_Telmex))+'Costos anualizados'!L124</f>
        <v>5.4849504497573394</v>
      </c>
      <c r="M132" s="114">
        <f>(M108*total_tiendas_Telmex + 0*(1-total_tiendas_Telmex))+'Costos anualizados'!M124</f>
        <v>5.3401210675205677</v>
      </c>
      <c r="N132" s="114">
        <f>(N108*total_tiendas_Telmex + 0*(1-total_tiendas_Telmex))+'Costos anualizados'!N124</f>
        <v>5.3528731351443435</v>
      </c>
      <c r="O132" s="114">
        <f>(O108*total_tiendas_Telmex + 0*(1-total_tiendas_Telmex))+'Costos anualizados'!O124</f>
        <v>4.6448410031819707</v>
      </c>
      <c r="P132" s="114">
        <f>(P108*total_tiendas_Telmex + 0*(1-total_tiendas_Telmex))+'Costos anualizados'!P124</f>
        <v>4.6778691491526114</v>
      </c>
      <c r="Q132" s="114">
        <f>(Q108*total_tiendas_Telmex + 0*(1-total_tiendas_Telmex))+'Costos anualizados'!Q124</f>
        <v>4.7515277165022773</v>
      </c>
      <c r="R132" s="114">
        <f>(R108*total_tiendas_Telmex + 0*(1-total_tiendas_Telmex))+'Costos anualizados'!R124</f>
        <v>4.807674104383489</v>
      </c>
      <c r="S132" s="114">
        <f>(S108*total_tiendas_Telmex + 0*(1-total_tiendas_Telmex))+'Costos anualizados'!S124</f>
        <v>4.8452120077554532</v>
      </c>
      <c r="T132" s="114">
        <f>(T108*total_tiendas_Telmex + 0*(1-total_tiendas_Telmex))+'Costos anualizados'!T124</f>
        <v>4.8474463658206242</v>
      </c>
      <c r="U132" s="114">
        <f>(U108*total_tiendas_Telmex + 0*(1-total_tiendas_Telmex))+'Costos anualizados'!U124</f>
        <v>4.8880253335336841</v>
      </c>
      <c r="V132" s="114">
        <f>(V108*total_tiendas_Telmex + 0*(1-total_tiendas_Telmex))+'Costos anualizados'!V124</f>
        <v>4.9298216702781339</v>
      </c>
      <c r="W132" s="114">
        <f>(W108*total_tiendas_Telmex + 0*(1-total_tiendas_Telmex))+'Costos anualizados'!W124</f>
        <v>4.972871897124918</v>
      </c>
      <c r="X132" s="114">
        <f>(X108*total_tiendas_Telmex + 0*(1-total_tiendas_Telmex))+'Costos anualizados'!X124</f>
        <v>5.017213630777106</v>
      </c>
      <c r="Y132" s="114">
        <f>(Y108*total_tiendas_Telmex + 0*(1-total_tiendas_Telmex))+'Costos anualizados'!Y124</f>
        <v>5.0628856164388614</v>
      </c>
      <c r="Z132" s="114">
        <f>(Z108*total_tiendas_Telmex + 0*(1-total_tiendas_Telmex))+'Costos anualizados'!Z124</f>
        <v>5.1099277616704661</v>
      </c>
      <c r="AA132" s="114">
        <f>(AA108*total_tiendas_Telmex + 0*(1-total_tiendas_Telmex))+'Costos anualizados'!AA124</f>
        <v>5.1583811712590206</v>
      </c>
      <c r="AB132" s="114">
        <f>(AB108*total_tiendas_Telmex + 0*(1-total_tiendas_Telmex))+'Costos anualizados'!AB124</f>
        <v>5.2082881831352319</v>
      </c>
      <c r="AC132" s="114">
        <f>(AC108*total_tiendas_Telmex + 0*(1-total_tiendas_Telmex))+'Costos anualizados'!AC124</f>
        <v>5.259692405367729</v>
      </c>
      <c r="AD132" s="114">
        <f>(AD108*total_tiendas_Telmex + 0*(1-total_tiendas_Telmex))+'Costos anualizados'!AD124</f>
        <v>5.3126387542672013</v>
      </c>
      <c r="AE132" s="114">
        <f>(AE108*total_tiendas_Telmex + 0*(1-total_tiendas_Telmex))+'Costos anualizados'!AE124</f>
        <v>5.3671734936336577</v>
      </c>
      <c r="AF132" s="114">
        <f>(AF108*total_tiendas_Telmex + 0*(1-total_tiendas_Telmex))+'Costos anualizados'!AF124</f>
        <v>5.4233442751811083</v>
      </c>
      <c r="AG132" s="114">
        <f>(AG108*total_tiendas_Telmex + 0*(1-total_tiendas_Telmex))+'Costos anualizados'!AG124</f>
        <v>5.4812001801749819</v>
      </c>
      <c r="AH132" s="114">
        <f>(AH108*total_tiendas_Telmex + 0*(1-total_tiendas_Telmex))+'Costos anualizados'!AH124</f>
        <v>5.5407917623186718</v>
      </c>
      <c r="AI132" s="114">
        <f>(AI108*total_tiendas_Telmex + 0*(1-total_tiendas_Telmex))+'Costos anualizados'!AI124</f>
        <v>5.6021710919266727</v>
      </c>
      <c r="AJ132" s="114">
        <f>(AJ108*total_tiendas_Telmex + 0*(1-total_tiendas_Telmex))+'Costos anualizados'!AJ124</f>
        <v>5.6653918014229134</v>
      </c>
      <c r="AK132" s="114">
        <f>(AK108*total_tiendas_Telmex + 0*(1-total_tiendas_Telmex))+'Costos anualizados'!AK124</f>
        <v>5.7305091322040411</v>
      </c>
      <c r="AL132" s="114">
        <f>(AL108*total_tiendas_Telmex + 0*(1-total_tiendas_Telmex))+'Costos anualizados'!AL124</f>
        <v>5.7975799829086014</v>
      </c>
      <c r="AM132" s="114">
        <f>(AM108*total_tiendas_Telmex + 0*(1-total_tiendas_Telmex))+'Costos anualizados'!AM124</f>
        <v>5.8666629591343007</v>
      </c>
      <c r="AN132" s="114">
        <f>(AN108*total_tiendas_Telmex + 0*(1-total_tiendas_Telmex))+'Costos anualizados'!AN124</f>
        <v>5.9378184246467693</v>
      </c>
      <c r="AO132" s="114">
        <f>(AO108*total_tiendas_Telmex + 0*(1-total_tiendas_Telmex))+'Costos anualizados'!AO124</f>
        <v>6.011108554124613</v>
      </c>
      <c r="AP132" s="114">
        <f>(AP108*total_tiendas_Telmex + 0*(1-total_tiendas_Telmex))+'Costos anualizados'!AP124</f>
        <v>6.0865973874867922</v>
      </c>
      <c r="AQ132" s="114">
        <f>(AQ108*total_tiendas_Telmex + 0*(1-total_tiendas_Telmex))+'Costos anualizados'!AQ124</f>
        <v>6.1643508858498368</v>
      </c>
      <c r="AR132" s="114">
        <f>(AR108*total_tiendas_Telmex + 0*(1-total_tiendas_Telmex))+'Costos anualizados'!AR124</f>
        <v>6.2444369891637717</v>
      </c>
      <c r="AS132" s="114">
        <f>(AS108*total_tiendas_Telmex + 0*(1-total_tiendas_Telmex))+'Costos anualizados'!AS124</f>
        <v>6.3269256755771259</v>
      </c>
      <c r="AT132" s="114">
        <f>(AT108*total_tiendas_Telmex + 0*(1-total_tiendas_Telmex))+'Costos anualizados'!AT124</f>
        <v>6.41188902258288</v>
      </c>
      <c r="AU132" s="114">
        <f>(AU108*total_tiendas_Telmex + 0*(1-total_tiendas_Telmex))+'Costos anualizados'!AU124</f>
        <v>6.4994012699988071</v>
      </c>
      <c r="AV132" s="114">
        <f>(AV108*total_tiendas_Telmex + 0*(1-total_tiendas_Telmex))+'Costos anualizados'!AV124</f>
        <v>6.5895388848372125</v>
      </c>
      <c r="AW132" s="114">
        <f>(AW108*total_tiendas_Telmex + 0*(1-total_tiendas_Telmex))+'Costos anualizados'!AW124</f>
        <v>6.6823806281207681</v>
      </c>
      <c r="AX132" s="114">
        <f>(AX108*total_tiendas_Telmex + 0*(1-total_tiendas_Telmex))+'Costos anualizados'!AX124</f>
        <v>6.7780076237028322</v>
      </c>
      <c r="AY132" s="114">
        <f>(AY108*total_tiendas_Telmex + 0*(1-total_tiendas_Telmex))+'Costos anualizados'!AY124</f>
        <v>6.8765034291523577</v>
      </c>
      <c r="AZ132" s="114">
        <f>(AZ108*total_tiendas_Telmex + 0*(1-total_tiendas_Telmex))+'Costos anualizados'!AZ124</f>
        <v>6.9779541087653687</v>
      </c>
      <c r="BA132" s="114">
        <f>(BA108*total_tiendas_Telmex + 0*(1-total_tiendas_Telmex))+'Costos anualizados'!BA124</f>
        <v>7.0824483087667698</v>
      </c>
      <c r="BB132" s="114">
        <f>(BB108*total_tiendas_Telmex + 0*(1-total_tiendas_Telmex))+'Costos anualizados'!BB124</f>
        <v>7.2327005118338299</v>
      </c>
      <c r="BC132" s="114">
        <f>(BC108*total_tiendas_Telmex + 0*(1-total_tiendas_Telmex))+'Costos anualizados'!BC124</f>
        <v>7.3435584086153165</v>
      </c>
      <c r="BD132" s="114">
        <f>(BD108*total_tiendas_Telmex + 0*(1-total_tiendas_Telmex))+'Costos anualizados'!BD124</f>
        <v>7.4577420423002483</v>
      </c>
      <c r="BE132" s="114">
        <f>(BE108*total_tiendas_Telmex + 0*(1-total_tiendas_Telmex))+'Costos anualizados'!BE124</f>
        <v>7.5753511849957285</v>
      </c>
      <c r="BF132" s="114">
        <f>(BF108*total_tiendas_Telmex + 0*(1-total_tiendas_Telmex))+'Costos anualizados'!BF124</f>
        <v>7.6964886019720709</v>
      </c>
      <c r="BG132" s="114">
        <f>(BG108*total_tiendas_Telmex + 0*(1-total_tiendas_Telmex))+'Costos anualizados'!BG124</f>
        <v>7.8212601414577065</v>
      </c>
    </row>
    <row r="133" spans="1:60" x14ac:dyDescent="0.2">
      <c r="I133" s="81"/>
      <c r="J133" s="81"/>
      <c r="K133" s="81"/>
      <c r="L133" s="81"/>
      <c r="M133" s="81"/>
      <c r="N133" s="81"/>
      <c r="O133" s="81"/>
      <c r="P133" s="81"/>
      <c r="Q133" s="81"/>
    </row>
    <row r="134" spans="1:60" x14ac:dyDescent="0.2">
      <c r="B134" s="91" t="s">
        <v>158</v>
      </c>
      <c r="G134" t="s">
        <v>139</v>
      </c>
      <c r="I134" s="81"/>
      <c r="J134" s="116">
        <f t="shared" ref="J134:Q134" ca="1" si="219">J128+J130+J132</f>
        <v>11.120225454807709</v>
      </c>
      <c r="K134" s="116">
        <f t="shared" ca="1" si="219"/>
        <v>10.965860956481542</v>
      </c>
      <c r="L134" s="116">
        <f t="shared" ca="1" si="219"/>
        <v>10.848969889481349</v>
      </c>
      <c r="M134" s="116">
        <f t="shared" ca="1" si="219"/>
        <v>10.709193416954669</v>
      </c>
      <c r="N134" s="116">
        <f t="shared" ca="1" si="219"/>
        <v>10.727765147152496</v>
      </c>
      <c r="O134" s="116">
        <f t="shared" ca="1" si="219"/>
        <v>10.025951370093708</v>
      </c>
      <c r="P134" s="116">
        <f t="shared" ca="1" si="219"/>
        <v>10.059852328683583</v>
      </c>
      <c r="Q134" s="116">
        <f t="shared" ca="1" si="219"/>
        <v>10.136498492849102</v>
      </c>
      <c r="R134" s="116">
        <f t="shared" ref="R134:BG134" ca="1" si="220">R128+R130+R132</f>
        <v>10.223874583670305</v>
      </c>
      <c r="S134" s="116">
        <f t="shared" ca="1" si="220"/>
        <v>10.318884141649685</v>
      </c>
      <c r="T134" s="116">
        <f ca="1">T128+T130+T132</f>
        <v>10.353538231364524</v>
      </c>
      <c r="U134" s="116">
        <f t="shared" ca="1" si="220"/>
        <v>10.398594520436031</v>
      </c>
      <c r="V134" s="116">
        <f t="shared" ca="1" si="220"/>
        <v>10.444169099340623</v>
      </c>
      <c r="W134" s="116">
        <f t="shared" ca="1" si="220"/>
        <v>10.491221911015367</v>
      </c>
      <c r="X134" s="116">
        <f t="shared" ca="1" si="220"/>
        <v>10.53979508253531</v>
      </c>
      <c r="Y134" s="116">
        <f t="shared" ca="1" si="220"/>
        <v>10.589932049185904</v>
      </c>
      <c r="Z134" s="116">
        <f t="shared" ca="1" si="220"/>
        <v>10.641677592821367</v>
      </c>
      <c r="AA134" s="116">
        <f t="shared" ca="1" si="220"/>
        <v>10.695077881391541</v>
      </c>
      <c r="AB134" s="116">
        <f t="shared" ca="1" si="220"/>
        <v>10.750180509671953</v>
      </c>
      <c r="AC134" s="116">
        <f t="shared" ca="1" si="220"/>
        <v>10.807034541232847</v>
      </c>
      <c r="AD134" s="116">
        <f t="shared" ca="1" si="220"/>
        <v>10.865690551683997</v>
      </c>
      <c r="AE134" s="116">
        <f t="shared" ca="1" si="220"/>
        <v>10.926200673233243</v>
      </c>
      <c r="AF134" s="116">
        <f t="shared" ca="1" si="220"/>
        <v>10.988618640597837</v>
      </c>
      <c r="AG134" s="116">
        <f t="shared" ca="1" si="220"/>
        <v>11.05299983830886</v>
      </c>
      <c r="AH134" s="116">
        <f t="shared" ca="1" si="220"/>
        <v>11.119401349450193</v>
      </c>
      <c r="AI134" s="116">
        <f t="shared" ca="1" si="220"/>
        <v>11.187882005874773</v>
      </c>
      <c r="AJ134" s="116">
        <f t="shared" ca="1" si="220"/>
        <v>11.258502439942109</v>
      </c>
      <c r="AK134" s="116">
        <f t="shared" ca="1" si="220"/>
        <v>11.331325137822489</v>
      </c>
      <c r="AL134" s="116">
        <f t="shared" ca="1" si="220"/>
        <v>11.406414494414481</v>
      </c>
      <c r="AM134" s="116">
        <f t="shared" ca="1" si="220"/>
        <v>11.48383686992393</v>
      </c>
      <c r="AN134" s="116">
        <f t="shared" ca="1" si="220"/>
        <v>11.563660648153967</v>
      </c>
      <c r="AO134" s="116">
        <f t="shared" ca="1" si="220"/>
        <v>11.645956296557101</v>
      </c>
      <c r="AP134" s="116">
        <f t="shared" ca="1" si="220"/>
        <v>11.730796428102003</v>
      </c>
      <c r="AQ134" s="116">
        <f t="shared" ca="1" si="220"/>
        <v>11.818255865009133</v>
      </c>
      <c r="AR134" s="116">
        <f t="shared" ca="1" si="220"/>
        <v>11.908411704411039</v>
      </c>
      <c r="AS134" s="116">
        <f t="shared" ca="1" si="220"/>
        <v>12.001343385994813</v>
      </c>
      <c r="AT134" s="116">
        <f t="shared" ca="1" si="220"/>
        <v>12.097132761685916</v>
      </c>
      <c r="AU134" s="116">
        <f t="shared" ca="1" si="220"/>
        <v>12.195864167434371</v>
      </c>
      <c r="AV134" s="116">
        <f t="shared" ca="1" si="220"/>
        <v>12.297624497166165</v>
      </c>
      <c r="AW134" s="116">
        <f t="shared" ca="1" si="220"/>
        <v>12.402503278964581</v>
      </c>
      <c r="AX134" s="116">
        <f t="shared" ca="1" si="220"/>
        <v>12.510592753548126</v>
      </c>
      <c r="AY134" s="116">
        <f t="shared" ca="1" si="220"/>
        <v>12.621987955113728</v>
      </c>
      <c r="AZ134" s="116">
        <f t="shared" ca="1" si="220"/>
        <v>12.736786794615957</v>
      </c>
      <c r="BA134" s="116">
        <f t="shared" ca="1" si="220"/>
        <v>12.855090145555122</v>
      </c>
      <c r="BB134" s="116">
        <f t="shared" ca="1" si="220"/>
        <v>13.01962510941491</v>
      </c>
      <c r="BC134" s="116">
        <f t="shared" ca="1" si="220"/>
        <v>13.145252398433197</v>
      </c>
      <c r="BD134" s="116">
        <f t="shared" ca="1" si="220"/>
        <v>13.274705491769923</v>
      </c>
      <c r="BE134" s="116">
        <f t="shared" ca="1" si="220"/>
        <v>13.408098023841681</v>
      </c>
      <c r="BF134" s="116">
        <f t="shared" ca="1" si="220"/>
        <v>13.54554706089182</v>
      </c>
      <c r="BG134" s="116">
        <f t="shared" ca="1" si="220"/>
        <v>13.687173203489372</v>
      </c>
    </row>
    <row r="138" spans="1:60" x14ac:dyDescent="0.2">
      <c r="V138" s="192"/>
    </row>
    <row r="139" spans="1:60" x14ac:dyDescent="0.2">
      <c r="S139" s="190"/>
      <c r="V139" s="192"/>
    </row>
    <row r="140" spans="1:60" x14ac:dyDescent="0.2">
      <c r="S140" s="190"/>
      <c r="V140" s="192"/>
    </row>
    <row r="141" spans="1:60" x14ac:dyDescent="0.2">
      <c r="S141" s="190"/>
      <c r="V141" s="193"/>
    </row>
    <row r="142" spans="1:60" x14ac:dyDescent="0.2">
      <c r="S142" s="190"/>
      <c r="V142" s="193"/>
    </row>
    <row r="143" spans="1:60" x14ac:dyDescent="0.2">
      <c r="S143" s="190"/>
      <c r="V143" s="193"/>
    </row>
    <row r="144" spans="1:60" x14ac:dyDescent="0.2">
      <c r="S144" s="190"/>
      <c r="V144" s="193"/>
    </row>
    <row r="145" spans="19:22" x14ac:dyDescent="0.2">
      <c r="S145" s="190"/>
      <c r="V145" s="193"/>
    </row>
    <row r="146" spans="19:22" x14ac:dyDescent="0.2">
      <c r="V146" s="191"/>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O114:O116 O63:O66 O69:O70 O9:O10 O113 K12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0AB6F1CE501E4BAC4D279A45DF7E88" ma:contentTypeVersion="0" ma:contentTypeDescription="Crear nuevo documento." ma:contentTypeScope="" ma:versionID="868e326f67f1874abd819807f958e9d8">
  <xsd:schema xmlns:xsd="http://www.w3.org/2001/XMLSchema" xmlns:xs="http://www.w3.org/2001/XMLSchema" xmlns:p="http://schemas.microsoft.com/office/2006/metadata/properties" targetNamespace="http://schemas.microsoft.com/office/2006/metadata/properties" ma:root="true" ma:fieldsID="dad187ede1053dd323176c0832b983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46C32E-B872-4923-BA40-ECAA839E4B27}">
  <ds:schemaRefs>
    <ds:schemaRef ds:uri="http://schemas.microsoft.com/sharepoint/v3/contenttype/forms"/>
  </ds:schemaRefs>
</ds:datastoreItem>
</file>

<file path=customXml/itemProps2.xml><?xml version="1.0" encoding="utf-8"?>
<ds:datastoreItem xmlns:ds="http://schemas.openxmlformats.org/officeDocument/2006/customXml" ds:itemID="{71FC20BC-DB7E-4BFE-9909-D2E69179E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4366156-99C0-484E-BE3B-A55CF341AC1B}">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37</vt:i4>
      </vt:variant>
    </vt:vector>
  </HeadingPairs>
  <TitlesOfParts>
    <vt:vector size="43" baseType="lpstr">
      <vt:lpstr>S</vt:lpstr>
      <vt:lpstr>Resultados</vt:lpstr>
      <vt:lpstr>Cálculos --&gt;</vt:lpstr>
      <vt:lpstr>Datos de entrada</vt:lpstr>
      <vt:lpstr>Actividades</vt:lpstr>
      <vt:lpstr>Costos anualizados</vt:lpstr>
      <vt:lpstr>capacidad_billing</vt:lpstr>
      <vt:lpstr>capacidad_CRM</vt:lpstr>
      <vt:lpstr>capacidad_equipo_impresion</vt:lpstr>
      <vt:lpstr>capacidad_equipo_sobreteo</vt:lpstr>
      <vt:lpstr>comision_media</vt:lpstr>
      <vt:lpstr>comision_media_2020</vt:lpstr>
      <vt:lpstr>costo_anual_equipo_impresion</vt:lpstr>
      <vt:lpstr>costo_anual_equipo_sobreteo</vt:lpstr>
      <vt:lpstr>costo_billing</vt:lpstr>
      <vt:lpstr>costo_CRM</vt:lpstr>
      <vt:lpstr>costo_por_copia_color</vt:lpstr>
      <vt:lpstr>costo_por_FTE</vt:lpstr>
      <vt:lpstr>costo_renting_equipo_impresion</vt:lpstr>
      <vt:lpstr>costo_renting_equipo_sobreteo</vt:lpstr>
      <vt:lpstr>costo_tienda_telmex</vt:lpstr>
      <vt:lpstr>discount_rate_divider</vt:lpstr>
      <vt:lpstr>factor_utilizacion_billing</vt:lpstr>
      <vt:lpstr>factor_utilizacion_CRM</vt:lpstr>
      <vt:lpstr>factor_utilizacion_equipo_impresion</vt:lpstr>
      <vt:lpstr>factor_utilizacion_equipo_sobreteo</vt:lpstr>
      <vt:lpstr>folios_por_recibo</vt:lpstr>
      <vt:lpstr>franqueo</vt:lpstr>
      <vt:lpstr>FTE_por_equipo</vt:lpstr>
      <vt:lpstr>opex_billing</vt:lpstr>
      <vt:lpstr>opex_CRM</vt:lpstr>
      <vt:lpstr>precio.folio</vt:lpstr>
      <vt:lpstr>precio.sobre</vt:lpstr>
      <vt:lpstr>promedio_usuarios_fijos</vt:lpstr>
      <vt:lpstr>recibo_promedio</vt:lpstr>
      <vt:lpstr>recibos_ano</vt:lpstr>
      <vt:lpstr>tiempo_cobranza</vt:lpstr>
      <vt:lpstr>tiendas_telmex</vt:lpstr>
      <vt:lpstr>total_tiendas_Telmex</vt:lpstr>
      <vt:lpstr>vida_billing</vt:lpstr>
      <vt:lpstr>vida_CRM</vt:lpstr>
      <vt:lpstr>vida_equipo_impresion</vt:lpstr>
      <vt:lpstr>vida_equipo_sobreteo</vt:lpstr>
    </vt:vector>
  </TitlesOfParts>
  <Manager>-</Manager>
  <Company>Analysys Mason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Analysys Mason workbook</dc:title>
  <dc:subject>-</dc:subject>
  <dc:creator>Carlos Lezama</dc:creator>
  <cp:lastModifiedBy>Usuario de Windows</cp:lastModifiedBy>
  <cp:lastPrinted>2017-04-10T10:57:26Z</cp:lastPrinted>
  <dcterms:created xsi:type="dcterms:W3CDTF">1997-01-23T15:12:23Z</dcterms:created>
  <dcterms:modified xsi:type="dcterms:W3CDTF">2019-11-01T18:23:21Z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0x0101006F0AB6F1CE501E4BAC4D279A45DF7E88</vt:lpwstr>
  </property>
</Properties>
</file>