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D:\Users\veronica.gomez\Desktop\Modelos Costos\"/>
    </mc:Choice>
  </mc:AlternateContent>
  <bookViews>
    <workbookView xWindow="12180" yWindow="105" windowWidth="4590" windowHeight="5970" activeTab="6"/>
  </bookViews>
  <sheets>
    <sheet name="C" sheetId="50" r:id="rId1"/>
    <sheet name="S" sheetId="47" r:id="rId2"/>
    <sheet name="Resultados" sheetId="53" r:id="rId3"/>
    <sheet name="Cálculos --&gt;" sheetId="57" r:id="rId4"/>
    <sheet name="Datos de entrada" sheetId="49" r:id="rId5"/>
    <sheet name="Actividades" sheetId="51" r:id="rId6"/>
    <sheet name="Costos anualizados" sheetId="52" r:id="rId7"/>
  </sheets>
  <externalReferences>
    <externalReference r:id="rId8"/>
  </externalReferences>
  <definedNames>
    <definedName name="_AMO_UniqueIdentifier" hidden="1">"'0c55d040-07ac-4550-be75-6bb1aa348f13'"</definedName>
    <definedName name="_Fill" localSheetId="3" hidden="1">#REF!</definedName>
    <definedName name="_Fill" hidden="1">#REF!</definedName>
    <definedName name="_Key1" localSheetId="3" hidden="1">#REF!</definedName>
    <definedName name="_Key1" hidden="1">#REF!</definedName>
    <definedName name="_Key2" localSheetId="3" hidden="1">#REF!</definedName>
    <definedName name="_Key2" hidden="1">#REF!</definedName>
    <definedName name="_Order1" hidden="1">255</definedName>
    <definedName name="_Order2" hidden="1">255</definedName>
    <definedName name="_p51" localSheetId="3" hidden="1">{"MG-2002-F1",#N/A,FALSE,"PPU-Telemig";"MG-2002-F2",#N/A,FALSE,"PPU-Telemig";"MG-2002-F3",#N/A,FALSE,"PPU-Telemig";"MG-2002-F4",#N/A,FALSE,"PPU-Telemig";"MG-2003-F1",#N/A,FALSE,"PPU-Telemig";"MG-2004-F1",#N/A,FALSE,"PPU-Telemig"}</definedName>
    <definedName name="_p51" hidden="1">{"MG-2002-F1",#N/A,FALSE,"PPU-Telemig";"MG-2002-F2",#N/A,FALSE,"PPU-Telemig";"MG-2002-F3",#N/A,FALSE,"PPU-Telemig";"MG-2002-F4",#N/A,FALSE,"PPU-Telemig";"MG-2003-F1",#N/A,FALSE,"PPU-Telemig";"MG-2004-F1",#N/A,FALSE,"PPU-Telemig"}</definedName>
    <definedName name="_Regression_Int" hidden="1">1</definedName>
    <definedName name="_Sort" localSheetId="3" hidden="1">'[1]SOPOCTprod-pagos99'!#REF!</definedName>
    <definedName name="_Sort" hidden="1">'[1]SOPOCTprod-pagos99'!#REF!</definedName>
    <definedName name="a" hidden="1">#REF!</definedName>
    <definedName name="AccessDatabase" hidden="1">"C:\Mis documentos\Plan99_Ad\CALCULOB2.mdb"</definedName>
    <definedName name="anscount" hidden="1">1</definedName>
    <definedName name="ARE" localSheetId="3" hidden="1">{"MG-2002-F1",#N/A,FALSE,"PPU-Telemig";"MG-2002-F2",#N/A,FALSE,"PPU-Telemig";"MG-2002-F3",#N/A,FALSE,"PPU-Telemig";"MG-2002-F4",#N/A,FALSE,"PPU-Telemig";"MG-2003-F1",#N/A,FALSE,"PPU-Telemig";"MG-2004-F1",#N/A,FALSE,"PPU-Telemig"}</definedName>
    <definedName name="ARE" hidden="1">{"MG-2002-F1",#N/A,FALSE,"PPU-Telemig";"MG-2002-F2",#N/A,FALSE,"PPU-Telemig";"MG-2002-F3",#N/A,FALSE,"PPU-Telemig";"MG-2002-F4",#N/A,FALSE,"PPU-Telemig";"MG-2003-F1",#N/A,FALSE,"PPU-Telemig";"MG-2004-F1",#N/A,FALSE,"PPU-Telemig"}</definedName>
    <definedName name="AS2DocOpenMode" hidden="1">"AS2DocumentEdit"</definedName>
    <definedName name="AS2ReportLS" hidden="1">1</definedName>
    <definedName name="AS2SyncStepLS" hidden="1">0</definedName>
    <definedName name="AS2TickmarkLS" localSheetId="3" hidden="1">#REF!</definedName>
    <definedName name="AS2TickmarkLS" hidden="1">#REF!</definedName>
    <definedName name="AS2VersionLS" hidden="1">300</definedName>
    <definedName name="ASFDA" localSheetId="3" hidden="1">{"MG-2002-F1",#N/A,FALSE,"PPU-Telemig";"MG-2002-F2",#N/A,FALSE,"PPU-Telemig";"MG-2002-F3",#N/A,FALSE,"PPU-Telemig";"MG-2002-F4",#N/A,FALSE,"PPU-Telemig";"MG-2003-F1",#N/A,FALSE,"PPU-Telemig";"MG-2004-F1",#N/A,FALSE,"PPU-Telemig"}</definedName>
    <definedName name="ASFDA" hidden="1">{"MG-2002-F1",#N/A,FALSE,"PPU-Telemig";"MG-2002-F2",#N/A,FALSE,"PPU-Telemig";"MG-2002-F3",#N/A,FALSE,"PPU-Telemig";"MG-2002-F4",#N/A,FALSE,"PPU-Telemig";"MG-2003-F1",#N/A,FALSE,"PPU-Telemig";"MG-2004-F1",#N/A,FALSE,"PPU-Telemig"}</definedName>
    <definedName name="BG_Del" hidden="1">15</definedName>
    <definedName name="BG_Ins" hidden="1">4</definedName>
    <definedName name="BG_Mod" hidden="1">6</definedName>
    <definedName name="billion">1000000000</definedName>
    <definedName name="bit.conversion">1024</definedName>
    <definedName name="bit.per.byte">8</definedName>
    <definedName name="capacidad_billing">Actividades!$J$8</definedName>
    <definedName name="capacidad_CRM">Actividades!$J$14</definedName>
    <definedName name="capacidad_equipo_impresion">Actividades!$J$53</definedName>
    <definedName name="capacidad_equipo_sobreteo">Actividades!$J$65</definedName>
    <definedName name="cell.pi">2.6</definedName>
    <definedName name="comision_media">Actividades!$H$133</definedName>
    <definedName name="costo_anual_equipo_impresion">Actividades!$H$75</definedName>
    <definedName name="costo_anual_equipo_sobreteo">Actividades!$H$76</definedName>
    <definedName name="costo_billing">Actividades!$H$8</definedName>
    <definedName name="costo_CRM">Actividades!$H$14</definedName>
    <definedName name="costo_por_copia_color">Actividades!$H$57</definedName>
    <definedName name="costo_por_FTE">Actividades!$H$82</definedName>
    <definedName name="costo_renting_equipo_impresion">Actividades!$H$54</definedName>
    <definedName name="costo_renting_equipo_sobreteo">Actividades!$H$66</definedName>
    <definedName name="costo_tienda_telmex">Actividades!$H$109</definedName>
    <definedName name="days.per.month">30.42</definedName>
    <definedName name="days.per.year">365</definedName>
    <definedName name="discount_rate_divider">'Datos de entrada'!$J$30:$BG$30</definedName>
    <definedName name="DME_Dirty" hidden="1">"False"</definedName>
    <definedName name="EE" localSheetId="3" hidden="1">{"MG-2002-F1",#N/A,FALSE,"PPU-Telemig";"MG-2002-F2",#N/A,FALSE,"PPU-Telemig";"MG-2002-F3",#N/A,FALSE,"PPU-Telemig";"MG-2002-F4",#N/A,FALSE,"PPU-Telemig";"MG-2003-F1",#N/A,FALSE,"PPU-Telemig";"MG-2004-F1",#N/A,FALSE,"PPU-Telemig"}</definedName>
    <definedName name="EE" hidden="1">{"MG-2002-F1",#N/A,FALSE,"PPU-Telemig";"MG-2002-F2",#N/A,FALSE,"PPU-Telemig";"MG-2002-F3",#N/A,FALSE,"PPU-Telemig";"MG-2002-F4",#N/A,FALSE,"PPU-Telemig";"MG-2003-F1",#N/A,FALSE,"PPU-Telemig";"MG-2004-F1",#N/A,FALSE,"PPU-Telemig"}</definedName>
    <definedName name="eee" localSheetId="3" hidden="1">{"MG-2002-F1",#N/A,FALSE,"PPU-Telemig";"MG-2002-F2",#N/A,FALSE,"PPU-Telemig";"MG-2002-F3",#N/A,FALSE,"PPU-Telemig";"MG-2002-F4",#N/A,FALSE,"PPU-Telemig";"MG-2003-F1",#N/A,FALSE,"PPU-Telemig";"MG-2004-F1",#N/A,FALSE,"PPU-Telemig"}</definedName>
    <definedName name="eee" hidden="1">{"MG-2002-F1",#N/A,FALSE,"PPU-Telemig";"MG-2002-F2",#N/A,FALSE,"PPU-Telemig";"MG-2002-F3",#N/A,FALSE,"PPU-Telemig";"MG-2002-F4",#N/A,FALSE,"PPU-Telemig";"MG-2003-F1",#N/A,FALSE,"PPU-Telemig";"MG-2004-F1",#N/A,FALSE,"PPU-Telemig"}</definedName>
    <definedName name="epsilon">0.000001</definedName>
    <definedName name="factor_utilizacion_billing">Actividades!$H$10</definedName>
    <definedName name="factor_utilizacion_CRM">Actividades!$H$16</definedName>
    <definedName name="factor_utilizacion_equipo_impresion">Actividades!$H$61</definedName>
    <definedName name="factor_utilizacion_equipo_sobreteo">Actividades!$H$69</definedName>
    <definedName name="FFF" localSheetId="3" hidden="1">{"MG-2002-F1",#N/A,FALSE,"PPU-Telemig";"MG-2002-F2",#N/A,FALSE,"PPU-Telemig";"MG-2002-F3",#N/A,FALSE,"PPU-Telemig";"MG-2002-F4",#N/A,FALSE,"PPU-Telemig";"MG-2003-F1",#N/A,FALSE,"PPU-Telemig";"MG-2004-F1",#N/A,FALSE,"PPU-Telemig"}</definedName>
    <definedName name="FFF" hidden="1">{"MG-2002-F1",#N/A,FALSE,"PPU-Telemig";"MG-2002-F2",#N/A,FALSE,"PPU-Telemig";"MG-2002-F3",#N/A,FALSE,"PPU-Telemig";"MG-2002-F4",#N/A,FALSE,"PPU-Telemig";"MG-2003-F1",#N/A,FALSE,"PPU-Telemig";"MG-2004-F1",#N/A,FALSE,"PPU-Telemig"}</definedName>
    <definedName name="folios_por_recibo">Actividades!$H$84</definedName>
    <definedName name="franqueo">Actividades!$H$21</definedName>
    <definedName name="FSA" localSheetId="3" hidden="1">{"MG-2002-F1",#N/A,FALSE,"PPU-Telemig";"MG-2002-F2",#N/A,FALSE,"PPU-Telemig";"MG-2002-F3",#N/A,FALSE,"PPU-Telemig";"MG-2002-F4",#N/A,FALSE,"PPU-Telemig";"MG-2003-F1",#N/A,FALSE,"PPU-Telemig";"MG-2004-F1",#N/A,FALSE,"PPU-Telemig"}</definedName>
    <definedName name="FSA" hidden="1">{"MG-2002-F1",#N/A,FALSE,"PPU-Telemig";"MG-2002-F2",#N/A,FALSE,"PPU-Telemig";"MG-2002-F3",#N/A,FALSE,"PPU-Telemig";"MG-2002-F4",#N/A,FALSE,"PPU-Telemig";"MG-2003-F1",#N/A,FALSE,"PPU-Telemig";"MG-2004-F1",#N/A,FALSE,"PPU-Telemig"}</definedName>
    <definedName name="FTE_por_equipo">Actividades!$H$81</definedName>
    <definedName name="geral" localSheetId="3" hidden="1">{"MG-2002-F1",#N/A,FALSE,"PPU-Telemig";"MG-2002-F2",#N/A,FALSE,"PPU-Telemig";"MG-2002-F3",#N/A,FALSE,"PPU-Telemig";"MG-2002-F4",#N/A,FALSE,"PPU-Telemig";"MG-2003-F1",#N/A,FALSE,"PPU-Telemig";"MG-2004-F1",#N/A,FALSE,"PPU-Telemig"}</definedName>
    <definedName name="geral" hidden="1">{"MG-2002-F1",#N/A,FALSE,"PPU-Telemig";"MG-2002-F2",#N/A,FALSE,"PPU-Telemig";"MG-2002-F3",#N/A,FALSE,"PPU-Telemig";"MG-2002-F4",#N/A,FALSE,"PPU-Telemig";"MG-2003-F1",#N/A,FALSE,"PPU-Telemig";"MG-2004-F1",#N/A,FALSE,"PPU-Telemig"}</definedName>
    <definedName name="Gerente">"a_2"</definedName>
    <definedName name="hours.per.day">24</definedName>
    <definedName name="Líder">"a_3"</definedName>
    <definedName name="million">1000000</definedName>
    <definedName name="minutes.per.hour">60</definedName>
    <definedName name="mmm" localSheetId="3" hidden="1">{"MG-2002-F1",#N/A,FALSE,"PPU-Telemig";"MG-2002-F2",#N/A,FALSE,"PPU-Telemig";"MG-2002-F3",#N/A,FALSE,"PPU-Telemig";"MG-2002-F4",#N/A,FALSE,"PPU-Telemig";"MG-2003-F1",#N/A,FALSE,"PPU-Telemig";"MG-2004-F1",#N/A,FALSE,"PPU-Telemig"}</definedName>
    <definedName name="mmm" hidden="1">{"MG-2002-F1",#N/A,FALSE,"PPU-Telemig";"MG-2002-F2",#N/A,FALSE,"PPU-Telemig";"MG-2002-F3",#N/A,FALSE,"PPU-Telemig";"MG-2002-F4",#N/A,FALSE,"PPU-Telemig";"MG-2003-F1",#N/A,FALSE,"PPU-Telemig";"MG-2004-F1",#N/A,FALSE,"PPU-Telemig"}</definedName>
    <definedName name="monlogo">"Image 69"</definedName>
    <definedName name="months.per.year">12</definedName>
    <definedName name="ÑJÑL" localSheetId="3" hidden="1">Main.SAPF4Help()</definedName>
    <definedName name="ÑJÑL" hidden="1">Main.SAPF4Help()</definedName>
    <definedName name="opex_billing">Actividades!$H$11</definedName>
    <definedName name="opex_CRM">Actividades!$H$17</definedName>
    <definedName name="precio.folio">Actividades!$H$36</definedName>
    <definedName name="precio.sobre">Actividades!$H$48</definedName>
    <definedName name="promedio_usuarios_fijos">'Datos de entrada'!$J$8:$BG$8</definedName>
    <definedName name="recibo_promedio">'Datos de entrada'!$J$12:$BG$12</definedName>
    <definedName name="recibos_ano">Actividades!$F$3</definedName>
    <definedName name="res" localSheetId="3" hidden="1">{"MG-2002-F1",#N/A,FALSE,"PPU-Telemig";"MG-2002-F2",#N/A,FALSE,"PPU-Telemig";"MG-2002-F3",#N/A,FALSE,"PPU-Telemig";"MG-2002-F4",#N/A,FALSE,"PPU-Telemig";"MG-2003-F1",#N/A,FALSE,"PPU-Telemig";"MG-2004-F1",#N/A,FALSE,"PPU-Telemig"}</definedName>
    <definedName name="res" hidden="1">{"MG-2002-F1",#N/A,FALSE,"PPU-Telemig";"MG-2002-F2",#N/A,FALSE,"PPU-Telemig";"MG-2002-F3",#N/A,FALSE,"PPU-Telemig";"MG-2002-F4",#N/A,FALSE,"PPU-Telemig";"MG-2003-F1",#N/A,FALSE,"PPU-Telemig";"MG-2004-F1",#N/A,FALSE,"PPU-Telemig"}</definedName>
    <definedName name="resumen" localSheetId="3" hidden="1">Main.SAPF4Help()</definedName>
    <definedName name="resumen" hidden="1">Main.SAPF4Help()</definedName>
    <definedName name="RR" localSheetId="3" hidden="1">{"MG-2002-F1",#N/A,FALSE,"PPU-Telemig";"MG-2002-F2",#N/A,FALSE,"PPU-Telemig";"MG-2002-F3",#N/A,FALSE,"PPU-Telemig";"MG-2002-F4",#N/A,FALSE,"PPU-Telemig";"MG-2003-F1",#N/A,FALSE,"PPU-Telemig";"MG-2004-F1",#N/A,FALSE,"PPU-Telemig"}</definedName>
    <definedName name="RR" hidden="1">{"MG-2002-F1",#N/A,FALSE,"PPU-Telemig";"MG-2002-F2",#N/A,FALSE,"PPU-Telemig";"MG-2002-F3",#N/A,FALSE,"PPU-Telemig";"MG-2002-F4",#N/A,FALSE,"PPU-Telemig";"MG-2003-F1",#N/A,FALSE,"PPU-Telemig";"MG-2004-F1",#N/A,FALSE,"PPU-Telemig"}</definedName>
    <definedName name="SAP" localSheetId="3" hidden="1">Main.SAPF4Help()</definedName>
    <definedName name="SAP" hidden="1">Main.SAPF4Help()</definedName>
    <definedName name="SAPBEXdnldView" hidden="1">"3UCLXGX5U860E2OHQHIF1OFNZ"</definedName>
    <definedName name="SAPBEXrevision" hidden="1">1</definedName>
    <definedName name="SAPBEXsysID" hidden="1">"BIP"</definedName>
    <definedName name="SAPBEXwbID" hidden="1">"44TPQ9003VV6KHYAEWIYD8BPR"</definedName>
    <definedName name="SAPFuncF4Help" localSheetId="3" hidden="1">Main.SAPF4Help()</definedName>
    <definedName name="SAPFuncF4Help" hidden="1">Main.SAPF4Help()</definedName>
    <definedName name="SAPFuncF5Help" localSheetId="3" hidden="1">Main.SAPF4Help()</definedName>
    <definedName name="SAPFuncF5Help" hidden="1">Main.SAPF4Help()</definedName>
    <definedName name="seconds.per.hour">3600</definedName>
    <definedName name="seconds.per.minute">60</definedName>
    <definedName name="thousand">1000</definedName>
    <definedName name="tiempo_cobranza">Actividades!$H$111</definedName>
    <definedName name="tiendas_telmex">Actividades!$H$110</definedName>
    <definedName name="total_tiendas_Telmex">Actividades!$H$121</definedName>
    <definedName name="vida_billing">Actividades!$H$9</definedName>
    <definedName name="vida_CRM">Actividades!$H$15</definedName>
    <definedName name="vida_equipo_impresion">Actividades!$H$60</definedName>
    <definedName name="vida_equipo_sobreteo">Actividades!$H$68</definedName>
    <definedName name="vtas" localSheetId="3" hidden="1">Main.SAPF4Help()</definedName>
    <definedName name="vtas" hidden="1">Main.SAPF4Help()</definedName>
    <definedName name="we" localSheetId="3" hidden="1">{"MG-2002-F1",#N/A,FALSE,"PPU-Telemig";"MG-2002-F2",#N/A,FALSE,"PPU-Telemig";"MG-2002-F3",#N/A,FALSE,"PPU-Telemig";"MG-2002-F4",#N/A,FALSE,"PPU-Telemig";"MG-2003-F1",#N/A,FALSE,"PPU-Telemig";"MG-2004-F1",#N/A,FALSE,"PPU-Telemig"}</definedName>
    <definedName name="we" hidden="1">{"MG-2002-F1",#N/A,FALSE,"PPU-Telemig";"MG-2002-F2",#N/A,FALSE,"PPU-Telemig";"MG-2002-F3",#N/A,FALSE,"PPU-Telemig";"MG-2002-F4",#N/A,FALSE,"PPU-Telemig";"MG-2003-F1",#N/A,FALSE,"PPU-Telemig";"MG-2004-F1",#N/A,FALSE,"PPU-Telemig"}</definedName>
    <definedName name="Workbook.Author">'C'!#REF!</definedName>
    <definedName name="Workbook.Authors_Email_Address">'C'!#REF!</definedName>
    <definedName name="Workbook.Objective">'C'!$B$6</definedName>
    <definedName name="Workbook.Status">'C'!#REF!</definedName>
    <definedName name="Workbook.Title">'C'!$B$5</definedName>
    <definedName name="wrn.LPU._.MG." localSheetId="3" hidden="1">{"MG-2002-F1",#N/A,FALSE,"PPU-Telemig";"MG-2002-F2",#N/A,FALSE,"PPU-Telemig";"MG-2002-F3",#N/A,FALSE,"PPU-Telemig";"MG-2002-F4",#N/A,FALSE,"PPU-Telemig";"MG-2003-F1",#N/A,FALSE,"PPU-Telemig";"MG-2004-F1",#N/A,FALSE,"PPU-Telemig"}</definedName>
    <definedName name="wrn.LPU._.MG." hidden="1">{"MG-2002-F1",#N/A,FALSE,"PPU-Telemig";"MG-2002-F2",#N/A,FALSE,"PPU-Telemig";"MG-2002-F3",#N/A,FALSE,"PPU-Telemig";"MG-2002-F4",#N/A,FALSE,"PPU-Telemig";"MG-2003-F1",#N/A,FALSE,"PPU-Telemig";"MG-2004-F1",#N/A,FALSE,"PPU-Telemig"}</definedName>
    <definedName name="WW" localSheetId="3" hidden="1">{"MG-2002-F1",#N/A,FALSE,"PPU-Telemig";"MG-2002-F2",#N/A,FALSE,"PPU-Telemig";"MG-2002-F3",#N/A,FALSE,"PPU-Telemig";"MG-2002-F4",#N/A,FALSE,"PPU-Telemig";"MG-2003-F1",#N/A,FALSE,"PPU-Telemig";"MG-2004-F1",#N/A,FALSE,"PPU-Telemig"}</definedName>
    <definedName name="WW" hidden="1">{"MG-2002-F1",#N/A,FALSE,"PPU-Telemig";"MG-2002-F2",#N/A,FALSE,"PPU-Telemig";"MG-2002-F3",#N/A,FALSE,"PPU-Telemig";"MG-2002-F4",#N/A,FALSE,"PPU-Telemig";"MG-2003-F1",#N/A,FALSE,"PPU-Telemig";"MG-2004-F1",#N/A,FALSE,"PPU-Telemig"}</definedName>
    <definedName name="Y" localSheetId="3" hidden="1">Main.SAPF4Help()</definedName>
    <definedName name="Y" hidden="1">Main.SAPF4Help()</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K22" i="49" l="1"/>
  <c r="R113" i="52" l="1"/>
  <c r="R104" i="52"/>
  <c r="K16" i="49" l="1"/>
  <c r="J16" i="49"/>
  <c r="L16" i="49"/>
  <c r="M16" i="49"/>
  <c r="N16" i="49"/>
  <c r="O16" i="49"/>
  <c r="V24" i="49"/>
  <c r="P18" i="49" l="1"/>
  <c r="P16" i="49" l="1"/>
  <c r="P23" i="49" s="1"/>
  <c r="F120" i="51" l="1"/>
  <c r="O28" i="49" l="1"/>
  <c r="O30" i="49"/>
  <c r="O115" i="52" l="1"/>
  <c r="F64" i="52"/>
  <c r="F63" i="52"/>
  <c r="F28" i="52"/>
  <c r="F27" i="52"/>
  <c r="F26" i="52"/>
  <c r="F25" i="52"/>
  <c r="O10" i="52"/>
  <c r="O9" i="52"/>
  <c r="O116" i="52"/>
  <c r="H82" i="51"/>
  <c r="O69" i="52" s="1"/>
  <c r="H121" i="51"/>
  <c r="H119" i="51"/>
  <c r="O81" i="52"/>
  <c r="J78" i="52"/>
  <c r="K78" i="52"/>
  <c r="L78" i="52"/>
  <c r="M78" i="52"/>
  <c r="N78" i="52"/>
  <c r="O78" i="52"/>
  <c r="P78" i="52"/>
  <c r="Q78" i="52"/>
  <c r="R78" i="52"/>
  <c r="S78" i="52"/>
  <c r="T78" i="52"/>
  <c r="U78" i="52"/>
  <c r="V78" i="52"/>
  <c r="W78" i="52"/>
  <c r="X78" i="52"/>
  <c r="Y78" i="52"/>
  <c r="Z78" i="52"/>
  <c r="AA78" i="52"/>
  <c r="AB78" i="52"/>
  <c r="AC78" i="52"/>
  <c r="AD78" i="52"/>
  <c r="AE78" i="52"/>
  <c r="AF78" i="52"/>
  <c r="AG78" i="52"/>
  <c r="AH78" i="52"/>
  <c r="AI78" i="52"/>
  <c r="AJ78" i="52"/>
  <c r="AK78" i="52"/>
  <c r="AL78" i="52"/>
  <c r="AM78" i="52"/>
  <c r="AN78" i="52"/>
  <c r="AO78" i="52"/>
  <c r="AP78" i="52"/>
  <c r="AQ78" i="52"/>
  <c r="AR78" i="52"/>
  <c r="AS78" i="52"/>
  <c r="AT78" i="52"/>
  <c r="AU78" i="52"/>
  <c r="AV78" i="52"/>
  <c r="AW78" i="52"/>
  <c r="AX78" i="52"/>
  <c r="AY78" i="52"/>
  <c r="AZ78" i="52"/>
  <c r="BA78" i="52"/>
  <c r="BB78" i="52"/>
  <c r="BC78" i="52"/>
  <c r="BD78" i="52"/>
  <c r="BE78" i="52"/>
  <c r="BF78" i="52"/>
  <c r="BG78" i="52"/>
  <c r="J79" i="52"/>
  <c r="K79" i="52"/>
  <c r="L79" i="52"/>
  <c r="M79" i="52"/>
  <c r="N79" i="52"/>
  <c r="O79" i="52"/>
  <c r="P79" i="52"/>
  <c r="Q79" i="52"/>
  <c r="R79" i="52"/>
  <c r="S79" i="52"/>
  <c r="T79" i="52"/>
  <c r="U79" i="52"/>
  <c r="V79" i="52"/>
  <c r="W79" i="52"/>
  <c r="X79" i="52"/>
  <c r="Y79" i="52"/>
  <c r="Z79" i="52"/>
  <c r="AA79" i="52"/>
  <c r="AB79" i="52"/>
  <c r="AC79" i="52"/>
  <c r="AD79" i="52"/>
  <c r="AE79" i="52"/>
  <c r="AF79" i="52"/>
  <c r="AG79" i="52"/>
  <c r="AH79" i="52"/>
  <c r="AI79" i="52"/>
  <c r="AJ79" i="52"/>
  <c r="AK79" i="52"/>
  <c r="AL79" i="52"/>
  <c r="AM79" i="52"/>
  <c r="AN79" i="52"/>
  <c r="AO79" i="52"/>
  <c r="AP79" i="52"/>
  <c r="AQ79" i="52"/>
  <c r="AR79" i="52"/>
  <c r="AS79" i="52"/>
  <c r="AT79" i="52"/>
  <c r="AU79" i="52"/>
  <c r="AV79" i="52"/>
  <c r="AW79" i="52"/>
  <c r="AX79" i="52"/>
  <c r="AY79" i="52"/>
  <c r="AZ79" i="52"/>
  <c r="BA79" i="52"/>
  <c r="BB79" i="52"/>
  <c r="BC79" i="52"/>
  <c r="BD79" i="52"/>
  <c r="BE79" i="52"/>
  <c r="BF79" i="52"/>
  <c r="BG79" i="52"/>
  <c r="O70" i="52"/>
  <c r="P72" i="52"/>
  <c r="Q72" i="52" s="1"/>
  <c r="R72" i="52" s="1"/>
  <c r="S72" i="52" s="1"/>
  <c r="N72" i="52"/>
  <c r="M72" i="52" s="1"/>
  <c r="L72" i="52" s="1"/>
  <c r="K72" i="52" s="1"/>
  <c r="J72" i="52" s="1"/>
  <c r="V71" i="52"/>
  <c r="W71" i="52" s="1"/>
  <c r="N69" i="52" l="1"/>
  <c r="N70" i="52"/>
  <c r="K70" i="52"/>
  <c r="R70" i="52"/>
  <c r="S70" i="52"/>
  <c r="L70" i="52"/>
  <c r="O90" i="52"/>
  <c r="P81" i="52"/>
  <c r="N81" i="52"/>
  <c r="Q70" i="52"/>
  <c r="M70" i="52"/>
  <c r="P70" i="52"/>
  <c r="J70" i="52"/>
  <c r="T72" i="52"/>
  <c r="U72" i="52" s="1"/>
  <c r="V72" i="52" s="1"/>
  <c r="W72" i="52" s="1"/>
  <c r="W70" i="52" s="1"/>
  <c r="U70" i="52" l="1"/>
  <c r="T70" i="52"/>
  <c r="V70" i="52"/>
  <c r="M81" i="52"/>
  <c r="N90" i="52"/>
  <c r="P90" i="52"/>
  <c r="Q81" i="52"/>
  <c r="Q90" i="52" l="1"/>
  <c r="R81" i="52"/>
  <c r="M90" i="52"/>
  <c r="L81" i="52"/>
  <c r="S81" i="52" l="1"/>
  <c r="R90" i="52"/>
  <c r="L90" i="52"/>
  <c r="K81" i="52"/>
  <c r="K90" i="52" l="1"/>
  <c r="J81" i="52"/>
  <c r="J90" i="52" s="1"/>
  <c r="S90" i="52"/>
  <c r="T81" i="52"/>
  <c r="T90" i="52" l="1"/>
  <c r="U81" i="52"/>
  <c r="U90" i="52" l="1"/>
  <c r="V81" i="52"/>
  <c r="V90" i="52" l="1"/>
  <c r="W81" i="52"/>
  <c r="W90" i="52" l="1"/>
  <c r="X81" i="52"/>
  <c r="Y81" i="52" l="1"/>
  <c r="Z81" i="52" l="1"/>
  <c r="AA81" i="52" l="1"/>
  <c r="AB81" i="52" l="1"/>
  <c r="AC81" i="52" l="1"/>
  <c r="AD81" i="52" l="1"/>
  <c r="AE81" i="52" l="1"/>
  <c r="AF81" i="52" l="1"/>
  <c r="AG81" i="52" l="1"/>
  <c r="AH81" i="52" l="1"/>
  <c r="AI81" i="52" l="1"/>
  <c r="AJ81" i="52" l="1"/>
  <c r="AK81" i="52" l="1"/>
  <c r="AL81" i="52" l="1"/>
  <c r="AM81" i="52" l="1"/>
  <c r="AN81" i="52" l="1"/>
  <c r="AO81" i="52" l="1"/>
  <c r="AP81" i="52" l="1"/>
  <c r="AQ81" i="52" l="1"/>
  <c r="AR81" i="52" l="1"/>
  <c r="AS81" i="52" l="1"/>
  <c r="AT81" i="52" l="1"/>
  <c r="AU81" i="52" l="1"/>
  <c r="AV81" i="52" l="1"/>
  <c r="AW81" i="52" l="1"/>
  <c r="AX81" i="52" l="1"/>
  <c r="AY81" i="52" l="1"/>
  <c r="AZ81" i="52" l="1"/>
  <c r="BA81" i="52" l="1"/>
  <c r="BB81" i="52" l="1"/>
  <c r="BC81" i="52" l="1"/>
  <c r="BD81" i="52" l="1"/>
  <c r="BE81" i="52" l="1"/>
  <c r="BF81" i="52" l="1"/>
  <c r="BG81" i="52" l="1"/>
  <c r="Z44" i="52" l="1"/>
  <c r="Z43" i="52"/>
  <c r="U43" i="52"/>
  <c r="U44" i="52"/>
  <c r="AO43" i="52"/>
  <c r="AO44" i="52"/>
  <c r="AP44" i="52"/>
  <c r="AP43" i="52"/>
  <c r="AB44" i="52"/>
  <c r="AB43" i="52"/>
  <c r="BF43" i="52"/>
  <c r="BF44" i="52"/>
  <c r="V43" i="52"/>
  <c r="V44" i="52"/>
  <c r="W44" i="52"/>
  <c r="W43" i="52"/>
  <c r="AU44" i="52"/>
  <c r="AU43" i="52"/>
  <c r="AG43" i="52"/>
  <c r="AG44" i="52"/>
  <c r="AD43" i="52"/>
  <c r="AD44" i="52"/>
  <c r="AV44" i="52"/>
  <c r="AV43" i="52"/>
  <c r="AR44" i="52"/>
  <c r="AR43" i="52"/>
  <c r="BB44" i="52"/>
  <c r="BB43" i="52"/>
  <c r="AK43" i="52"/>
  <c r="AK44" i="52"/>
  <c r="BG44" i="52"/>
  <c r="BG43" i="52"/>
  <c r="AS43" i="52"/>
  <c r="AS44" i="52"/>
  <c r="AA44" i="52"/>
  <c r="AA43" i="52"/>
  <c r="AW43" i="52"/>
  <c r="AW44" i="52"/>
  <c r="AI44" i="52"/>
  <c r="AI43" i="52"/>
  <c r="AT43" i="52"/>
  <c r="AT44" i="52"/>
  <c r="AN43" i="52"/>
  <c r="AN44" i="52"/>
  <c r="AZ43" i="52"/>
  <c r="AZ44" i="52"/>
  <c r="AM44" i="52"/>
  <c r="AM43" i="52"/>
  <c r="AH43" i="52"/>
  <c r="AH44" i="52"/>
  <c r="Y43" i="52"/>
  <c r="Y44" i="52"/>
  <c r="AY44" i="52"/>
  <c r="AY43" i="52"/>
  <c r="AX43" i="52"/>
  <c r="AX44" i="52"/>
  <c r="BD44" i="52"/>
  <c r="BD43" i="52"/>
  <c r="BE43" i="52"/>
  <c r="BE44" i="52"/>
  <c r="X44" i="52"/>
  <c r="X43" i="52"/>
  <c r="AQ44" i="52"/>
  <c r="AQ43" i="52"/>
  <c r="BC44" i="52"/>
  <c r="BC43" i="52"/>
  <c r="AL43" i="52"/>
  <c r="AL44" i="52"/>
  <c r="AJ44" i="52"/>
  <c r="AJ43" i="52"/>
  <c r="AC43" i="52"/>
  <c r="AC44" i="52"/>
  <c r="AE44" i="52"/>
  <c r="AE43" i="52"/>
  <c r="AF44" i="52"/>
  <c r="AF43" i="52"/>
  <c r="BA43" i="52"/>
  <c r="BA44" i="52"/>
  <c r="T44" i="52"/>
  <c r="T43" i="52"/>
  <c r="Q43" i="52" l="1"/>
  <c r="Q96" i="52" s="1"/>
  <c r="Q44" i="52"/>
  <c r="Q97" i="52" s="1"/>
  <c r="Q99" i="52" s="1"/>
  <c r="P44" i="52"/>
  <c r="P97" i="52" s="1"/>
  <c r="P99" i="52" s="1"/>
  <c r="P43" i="52"/>
  <c r="P96" i="52" s="1"/>
  <c r="R43" i="52"/>
  <c r="R44" i="52"/>
  <c r="S44" i="52" l="1"/>
  <c r="S43" i="52"/>
  <c r="N16" i="52"/>
  <c r="J15" i="52"/>
  <c r="K15" i="52" s="1"/>
  <c r="L15" i="52" s="1"/>
  <c r="M15" i="52" s="1"/>
  <c r="N15" i="52" s="1"/>
  <c r="P15" i="52"/>
  <c r="Q15" i="52" s="1"/>
  <c r="R15" i="52" s="1"/>
  <c r="S15" i="52" s="1"/>
  <c r="T15" i="52" s="1"/>
  <c r="U15" i="52" s="1"/>
  <c r="V15" i="52" s="1"/>
  <c r="W15" i="52" s="1"/>
  <c r="X15" i="52" s="1"/>
  <c r="Y15" i="52" s="1"/>
  <c r="Z15" i="52" s="1"/>
  <c r="AA15" i="52" s="1"/>
  <c r="AB15" i="52" s="1"/>
  <c r="AC15" i="52" s="1"/>
  <c r="AD15" i="52" s="1"/>
  <c r="AE15" i="52" s="1"/>
  <c r="AF15" i="52" s="1"/>
  <c r="AG15" i="52" s="1"/>
  <c r="AH15" i="52" s="1"/>
  <c r="AI15" i="52" s="1"/>
  <c r="AJ15" i="52" s="1"/>
  <c r="AK15" i="52" s="1"/>
  <c r="AL15" i="52" s="1"/>
  <c r="AM15" i="52" s="1"/>
  <c r="AN15" i="52" s="1"/>
  <c r="AO15" i="52" s="1"/>
  <c r="AP15" i="52" s="1"/>
  <c r="AQ15" i="52" s="1"/>
  <c r="AR15" i="52" s="1"/>
  <c r="AS15" i="52" s="1"/>
  <c r="AT15" i="52" s="1"/>
  <c r="AU15" i="52" s="1"/>
  <c r="AV15" i="52" s="1"/>
  <c r="AW15" i="52" s="1"/>
  <c r="AX15" i="52" s="1"/>
  <c r="AY15" i="52" s="1"/>
  <c r="AZ15" i="52" s="1"/>
  <c r="BA15" i="52" s="1"/>
  <c r="BB15" i="52" s="1"/>
  <c r="BC15" i="52" s="1"/>
  <c r="BD15" i="52" s="1"/>
  <c r="BE15" i="52" s="1"/>
  <c r="BF15" i="52" s="1"/>
  <c r="BG15" i="52" s="1"/>
  <c r="O64" i="52"/>
  <c r="O63" i="52"/>
  <c r="O130" i="52"/>
  <c r="S117" i="52"/>
  <c r="T117" i="52" s="1"/>
  <c r="U117" i="52" s="1"/>
  <c r="V117" i="52" s="1"/>
  <c r="W117" i="52" s="1"/>
  <c r="X117" i="52" s="1"/>
  <c r="Y117" i="52" s="1"/>
  <c r="Z117" i="52" s="1"/>
  <c r="AA117" i="52" s="1"/>
  <c r="AB117" i="52" s="1"/>
  <c r="AC117" i="52" s="1"/>
  <c r="AD117" i="52" s="1"/>
  <c r="AE117" i="52" s="1"/>
  <c r="AF117" i="52" s="1"/>
  <c r="AG117" i="52" s="1"/>
  <c r="AH117" i="52" s="1"/>
  <c r="AI117" i="52" s="1"/>
  <c r="AJ117" i="52" s="1"/>
  <c r="AK117" i="52" s="1"/>
  <c r="AL117" i="52" s="1"/>
  <c r="AM117" i="52" s="1"/>
  <c r="AN117" i="52" s="1"/>
  <c r="AO117" i="52" s="1"/>
  <c r="AP117" i="52" s="1"/>
  <c r="AQ117" i="52" s="1"/>
  <c r="AR117" i="52" s="1"/>
  <c r="AS117" i="52" s="1"/>
  <c r="AT117" i="52" s="1"/>
  <c r="AU117" i="52" s="1"/>
  <c r="AV117" i="52" s="1"/>
  <c r="AW117" i="52" s="1"/>
  <c r="AX117" i="52" s="1"/>
  <c r="AY117" i="52" s="1"/>
  <c r="AZ117" i="52" s="1"/>
  <c r="BA117" i="52" s="1"/>
  <c r="BB117" i="52" s="1"/>
  <c r="BC117" i="52" s="1"/>
  <c r="BD117" i="52" s="1"/>
  <c r="BE117" i="52" s="1"/>
  <c r="BF117" i="52" s="1"/>
  <c r="BG117" i="52" s="1"/>
  <c r="N118" i="52"/>
  <c r="N115" i="52" s="1"/>
  <c r="P118" i="52"/>
  <c r="P115" i="52" s="1"/>
  <c r="BC28" i="49"/>
  <c r="BD28" i="49"/>
  <c r="BE28" i="49"/>
  <c r="BF28" i="49"/>
  <c r="BG28" i="49"/>
  <c r="K4" i="52"/>
  <c r="L4" i="52" s="1"/>
  <c r="M4" i="52" s="1"/>
  <c r="N4" i="52" s="1"/>
  <c r="O4" i="52" s="1"/>
  <c r="P4" i="52" s="1"/>
  <c r="Q4" i="52" s="1"/>
  <c r="R4" i="52" s="1"/>
  <c r="S4" i="52" s="1"/>
  <c r="T4" i="52" s="1"/>
  <c r="U4" i="52" s="1"/>
  <c r="V4" i="52" s="1"/>
  <c r="W4" i="52" s="1"/>
  <c r="X4" i="52" s="1"/>
  <c r="Y4" i="52" s="1"/>
  <c r="Z4" i="52" s="1"/>
  <c r="AA4" i="52" s="1"/>
  <c r="AB4" i="52" s="1"/>
  <c r="AC4" i="52" s="1"/>
  <c r="AD4" i="52" s="1"/>
  <c r="AE4" i="52" s="1"/>
  <c r="AF4" i="52" s="1"/>
  <c r="AG4" i="52" s="1"/>
  <c r="AH4" i="52" s="1"/>
  <c r="AI4" i="52" s="1"/>
  <c r="AJ4" i="52" s="1"/>
  <c r="AK4" i="52" s="1"/>
  <c r="AL4" i="52" s="1"/>
  <c r="AM4" i="52" s="1"/>
  <c r="AN4" i="52" s="1"/>
  <c r="AO4" i="52" s="1"/>
  <c r="AP4" i="52" s="1"/>
  <c r="AQ4" i="52" s="1"/>
  <c r="AR4" i="52" s="1"/>
  <c r="AS4" i="52" s="1"/>
  <c r="AT4" i="52" s="1"/>
  <c r="AU4" i="52" s="1"/>
  <c r="AV4" i="52" s="1"/>
  <c r="AW4" i="52" s="1"/>
  <c r="AX4" i="52" s="1"/>
  <c r="AY4" i="52" s="1"/>
  <c r="AZ4" i="52" s="1"/>
  <c r="BA4" i="52" s="1"/>
  <c r="BB4" i="52" s="1"/>
  <c r="BC4" i="52" s="1"/>
  <c r="BD4" i="52" s="1"/>
  <c r="BE4" i="52" s="1"/>
  <c r="BF4" i="52" s="1"/>
  <c r="BG4" i="52" s="1"/>
  <c r="K3" i="52"/>
  <c r="E131" i="51"/>
  <c r="L3" i="52" l="1"/>
  <c r="P63" i="52"/>
  <c r="M63" i="52"/>
  <c r="L63" i="52"/>
  <c r="N63" i="52"/>
  <c r="J63" i="52"/>
  <c r="Q63" i="52"/>
  <c r="K63" i="52"/>
  <c r="W63" i="52"/>
  <c r="U63" i="52"/>
  <c r="S63" i="52"/>
  <c r="T63" i="52"/>
  <c r="V63" i="52"/>
  <c r="R63" i="52"/>
  <c r="M64" i="52"/>
  <c r="N64" i="52"/>
  <c r="P64" i="52"/>
  <c r="T64" i="52"/>
  <c r="L64" i="52"/>
  <c r="Q64" i="52"/>
  <c r="U64" i="52"/>
  <c r="J64" i="52"/>
  <c r="W64" i="52"/>
  <c r="V64" i="52"/>
  <c r="K64" i="52"/>
  <c r="R64" i="52"/>
  <c r="S64" i="52"/>
  <c r="N11" i="52"/>
  <c r="P16" i="52"/>
  <c r="P10" i="52" s="1"/>
  <c r="N9" i="52"/>
  <c r="N10" i="52"/>
  <c r="M16" i="52"/>
  <c r="N12" i="52"/>
  <c r="Q118" i="52"/>
  <c r="N116" i="52"/>
  <c r="N130" i="52" s="1"/>
  <c r="P116" i="52"/>
  <c r="P130" i="52" s="1"/>
  <c r="M118" i="52"/>
  <c r="H75" i="51"/>
  <c r="O65" i="52" s="1"/>
  <c r="J28" i="49"/>
  <c r="K28" i="49"/>
  <c r="L28" i="49"/>
  <c r="L118" i="52" l="1"/>
  <c r="L115" i="52" s="1"/>
  <c r="M115" i="52"/>
  <c r="Q116" i="52"/>
  <c r="Q130" i="52" s="1"/>
  <c r="Q115" i="52"/>
  <c r="R65" i="52"/>
  <c r="P65" i="52"/>
  <c r="Q65" i="52"/>
  <c r="K65" i="52"/>
  <c r="T65" i="52"/>
  <c r="U65" i="52"/>
  <c r="S65" i="52"/>
  <c r="L65" i="52"/>
  <c r="J65" i="52"/>
  <c r="M65" i="52"/>
  <c r="N65" i="52"/>
  <c r="V65" i="52"/>
  <c r="W65" i="52"/>
  <c r="U69" i="52"/>
  <c r="Q69" i="52"/>
  <c r="J69" i="52"/>
  <c r="T69" i="52"/>
  <c r="M69" i="52"/>
  <c r="W69" i="52"/>
  <c r="S69" i="52"/>
  <c r="L69" i="52"/>
  <c r="P69" i="52"/>
  <c r="V69" i="52"/>
  <c r="R69" i="52"/>
  <c r="K69" i="52"/>
  <c r="M10" i="52"/>
  <c r="P51" i="52"/>
  <c r="P50" i="52"/>
  <c r="M3" i="52"/>
  <c r="P11" i="52"/>
  <c r="P12" i="52"/>
  <c r="Q16" i="52"/>
  <c r="M12" i="52"/>
  <c r="L16" i="52"/>
  <c r="M11" i="52"/>
  <c r="P9" i="52"/>
  <c r="M9" i="52"/>
  <c r="M116" i="52"/>
  <c r="M130" i="52" s="1"/>
  <c r="L116" i="52"/>
  <c r="L130" i="52" s="1"/>
  <c r="R118" i="52"/>
  <c r="R115" i="52" s="1"/>
  <c r="K118" i="52" l="1"/>
  <c r="K115" i="52" s="1"/>
  <c r="Q50" i="52"/>
  <c r="Q51" i="52"/>
  <c r="N3" i="52"/>
  <c r="L12" i="52"/>
  <c r="L11" i="52"/>
  <c r="K16" i="52"/>
  <c r="L9" i="52"/>
  <c r="L10" i="52"/>
  <c r="Q12" i="52"/>
  <c r="R16" i="52"/>
  <c r="Q11" i="52"/>
  <c r="Q9" i="52"/>
  <c r="Q10" i="52"/>
  <c r="S118" i="52"/>
  <c r="S115" i="52" s="1"/>
  <c r="R116" i="52"/>
  <c r="J118" i="52"/>
  <c r="J115" i="52" s="1"/>
  <c r="K116" i="52"/>
  <c r="K130" i="52" s="1"/>
  <c r="O3" i="52" l="1"/>
  <c r="R11" i="52"/>
  <c r="R12" i="52"/>
  <c r="S16" i="52"/>
  <c r="R9" i="52"/>
  <c r="R10" i="52"/>
  <c r="J16" i="52"/>
  <c r="K11" i="52"/>
  <c r="K9" i="52"/>
  <c r="K12" i="52"/>
  <c r="K10" i="52"/>
  <c r="J116" i="52"/>
  <c r="J130" i="52" s="1"/>
  <c r="T118" i="52"/>
  <c r="T115" i="52" s="1"/>
  <c r="S116" i="52"/>
  <c r="P3" i="52" l="1"/>
  <c r="J11" i="52"/>
  <c r="J12" i="52"/>
  <c r="J9" i="52"/>
  <c r="J10" i="52"/>
  <c r="S11" i="52"/>
  <c r="S12" i="52"/>
  <c r="T16" i="52"/>
  <c r="S9" i="52"/>
  <c r="S10" i="52"/>
  <c r="U118" i="52"/>
  <c r="U115" i="52" s="1"/>
  <c r="T116" i="52"/>
  <c r="Q3" i="52" l="1"/>
  <c r="T9" i="52"/>
  <c r="T12" i="52"/>
  <c r="T11" i="52"/>
  <c r="U16" i="52"/>
  <c r="T10" i="52"/>
  <c r="V118" i="52"/>
  <c r="V115" i="52" s="1"/>
  <c r="U116" i="52"/>
  <c r="R3" i="52" l="1"/>
  <c r="U11" i="52"/>
  <c r="V16" i="52"/>
  <c r="U12" i="52"/>
  <c r="U9" i="52"/>
  <c r="U10" i="52"/>
  <c r="W118" i="52"/>
  <c r="W115" i="52" s="1"/>
  <c r="V116" i="52"/>
  <c r="S3" i="52" l="1"/>
  <c r="V11" i="52"/>
  <c r="V12" i="52"/>
  <c r="W16" i="52"/>
  <c r="V9" i="52"/>
  <c r="V10" i="52"/>
  <c r="X118" i="52"/>
  <c r="X115" i="52" s="1"/>
  <c r="W116" i="52"/>
  <c r="T3" i="52" l="1"/>
  <c r="W11" i="52"/>
  <c r="W12" i="52"/>
  <c r="X16" i="52"/>
  <c r="W10" i="52"/>
  <c r="W9" i="52"/>
  <c r="Y118" i="52"/>
  <c r="Y115" i="52" s="1"/>
  <c r="X116" i="52"/>
  <c r="U3" i="52" l="1"/>
  <c r="X11" i="52"/>
  <c r="X12" i="52"/>
  <c r="Y16" i="52"/>
  <c r="X10" i="52"/>
  <c r="X9" i="52"/>
  <c r="Z118" i="52"/>
  <c r="Z115" i="52" s="1"/>
  <c r="Y116" i="52"/>
  <c r="V3" i="52" l="1"/>
  <c r="Y12" i="52"/>
  <c r="Z16" i="52"/>
  <c r="Y11" i="52"/>
  <c r="Y9" i="52"/>
  <c r="Y10" i="52"/>
  <c r="AA118" i="52"/>
  <c r="AA115" i="52" s="1"/>
  <c r="Z116" i="52"/>
  <c r="W3" i="52" l="1"/>
  <c r="Z11" i="52"/>
  <c r="Z12" i="52"/>
  <c r="AA16" i="52"/>
  <c r="Z9" i="52"/>
  <c r="Z10" i="52"/>
  <c r="AB118" i="52"/>
  <c r="AB115" i="52" s="1"/>
  <c r="AA116" i="52"/>
  <c r="X3" i="52" l="1"/>
  <c r="AA11" i="52"/>
  <c r="AA12" i="52"/>
  <c r="AB16" i="52"/>
  <c r="AA9" i="52"/>
  <c r="AA10" i="52"/>
  <c r="AC118" i="52"/>
  <c r="AC115" i="52" s="1"/>
  <c r="AB116" i="52"/>
  <c r="Y3" i="52" l="1"/>
  <c r="AB9" i="52"/>
  <c r="AB12" i="52"/>
  <c r="AB11" i="52"/>
  <c r="AC16" i="52"/>
  <c r="AB10" i="52"/>
  <c r="AD118" i="52"/>
  <c r="AD115" i="52" s="1"/>
  <c r="AC116" i="52"/>
  <c r="Z3" i="52" l="1"/>
  <c r="AC11" i="52"/>
  <c r="AD16" i="52"/>
  <c r="AC12" i="52"/>
  <c r="AC10" i="52"/>
  <c r="AC9" i="52"/>
  <c r="AE118" i="52"/>
  <c r="AE115" i="52" s="1"/>
  <c r="AD116" i="52"/>
  <c r="AA3" i="52" l="1"/>
  <c r="AD11" i="52"/>
  <c r="AD12" i="52"/>
  <c r="AE16" i="52"/>
  <c r="AD9" i="52"/>
  <c r="AD10" i="52"/>
  <c r="AF118" i="52"/>
  <c r="AF115" i="52" s="1"/>
  <c r="AE116" i="52"/>
  <c r="AB3" i="52" l="1"/>
  <c r="AE11" i="52"/>
  <c r="AE12" i="52"/>
  <c r="AF16" i="52"/>
  <c r="AE9" i="52"/>
  <c r="AE10" i="52"/>
  <c r="AG118" i="52"/>
  <c r="AG115" i="52" s="1"/>
  <c r="AF116" i="52"/>
  <c r="AC3" i="52" l="1"/>
  <c r="AF11" i="52"/>
  <c r="AF12" i="52"/>
  <c r="AG16" i="52"/>
  <c r="AF10" i="52"/>
  <c r="AF9" i="52"/>
  <c r="AH118" i="52"/>
  <c r="AH115" i="52" s="1"/>
  <c r="AG116" i="52"/>
  <c r="AD3" i="52" l="1"/>
  <c r="AG12" i="52"/>
  <c r="AH16" i="52"/>
  <c r="AG11" i="52"/>
  <c r="AG10" i="52"/>
  <c r="AG9" i="52"/>
  <c r="AI118" i="52"/>
  <c r="AI115" i="52" s="1"/>
  <c r="AH116" i="52"/>
  <c r="AE3" i="52" l="1"/>
  <c r="AH11" i="52"/>
  <c r="AH12" i="52"/>
  <c r="AI16" i="52"/>
  <c r="AH9" i="52"/>
  <c r="AH10" i="52"/>
  <c r="AJ118" i="52"/>
  <c r="AJ115" i="52" s="1"/>
  <c r="AI116" i="52"/>
  <c r="AF3" i="52" l="1"/>
  <c r="AI11" i="52"/>
  <c r="AI12" i="52"/>
  <c r="AJ16" i="52"/>
  <c r="AI9" i="52"/>
  <c r="AI10" i="52"/>
  <c r="AK118" i="52"/>
  <c r="AK115" i="52" s="1"/>
  <c r="AJ116" i="52"/>
  <c r="AG3" i="52" l="1"/>
  <c r="AJ9" i="52"/>
  <c r="AJ12" i="52"/>
  <c r="AJ11" i="52"/>
  <c r="AK16" i="52"/>
  <c r="AJ10" i="52"/>
  <c r="AL118" i="52"/>
  <c r="AL115" i="52" s="1"/>
  <c r="AK116" i="52"/>
  <c r="AH3" i="52" l="1"/>
  <c r="AK11" i="52"/>
  <c r="AL16" i="52"/>
  <c r="AK12" i="52"/>
  <c r="AK9" i="52"/>
  <c r="AK10" i="52"/>
  <c r="AM118" i="52"/>
  <c r="AM115" i="52" s="1"/>
  <c r="AL116" i="52"/>
  <c r="AI3" i="52" l="1"/>
  <c r="AL11" i="52"/>
  <c r="AL12" i="52"/>
  <c r="AM16" i="52"/>
  <c r="AL9" i="52"/>
  <c r="AL10" i="52"/>
  <c r="AN118" i="52"/>
  <c r="AN115" i="52" s="1"/>
  <c r="AM116" i="52"/>
  <c r="AJ3" i="52" l="1"/>
  <c r="AM11" i="52"/>
  <c r="AM12" i="52"/>
  <c r="AN16" i="52"/>
  <c r="AM10" i="52"/>
  <c r="AM9" i="52"/>
  <c r="AO118" i="52"/>
  <c r="AO115" i="52" s="1"/>
  <c r="AN116" i="52"/>
  <c r="AK3" i="52" l="1"/>
  <c r="AN11" i="52"/>
  <c r="AN12" i="52"/>
  <c r="AO16" i="52"/>
  <c r="AN9" i="52"/>
  <c r="AN10" i="52"/>
  <c r="AP118" i="52"/>
  <c r="AP115" i="52" s="1"/>
  <c r="AO116" i="52"/>
  <c r="AL3" i="52" l="1"/>
  <c r="AO12" i="52"/>
  <c r="AP16" i="52"/>
  <c r="AO11" i="52"/>
  <c r="AO10" i="52"/>
  <c r="AO9" i="52"/>
  <c r="AQ118" i="52"/>
  <c r="AQ115" i="52" s="1"/>
  <c r="AP116" i="52"/>
  <c r="AM3" i="52" l="1"/>
  <c r="AP11" i="52"/>
  <c r="AP12" i="52"/>
  <c r="AQ16" i="52"/>
  <c r="AP9" i="52"/>
  <c r="AP10" i="52"/>
  <c r="AR118" i="52"/>
  <c r="AR115" i="52" s="1"/>
  <c r="AQ116" i="52"/>
  <c r="AN3" i="52" l="1"/>
  <c r="AQ11" i="52"/>
  <c r="AQ12" i="52"/>
  <c r="AR16" i="52"/>
  <c r="AQ9" i="52"/>
  <c r="AQ10" i="52"/>
  <c r="AS118" i="52"/>
  <c r="AS115" i="52" s="1"/>
  <c r="AR116" i="52"/>
  <c r="AO3" i="52" l="1"/>
  <c r="AR9" i="52"/>
  <c r="AR12" i="52"/>
  <c r="AR11" i="52"/>
  <c r="AS16" i="52"/>
  <c r="AR10" i="52"/>
  <c r="AT118" i="52"/>
  <c r="AT115" i="52" s="1"/>
  <c r="AS116" i="52"/>
  <c r="AP3" i="52" l="1"/>
  <c r="AS11" i="52"/>
  <c r="AT16" i="52"/>
  <c r="AS12" i="52"/>
  <c r="AS10" i="52"/>
  <c r="AS9" i="52"/>
  <c r="AU118" i="52"/>
  <c r="AU115" i="52" s="1"/>
  <c r="AT116" i="52"/>
  <c r="AQ3" i="52" l="1"/>
  <c r="AT11" i="52"/>
  <c r="AT12" i="52"/>
  <c r="AU16" i="52"/>
  <c r="AT9" i="52"/>
  <c r="AT10" i="52"/>
  <c r="AV118" i="52"/>
  <c r="AV115" i="52" s="1"/>
  <c r="AU116" i="52"/>
  <c r="AR3" i="52" l="1"/>
  <c r="AU11" i="52"/>
  <c r="AU12" i="52"/>
  <c r="AV16" i="52"/>
  <c r="AU9" i="52"/>
  <c r="AU10" i="52"/>
  <c r="AW118" i="52"/>
  <c r="AW115" i="52" s="1"/>
  <c r="AV116" i="52"/>
  <c r="AS3" i="52" l="1"/>
  <c r="AV11" i="52"/>
  <c r="AV12" i="52"/>
  <c r="AW16" i="52"/>
  <c r="AV10" i="52"/>
  <c r="AV9" i="52"/>
  <c r="AX118" i="52"/>
  <c r="AX115" i="52" s="1"/>
  <c r="AW116" i="52"/>
  <c r="AT3" i="52" l="1"/>
  <c r="AW12" i="52"/>
  <c r="AX16" i="52"/>
  <c r="AW11" i="52"/>
  <c r="AW9" i="52"/>
  <c r="AW10" i="52"/>
  <c r="AY118" i="52"/>
  <c r="AY115" i="52" s="1"/>
  <c r="AX116" i="52"/>
  <c r="AU3" i="52" l="1"/>
  <c r="AX11" i="52"/>
  <c r="AX12" i="52"/>
  <c r="AY16" i="52"/>
  <c r="AX9" i="52"/>
  <c r="AX10" i="52"/>
  <c r="AZ118" i="52"/>
  <c r="AZ115" i="52" s="1"/>
  <c r="AY116" i="52"/>
  <c r="AV3" i="52" l="1"/>
  <c r="AY11" i="52"/>
  <c r="AY12" i="52"/>
  <c r="AZ16" i="52"/>
  <c r="AY9" i="52"/>
  <c r="AY10" i="52"/>
  <c r="BA118" i="52"/>
  <c r="BA115" i="52" s="1"/>
  <c r="AZ116" i="52"/>
  <c r="AW3" i="52" l="1"/>
  <c r="AZ9" i="52"/>
  <c r="AZ12" i="52"/>
  <c r="AZ11" i="52"/>
  <c r="BA16" i="52"/>
  <c r="AZ10" i="52"/>
  <c r="BB118" i="52"/>
  <c r="BB115" i="52" s="1"/>
  <c r="BA116" i="52"/>
  <c r="AX3" i="52" l="1"/>
  <c r="BA11" i="52"/>
  <c r="BB16" i="52"/>
  <c r="BA12" i="52"/>
  <c r="BA9" i="52"/>
  <c r="BA10" i="52"/>
  <c r="BC118" i="52"/>
  <c r="BC115" i="52" s="1"/>
  <c r="BB116" i="52"/>
  <c r="AY3" i="52" l="1"/>
  <c r="BB11" i="52"/>
  <c r="BB12" i="52"/>
  <c r="BC16" i="52"/>
  <c r="BB9" i="52"/>
  <c r="BB10" i="52"/>
  <c r="BD118" i="52"/>
  <c r="BD115" i="52" s="1"/>
  <c r="BC116" i="52"/>
  <c r="AZ3" i="52" l="1"/>
  <c r="BC11" i="52"/>
  <c r="BC12" i="52"/>
  <c r="BD16" i="52"/>
  <c r="BC10" i="52"/>
  <c r="BC9" i="52"/>
  <c r="BE118" i="52"/>
  <c r="BE115" i="52" s="1"/>
  <c r="BD116" i="52"/>
  <c r="BA3" i="52" l="1"/>
  <c r="BD11" i="52"/>
  <c r="BD12" i="52"/>
  <c r="BE16" i="52"/>
  <c r="BD10" i="52"/>
  <c r="BD9" i="52"/>
  <c r="BF118" i="52"/>
  <c r="BF115" i="52" s="1"/>
  <c r="BE116" i="52"/>
  <c r="BB3" i="52" l="1"/>
  <c r="BE12" i="52"/>
  <c r="BF16" i="52"/>
  <c r="BE11" i="52"/>
  <c r="BE9" i="52"/>
  <c r="BE10" i="52"/>
  <c r="BG118" i="52"/>
  <c r="BG115" i="52" s="1"/>
  <c r="BF116" i="52"/>
  <c r="BC3" i="52" l="1"/>
  <c r="BF11" i="52"/>
  <c r="BF12" i="52"/>
  <c r="BG16" i="52"/>
  <c r="BF9" i="52"/>
  <c r="BF10" i="52"/>
  <c r="BG116" i="52"/>
  <c r="BD3" i="52" l="1"/>
  <c r="BG11" i="52"/>
  <c r="BG12" i="52"/>
  <c r="BG9" i="52"/>
  <c r="BG10" i="52"/>
  <c r="BE3" i="52" l="1"/>
  <c r="BF3" i="52" l="1"/>
  <c r="BG3" i="52" l="1"/>
  <c r="BG30" i="52" l="1"/>
  <c r="BG29" i="52"/>
  <c r="BF29" i="52" l="1"/>
  <c r="BG36" i="52"/>
  <c r="BF30" i="52"/>
  <c r="BG37" i="52"/>
  <c r="BF37" i="52" l="1"/>
  <c r="BE30" i="52"/>
  <c r="BF36" i="52"/>
  <c r="BE29" i="52"/>
  <c r="BE36" i="52" l="1"/>
  <c r="BD29" i="52"/>
  <c r="BE37" i="52"/>
  <c r="BD30" i="52"/>
  <c r="BD37" i="52" l="1"/>
  <c r="BC30" i="52"/>
  <c r="BD36" i="52"/>
  <c r="BC29" i="52"/>
  <c r="BC36" i="52" l="1"/>
  <c r="BB29" i="52"/>
  <c r="BC37" i="52"/>
  <c r="BB30" i="52"/>
  <c r="BB37" i="52" l="1"/>
  <c r="BA30" i="52"/>
  <c r="BB36" i="52"/>
  <c r="BA29" i="52"/>
  <c r="BA36" i="52" l="1"/>
  <c r="AZ29" i="52"/>
  <c r="BA37" i="52"/>
  <c r="AZ30" i="52"/>
  <c r="AZ37" i="52" l="1"/>
  <c r="AY30" i="52"/>
  <c r="AZ36" i="52"/>
  <c r="AY29" i="52"/>
  <c r="AY36" i="52" l="1"/>
  <c r="AX29" i="52"/>
  <c r="AY37" i="52"/>
  <c r="AX30" i="52"/>
  <c r="AX37" i="52" l="1"/>
  <c r="AW30" i="52"/>
  <c r="AX36" i="52"/>
  <c r="AW29" i="52"/>
  <c r="AW36" i="52" l="1"/>
  <c r="AV29" i="52"/>
  <c r="AW37" i="52"/>
  <c r="AV30" i="52"/>
  <c r="AV37" i="52" l="1"/>
  <c r="AU30" i="52"/>
  <c r="AV36" i="52"/>
  <c r="AU29" i="52"/>
  <c r="AU36" i="52" l="1"/>
  <c r="AT29" i="52"/>
  <c r="AU37" i="52"/>
  <c r="AT30" i="52"/>
  <c r="AT37" i="52" l="1"/>
  <c r="AS30" i="52"/>
  <c r="AT36" i="52"/>
  <c r="AS29" i="52"/>
  <c r="AS37" i="52" l="1"/>
  <c r="AR30" i="52"/>
  <c r="AS36" i="52"/>
  <c r="AR29" i="52"/>
  <c r="AR36" i="52" l="1"/>
  <c r="AQ29" i="52"/>
  <c r="AR37" i="52"/>
  <c r="AQ30" i="52"/>
  <c r="AQ37" i="52" l="1"/>
  <c r="AP30" i="52"/>
  <c r="AQ36" i="52"/>
  <c r="AP29" i="52"/>
  <c r="AP36" i="52" l="1"/>
  <c r="AO29" i="52"/>
  <c r="AP37" i="52"/>
  <c r="AO30" i="52"/>
  <c r="AO37" i="52" l="1"/>
  <c r="AN30" i="52"/>
  <c r="AO36" i="52"/>
  <c r="AN29" i="52"/>
  <c r="AN36" i="52" l="1"/>
  <c r="AM29" i="52"/>
  <c r="AN37" i="52"/>
  <c r="AM30" i="52"/>
  <c r="AM37" i="52" l="1"/>
  <c r="AL30" i="52"/>
  <c r="AM36" i="52"/>
  <c r="AL29" i="52"/>
  <c r="AL36" i="52" l="1"/>
  <c r="AK29" i="52"/>
  <c r="AL37" i="52"/>
  <c r="AK30" i="52"/>
  <c r="AK37" i="52" l="1"/>
  <c r="AJ30" i="52"/>
  <c r="AK36" i="52"/>
  <c r="AJ29" i="52"/>
  <c r="AJ36" i="52" l="1"/>
  <c r="AI29" i="52"/>
  <c r="AJ37" i="52"/>
  <c r="AI30" i="52"/>
  <c r="AI37" i="52" l="1"/>
  <c r="AH30" i="52"/>
  <c r="AI36" i="52"/>
  <c r="AH29" i="52"/>
  <c r="AH36" i="52" l="1"/>
  <c r="AG29" i="52"/>
  <c r="AH37" i="52"/>
  <c r="AG30" i="52"/>
  <c r="AG37" i="52" l="1"/>
  <c r="AF30" i="52"/>
  <c r="AG36" i="52"/>
  <c r="AF29" i="52"/>
  <c r="AF36" i="52" l="1"/>
  <c r="AE29" i="52"/>
  <c r="AF37" i="52"/>
  <c r="AE30" i="52"/>
  <c r="AE37" i="52" l="1"/>
  <c r="AD30" i="52"/>
  <c r="AE36" i="52"/>
  <c r="AD29" i="52"/>
  <c r="AD36" i="52" l="1"/>
  <c r="AC29" i="52"/>
  <c r="AD37" i="52"/>
  <c r="AC30" i="52"/>
  <c r="AC37" i="52" l="1"/>
  <c r="AB30" i="52"/>
  <c r="AC36" i="52"/>
  <c r="AB29" i="52"/>
  <c r="AB36" i="52" l="1"/>
  <c r="AA29" i="52"/>
  <c r="AB37" i="52"/>
  <c r="AA30" i="52"/>
  <c r="AA37" i="52" l="1"/>
  <c r="Z30" i="52"/>
  <c r="AA36" i="52"/>
  <c r="Z29" i="52"/>
  <c r="Z36" i="52" l="1"/>
  <c r="Y29" i="52"/>
  <c r="Z37" i="52"/>
  <c r="Y30" i="52"/>
  <c r="Y37" i="52" l="1"/>
  <c r="X30" i="52"/>
  <c r="Y36" i="52"/>
  <c r="X29" i="52"/>
  <c r="X36" i="52" l="1"/>
  <c r="W29" i="52"/>
  <c r="X37" i="52"/>
  <c r="W30" i="52"/>
  <c r="W37" i="52" l="1"/>
  <c r="V30" i="52"/>
  <c r="W36" i="52"/>
  <c r="V29" i="52"/>
  <c r="V36" i="52" l="1"/>
  <c r="U29" i="52"/>
  <c r="V37" i="52"/>
  <c r="U30" i="52"/>
  <c r="U37" i="52" l="1"/>
  <c r="T30" i="52"/>
  <c r="U36" i="52"/>
  <c r="T29" i="52"/>
  <c r="T36" i="52" l="1"/>
  <c r="S29" i="52"/>
  <c r="T37" i="52"/>
  <c r="S30" i="52"/>
  <c r="S37" i="52" l="1"/>
  <c r="R30" i="52"/>
  <c r="S36" i="52"/>
  <c r="R29" i="52"/>
  <c r="R36" i="52" l="1"/>
  <c r="Q29" i="52"/>
  <c r="R37" i="52"/>
  <c r="Q30" i="52"/>
  <c r="Q37" i="52" l="1"/>
  <c r="P30" i="52"/>
  <c r="Q36" i="52"/>
  <c r="P29" i="52"/>
  <c r="P36" i="52" l="1"/>
  <c r="O29" i="52"/>
  <c r="P37" i="52"/>
  <c r="O30" i="52"/>
  <c r="O37" i="52" l="1"/>
  <c r="N30" i="52"/>
  <c r="O36" i="52"/>
  <c r="N29" i="52"/>
  <c r="N36" i="52" l="1"/>
  <c r="M29" i="52"/>
  <c r="N37" i="52"/>
  <c r="M30" i="52"/>
  <c r="M37" i="52" l="1"/>
  <c r="L30" i="52"/>
  <c r="M36" i="52"/>
  <c r="L29" i="52"/>
  <c r="L36" i="52" l="1"/>
  <c r="K29" i="52"/>
  <c r="L37" i="52"/>
  <c r="K30" i="52"/>
  <c r="K37" i="52" l="1"/>
  <c r="J30" i="52"/>
  <c r="J37" i="52" s="1"/>
  <c r="J29" i="52"/>
  <c r="J36" i="52" s="1"/>
  <c r="K36" i="52"/>
  <c r="J18" i="49" l="1"/>
  <c r="J23" i="49" s="1"/>
  <c r="O44" i="52" l="1"/>
  <c r="O43" i="52"/>
  <c r="M43" i="52"/>
  <c r="M44" i="52"/>
  <c r="J41" i="52" l="1" a="1"/>
  <c r="J20" i="52" a="1"/>
  <c r="K20" i="52" s="1"/>
  <c r="J42" i="52" a="1"/>
  <c r="J39" i="52" a="1"/>
  <c r="J39" i="52" s="1"/>
  <c r="J18" i="52" a="1"/>
  <c r="K18" i="52" s="1"/>
  <c r="J40" i="52" a="1"/>
  <c r="L40" i="52" s="1"/>
  <c r="J19" i="52" a="1"/>
  <c r="L42" i="52"/>
  <c r="L41" i="52"/>
  <c r="K41" i="52"/>
  <c r="J41" i="52"/>
  <c r="J42" i="52"/>
  <c r="N41" i="52"/>
  <c r="N42" i="52"/>
  <c r="M97" i="52"/>
  <c r="M99" i="52" s="1"/>
  <c r="M51" i="52"/>
  <c r="N44" i="52"/>
  <c r="N43" i="52"/>
  <c r="M96" i="52"/>
  <c r="M50" i="52"/>
  <c r="O50" i="52"/>
  <c r="O96" i="52"/>
  <c r="J10" i="49"/>
  <c r="J12" i="49" s="1"/>
  <c r="J43" i="52"/>
  <c r="J44" i="52"/>
  <c r="L43" i="52"/>
  <c r="L44" i="52"/>
  <c r="K44" i="52"/>
  <c r="K43" i="52"/>
  <c r="O51" i="52"/>
  <c r="O97" i="52"/>
  <c r="O99" i="52" s="1"/>
  <c r="K4" i="49"/>
  <c r="L4" i="49" s="1"/>
  <c r="M4" i="49" s="1"/>
  <c r="N4" i="49" s="1"/>
  <c r="O4" i="49" s="1"/>
  <c r="P4" i="49" s="1"/>
  <c r="Q4" i="49" s="1"/>
  <c r="R4" i="49" s="1"/>
  <c r="S4" i="49" s="1"/>
  <c r="T4" i="49" s="1"/>
  <c r="U4" i="49" s="1"/>
  <c r="V4" i="49" s="1"/>
  <c r="W4" i="49" s="1"/>
  <c r="X4" i="49" s="1"/>
  <c r="Y4" i="49" s="1"/>
  <c r="Z4" i="49" s="1"/>
  <c r="AA4" i="49" s="1"/>
  <c r="AB4" i="49" s="1"/>
  <c r="AC4" i="49" s="1"/>
  <c r="AD4" i="49" s="1"/>
  <c r="AE4" i="49" s="1"/>
  <c r="AF4" i="49" s="1"/>
  <c r="AG4" i="49" s="1"/>
  <c r="AH4" i="49" s="1"/>
  <c r="AI4" i="49" s="1"/>
  <c r="AJ4" i="49" s="1"/>
  <c r="AK4" i="49" s="1"/>
  <c r="AL4" i="49" s="1"/>
  <c r="AM4" i="49" s="1"/>
  <c r="AN4" i="49" s="1"/>
  <c r="AO4" i="49" s="1"/>
  <c r="AP4" i="49" s="1"/>
  <c r="AQ4" i="49" s="1"/>
  <c r="AR4" i="49" s="1"/>
  <c r="AS4" i="49" s="1"/>
  <c r="AT4" i="49" s="1"/>
  <c r="AU4" i="49" s="1"/>
  <c r="AV4" i="49" s="1"/>
  <c r="AW4" i="49" s="1"/>
  <c r="AX4" i="49" s="1"/>
  <c r="AY4" i="49" s="1"/>
  <c r="AZ4" i="49" s="1"/>
  <c r="BA4" i="49" s="1"/>
  <c r="BB4" i="49" s="1"/>
  <c r="BC4" i="49" s="1"/>
  <c r="BD4" i="49" s="1"/>
  <c r="BE4" i="49" s="1"/>
  <c r="BF4" i="49" s="1"/>
  <c r="BG4" i="49" s="1"/>
  <c r="J66" i="51"/>
  <c r="H66" i="51"/>
  <c r="J65" i="51"/>
  <c r="J21" i="52" s="1" a="1"/>
  <c r="J54" i="51"/>
  <c r="J40" i="52" l="1"/>
  <c r="N40" i="52"/>
  <c r="N20" i="52"/>
  <c r="N18" i="52"/>
  <c r="N74" i="52" s="1"/>
  <c r="N83" i="52" s="1"/>
  <c r="K40" i="52"/>
  <c r="L18" i="52"/>
  <c r="J18" i="52"/>
  <c r="K25" i="52" s="1"/>
  <c r="J20" i="52"/>
  <c r="L20" i="52"/>
  <c r="V19" i="52"/>
  <c r="V75" i="52" s="1"/>
  <c r="V84" i="52" s="1"/>
  <c r="AV19" i="52"/>
  <c r="AV75" i="52" s="1"/>
  <c r="AK19" i="52"/>
  <c r="AK75" i="52" s="1"/>
  <c r="AN19" i="52"/>
  <c r="AN75" i="52" s="1"/>
  <c r="AY19" i="52"/>
  <c r="AY75" i="52" s="1"/>
  <c r="U19" i="52"/>
  <c r="U75" i="52" s="1"/>
  <c r="U84" i="52" s="1"/>
  <c r="AO19" i="52"/>
  <c r="AO75" i="52" s="1"/>
  <c r="AB19" i="52"/>
  <c r="AB75" i="52" s="1"/>
  <c r="AG19" i="52"/>
  <c r="AG75" i="52" s="1"/>
  <c r="AD19" i="52"/>
  <c r="AD75" i="52" s="1"/>
  <c r="AS19" i="52"/>
  <c r="AS75" i="52" s="1"/>
  <c r="AA19" i="52"/>
  <c r="AA75" i="52" s="1"/>
  <c r="AW19" i="52"/>
  <c r="AW75" i="52" s="1"/>
  <c r="AT19" i="52"/>
  <c r="AT75" i="52" s="1"/>
  <c r="AZ19" i="52"/>
  <c r="AZ75" i="52" s="1"/>
  <c r="AH19" i="52"/>
  <c r="AH75" i="52" s="1"/>
  <c r="BE19" i="52"/>
  <c r="BE75" i="52" s="1"/>
  <c r="X19" i="52"/>
  <c r="X75" i="52" s="1"/>
  <c r="BC19" i="52"/>
  <c r="BC75" i="52" s="1"/>
  <c r="BF19" i="52"/>
  <c r="BF75" i="52" s="1"/>
  <c r="AR19" i="52"/>
  <c r="AR75" i="52" s="1"/>
  <c r="BB19" i="52"/>
  <c r="BB75" i="52" s="1"/>
  <c r="AX19" i="52"/>
  <c r="AX75" i="52" s="1"/>
  <c r="AL19" i="52"/>
  <c r="AL75" i="52" s="1"/>
  <c r="AE19" i="52"/>
  <c r="AE75" i="52" s="1"/>
  <c r="Z19" i="52"/>
  <c r="Z75" i="52" s="1"/>
  <c r="AP19" i="52"/>
  <c r="AP75" i="52" s="1"/>
  <c r="W19" i="52"/>
  <c r="W75" i="52" s="1"/>
  <c r="W84" i="52" s="1"/>
  <c r="AU19" i="52"/>
  <c r="AU75" i="52" s="1"/>
  <c r="BG19" i="52"/>
  <c r="BG75" i="52" s="1"/>
  <c r="AI19" i="52"/>
  <c r="AI75" i="52" s="1"/>
  <c r="AM19" i="52"/>
  <c r="AM75" i="52" s="1"/>
  <c r="Y19" i="52"/>
  <c r="Y75" i="52" s="1"/>
  <c r="BD19" i="52"/>
  <c r="BD75" i="52" s="1"/>
  <c r="AJ19" i="52"/>
  <c r="AJ75" i="52" s="1"/>
  <c r="AC19" i="52"/>
  <c r="AC75" i="52" s="1"/>
  <c r="AF19" i="52"/>
  <c r="AF75" i="52" s="1"/>
  <c r="T19" i="52"/>
  <c r="T75" i="52" s="1"/>
  <c r="T84" i="52" s="1"/>
  <c r="AQ19" i="52"/>
  <c r="AQ75" i="52" s="1"/>
  <c r="BA19" i="52"/>
  <c r="BA75" i="52" s="1"/>
  <c r="R19" i="52"/>
  <c r="Q19" i="52"/>
  <c r="P19" i="52"/>
  <c r="S19" i="52"/>
  <c r="M19" i="52"/>
  <c r="M75" i="52" s="1"/>
  <c r="M84" i="52" s="1"/>
  <c r="O19" i="52"/>
  <c r="O75" i="52" s="1"/>
  <c r="O84" i="52" s="1"/>
  <c r="U42" i="52"/>
  <c r="AK42" i="52"/>
  <c r="AZ42" i="52"/>
  <c r="BG42" i="52"/>
  <c r="AO42" i="52"/>
  <c r="AJ42" i="52"/>
  <c r="AE42" i="52"/>
  <c r="AP42" i="52"/>
  <c r="V42" i="52"/>
  <c r="W42" i="52"/>
  <c r="AG42" i="52"/>
  <c r="AD42" i="52"/>
  <c r="Z42" i="52"/>
  <c r="AW42" i="52"/>
  <c r="AN42" i="52"/>
  <c r="AH42" i="52"/>
  <c r="AL42" i="52"/>
  <c r="AC42" i="52"/>
  <c r="AB42" i="52"/>
  <c r="BF42" i="52"/>
  <c r="AU42" i="52"/>
  <c r="AR42" i="52"/>
  <c r="BB42" i="52"/>
  <c r="AT42" i="52"/>
  <c r="AY42" i="52"/>
  <c r="BD42" i="52"/>
  <c r="BC42" i="52"/>
  <c r="BA42" i="52"/>
  <c r="AV42" i="52"/>
  <c r="AA42" i="52"/>
  <c r="AM42" i="52"/>
  <c r="Y42" i="52"/>
  <c r="AX42" i="52"/>
  <c r="BE42" i="52"/>
  <c r="AS42" i="52"/>
  <c r="AI42" i="52"/>
  <c r="X42" i="52"/>
  <c r="AQ42" i="52"/>
  <c r="AF42" i="52"/>
  <c r="T42" i="52"/>
  <c r="P42" i="52"/>
  <c r="R42" i="52"/>
  <c r="Q42" i="52"/>
  <c r="S42" i="52"/>
  <c r="O42" i="52"/>
  <c r="M42" i="52"/>
  <c r="AP39" i="52"/>
  <c r="AB39" i="52"/>
  <c r="AG39" i="52"/>
  <c r="AD39" i="52"/>
  <c r="AI39" i="52"/>
  <c r="AT39" i="52"/>
  <c r="AH39" i="52"/>
  <c r="BE39" i="52"/>
  <c r="AE39" i="52"/>
  <c r="AF39" i="52"/>
  <c r="AO39" i="52"/>
  <c r="BF39" i="52"/>
  <c r="W39" i="52"/>
  <c r="AU39" i="52"/>
  <c r="BB39" i="52"/>
  <c r="BG39" i="52"/>
  <c r="AS39" i="52"/>
  <c r="AN39" i="52"/>
  <c r="AM39" i="52"/>
  <c r="AQ39" i="52"/>
  <c r="AL39" i="52"/>
  <c r="BC39" i="52"/>
  <c r="BA39" i="52"/>
  <c r="Z39" i="52"/>
  <c r="U39" i="52"/>
  <c r="AV39" i="52"/>
  <c r="AA39" i="52"/>
  <c r="AZ39" i="52"/>
  <c r="AY39" i="52"/>
  <c r="BD39" i="52"/>
  <c r="AJ39" i="52"/>
  <c r="V39" i="52"/>
  <c r="AR39" i="52"/>
  <c r="AK39" i="52"/>
  <c r="AW39" i="52"/>
  <c r="Y39" i="52"/>
  <c r="AX39" i="52"/>
  <c r="X39" i="52"/>
  <c r="AC39" i="52"/>
  <c r="T39" i="52"/>
  <c r="Q39" i="52"/>
  <c r="P39" i="52"/>
  <c r="R39" i="52"/>
  <c r="S39" i="52"/>
  <c r="O39" i="52"/>
  <c r="M39" i="52"/>
  <c r="L19" i="52"/>
  <c r="L75" i="52" s="1"/>
  <c r="L84" i="52" s="1"/>
  <c r="J19" i="52"/>
  <c r="AR40" i="52"/>
  <c r="BG40" i="52"/>
  <c r="AS40" i="52"/>
  <c r="AA40" i="52"/>
  <c r="AT40" i="52"/>
  <c r="AZ40" i="52"/>
  <c r="BD40" i="52"/>
  <c r="Z40" i="52"/>
  <c r="AP40" i="52"/>
  <c r="AB40" i="52"/>
  <c r="AD40" i="52"/>
  <c r="AK40" i="52"/>
  <c r="AW40" i="52"/>
  <c r="Y40" i="52"/>
  <c r="AY40" i="52"/>
  <c r="AX40" i="52"/>
  <c r="AF40" i="52"/>
  <c r="AQ40" i="52"/>
  <c r="V40" i="52"/>
  <c r="W40" i="52"/>
  <c r="AU40" i="52"/>
  <c r="AI40" i="52"/>
  <c r="AN40" i="52"/>
  <c r="AH40" i="52"/>
  <c r="AC40" i="52"/>
  <c r="T40" i="52"/>
  <c r="U40" i="52"/>
  <c r="AO40" i="52"/>
  <c r="BF40" i="52"/>
  <c r="AG40" i="52"/>
  <c r="AV40" i="52"/>
  <c r="BB40" i="52"/>
  <c r="AM40" i="52"/>
  <c r="BE40" i="52"/>
  <c r="BC40" i="52"/>
  <c r="AL40" i="52"/>
  <c r="AE40" i="52"/>
  <c r="BA40" i="52"/>
  <c r="X40" i="52"/>
  <c r="AJ40" i="52"/>
  <c r="Q40" i="52"/>
  <c r="P40" i="52"/>
  <c r="R40" i="52"/>
  <c r="S40" i="52"/>
  <c r="O40" i="52"/>
  <c r="M40" i="52"/>
  <c r="AP20" i="52"/>
  <c r="AU20" i="52"/>
  <c r="AR20" i="52"/>
  <c r="Z20" i="52"/>
  <c r="AA20" i="52"/>
  <c r="AN20" i="52"/>
  <c r="AY20" i="52"/>
  <c r="AI20" i="52"/>
  <c r="X20" i="52"/>
  <c r="BC20" i="52"/>
  <c r="AL20" i="52"/>
  <c r="AF20" i="52"/>
  <c r="U20" i="52"/>
  <c r="AV20" i="52"/>
  <c r="AT20" i="52"/>
  <c r="AM20" i="52"/>
  <c r="Y20" i="52"/>
  <c r="BD20" i="52"/>
  <c r="BE20" i="52"/>
  <c r="AO20" i="52"/>
  <c r="AE20" i="52"/>
  <c r="T20" i="52"/>
  <c r="V20" i="52"/>
  <c r="AG20" i="52"/>
  <c r="AD20" i="52"/>
  <c r="AK20" i="52"/>
  <c r="AW20" i="52"/>
  <c r="AZ20" i="52"/>
  <c r="AH20" i="52"/>
  <c r="AX20" i="52"/>
  <c r="AS20" i="52"/>
  <c r="AQ20" i="52"/>
  <c r="AJ20" i="52"/>
  <c r="AB20" i="52"/>
  <c r="BF20" i="52"/>
  <c r="W20" i="52"/>
  <c r="BB20" i="52"/>
  <c r="BG20" i="52"/>
  <c r="AC20" i="52"/>
  <c r="BA20" i="52"/>
  <c r="R20" i="52"/>
  <c r="P20" i="52"/>
  <c r="Q20" i="52"/>
  <c r="S20" i="52"/>
  <c r="M20" i="52"/>
  <c r="O20" i="52"/>
  <c r="K19" i="52"/>
  <c r="K26" i="52" s="1"/>
  <c r="N39" i="52"/>
  <c r="N92" i="52" s="1"/>
  <c r="K39" i="52"/>
  <c r="K92" i="52" s="1"/>
  <c r="L39" i="52"/>
  <c r="N19" i="52"/>
  <c r="N26" i="52" s="1"/>
  <c r="K42" i="52"/>
  <c r="Z18" i="52"/>
  <c r="Z74" i="52" s="1"/>
  <c r="U18" i="52"/>
  <c r="U74" i="52" s="1"/>
  <c r="U83" i="52" s="1"/>
  <c r="AO18" i="52"/>
  <c r="AO74" i="52" s="1"/>
  <c r="BF18" i="52"/>
  <c r="BF74" i="52" s="1"/>
  <c r="AU18" i="52"/>
  <c r="AU74" i="52" s="1"/>
  <c r="AW18" i="52"/>
  <c r="AW74" i="52" s="1"/>
  <c r="AX18" i="52"/>
  <c r="AX74" i="52" s="1"/>
  <c r="V18" i="52"/>
  <c r="V74" i="52" s="1"/>
  <c r="V83" i="52" s="1"/>
  <c r="AV18" i="52"/>
  <c r="AV74" i="52" s="1"/>
  <c r="AR18" i="52"/>
  <c r="AR74" i="52" s="1"/>
  <c r="AI18" i="52"/>
  <c r="AI74" i="52" s="1"/>
  <c r="BD18" i="52"/>
  <c r="BD74" i="52" s="1"/>
  <c r="AJ18" i="52"/>
  <c r="AJ74" i="52" s="1"/>
  <c r="AC18" i="52"/>
  <c r="AC74" i="52" s="1"/>
  <c r="AE18" i="52"/>
  <c r="AE74" i="52" s="1"/>
  <c r="BA18" i="52"/>
  <c r="BA74" i="52" s="1"/>
  <c r="T18" i="52"/>
  <c r="T74" i="52" s="1"/>
  <c r="T83" i="52" s="1"/>
  <c r="BE18" i="52"/>
  <c r="BE74" i="52" s="1"/>
  <c r="AF18" i="52"/>
  <c r="AF74" i="52" s="1"/>
  <c r="AP18" i="52"/>
  <c r="AP74" i="52" s="1"/>
  <c r="AG18" i="52"/>
  <c r="AG74" i="52" s="1"/>
  <c r="AK18" i="52"/>
  <c r="AK74" i="52" s="1"/>
  <c r="BG18" i="52"/>
  <c r="BG74" i="52" s="1"/>
  <c r="AM18" i="52"/>
  <c r="AM74" i="52" s="1"/>
  <c r="Y18" i="52"/>
  <c r="Y74" i="52" s="1"/>
  <c r="X18" i="52"/>
  <c r="X74" i="52" s="1"/>
  <c r="AB18" i="52"/>
  <c r="AB74" i="52" s="1"/>
  <c r="W18" i="52"/>
  <c r="W74" i="52" s="1"/>
  <c r="W83" i="52" s="1"/>
  <c r="AD18" i="52"/>
  <c r="AD74" i="52" s="1"/>
  <c r="BB18" i="52"/>
  <c r="BB74" i="52" s="1"/>
  <c r="AS18" i="52"/>
  <c r="AS74" i="52" s="1"/>
  <c r="AA18" i="52"/>
  <c r="AA74" i="52" s="1"/>
  <c r="AT18" i="52"/>
  <c r="AT74" i="52" s="1"/>
  <c r="AN18" i="52"/>
  <c r="AN74" i="52" s="1"/>
  <c r="AZ18" i="52"/>
  <c r="AZ74" i="52" s="1"/>
  <c r="AH18" i="52"/>
  <c r="AH74" i="52" s="1"/>
  <c r="AY18" i="52"/>
  <c r="AY74" i="52" s="1"/>
  <c r="AQ18" i="52"/>
  <c r="AQ74" i="52" s="1"/>
  <c r="AL18" i="52"/>
  <c r="AL74" i="52" s="1"/>
  <c r="BC18" i="52"/>
  <c r="BC74" i="52" s="1"/>
  <c r="Q18" i="52"/>
  <c r="R18" i="52"/>
  <c r="P18" i="52"/>
  <c r="S18" i="52"/>
  <c r="M18" i="52"/>
  <c r="M74" i="52" s="1"/>
  <c r="M83" i="52" s="1"/>
  <c r="O18" i="52"/>
  <c r="AB41" i="52"/>
  <c r="V41" i="52"/>
  <c r="W41" i="52"/>
  <c r="AD41" i="52"/>
  <c r="AV41" i="52"/>
  <c r="AT41" i="52"/>
  <c r="AH41" i="52"/>
  <c r="Y41" i="52"/>
  <c r="BD41" i="52"/>
  <c r="BE41" i="52"/>
  <c r="BA41" i="52"/>
  <c r="BF41" i="52"/>
  <c r="BB41" i="52"/>
  <c r="AK41" i="52"/>
  <c r="AX41" i="52"/>
  <c r="AS41" i="52"/>
  <c r="AI41" i="52"/>
  <c r="AQ41" i="52"/>
  <c r="BC41" i="52"/>
  <c r="AF41" i="52"/>
  <c r="U41" i="52"/>
  <c r="AA41" i="52"/>
  <c r="AM41" i="52"/>
  <c r="BG41" i="52"/>
  <c r="AO41" i="52"/>
  <c r="X41" i="52"/>
  <c r="AC41" i="52"/>
  <c r="AE41" i="52"/>
  <c r="T41" i="52"/>
  <c r="AP41" i="52"/>
  <c r="AU41" i="52"/>
  <c r="AG41" i="52"/>
  <c r="AR41" i="52"/>
  <c r="Z41" i="52"/>
  <c r="AW41" i="52"/>
  <c r="AN41" i="52"/>
  <c r="AZ41" i="52"/>
  <c r="AY41" i="52"/>
  <c r="AL41" i="52"/>
  <c r="AJ41" i="52"/>
  <c r="R41" i="52"/>
  <c r="Q41" i="52"/>
  <c r="P41" i="52"/>
  <c r="S41" i="52"/>
  <c r="O41" i="52"/>
  <c r="M41" i="52"/>
  <c r="J21" i="52"/>
  <c r="N21" i="52"/>
  <c r="R21" i="52"/>
  <c r="R77" i="52" s="1"/>
  <c r="V21" i="52"/>
  <c r="V77" i="52" s="1"/>
  <c r="Z21" i="52"/>
  <c r="Z77" i="52" s="1"/>
  <c r="AD21" i="52"/>
  <c r="AH21" i="52"/>
  <c r="AL21" i="52"/>
  <c r="AL77" i="52" s="1"/>
  <c r="AP21" i="52"/>
  <c r="AP77" i="52" s="1"/>
  <c r="AT21" i="52"/>
  <c r="AX21" i="52"/>
  <c r="AX77" i="52" s="1"/>
  <c r="BB21" i="52"/>
  <c r="BB77" i="52" s="1"/>
  <c r="BF21" i="52"/>
  <c r="BF77" i="52" s="1"/>
  <c r="K21" i="52"/>
  <c r="O21" i="52"/>
  <c r="O77" i="52" s="1"/>
  <c r="S21" i="52"/>
  <c r="S77" i="52" s="1"/>
  <c r="W21" i="52"/>
  <c r="W77" i="52" s="1"/>
  <c r="AA21" i="52"/>
  <c r="AE21" i="52"/>
  <c r="AE77" i="52" s="1"/>
  <c r="AI21" i="52"/>
  <c r="AI77" i="52" s="1"/>
  <c r="AM21" i="52"/>
  <c r="AM77" i="52" s="1"/>
  <c r="AQ21" i="52"/>
  <c r="AQ77" i="52" s="1"/>
  <c r="AU21" i="52"/>
  <c r="AU77" i="52" s="1"/>
  <c r="AY21" i="52"/>
  <c r="AY77" i="52" s="1"/>
  <c r="BC21" i="52"/>
  <c r="BC77" i="52" s="1"/>
  <c r="BG21" i="52"/>
  <c r="P21" i="52"/>
  <c r="P77" i="52" s="1"/>
  <c r="X21" i="52"/>
  <c r="X77" i="52" s="1"/>
  <c r="AF21" i="52"/>
  <c r="AF77" i="52" s="1"/>
  <c r="AN21" i="52"/>
  <c r="AV21" i="52"/>
  <c r="AV77" i="52" s="1"/>
  <c r="BD21" i="52"/>
  <c r="BD77" i="52" s="1"/>
  <c r="Q21" i="52"/>
  <c r="Q77" i="52" s="1"/>
  <c r="Y21" i="52"/>
  <c r="AG21" i="52"/>
  <c r="AG77" i="52" s="1"/>
  <c r="AO21" i="52"/>
  <c r="AO77" i="52" s="1"/>
  <c r="AW21" i="52"/>
  <c r="AW77" i="52" s="1"/>
  <c r="BE21" i="52"/>
  <c r="L21" i="52"/>
  <c r="T21" i="52"/>
  <c r="T77" i="52" s="1"/>
  <c r="AB21" i="52"/>
  <c r="AB77" i="52" s="1"/>
  <c r="AJ21" i="52"/>
  <c r="AR21" i="52"/>
  <c r="AR77" i="52" s="1"/>
  <c r="AZ21" i="52"/>
  <c r="AZ77" i="52" s="1"/>
  <c r="M21" i="52"/>
  <c r="U21" i="52"/>
  <c r="AC21" i="52"/>
  <c r="AC77" i="52" s="1"/>
  <c r="AK21" i="52"/>
  <c r="AK77" i="52" s="1"/>
  <c r="AS21" i="52"/>
  <c r="AS77" i="52" s="1"/>
  <c r="BA21" i="52"/>
  <c r="BA77" i="52" s="1"/>
  <c r="N75" i="52"/>
  <c r="N84" i="52" s="1"/>
  <c r="N96" i="52"/>
  <c r="N50" i="52"/>
  <c r="K75" i="52"/>
  <c r="K84" i="52" s="1"/>
  <c r="K94" i="52"/>
  <c r="K98" i="52" s="1"/>
  <c r="K48" i="52"/>
  <c r="K96" i="52"/>
  <c r="K50" i="52"/>
  <c r="L92" i="52"/>
  <c r="L46" i="52"/>
  <c r="J26" i="52"/>
  <c r="J33" i="52" s="1"/>
  <c r="J75" i="52"/>
  <c r="J84" i="52" s="1"/>
  <c r="J97" i="52"/>
  <c r="J99" i="52" s="1"/>
  <c r="J51" i="52"/>
  <c r="N46" i="52"/>
  <c r="N97" i="52"/>
  <c r="N99" i="52" s="1"/>
  <c r="N51" i="52"/>
  <c r="K93" i="52"/>
  <c r="K47" i="52"/>
  <c r="L94" i="52"/>
  <c r="L98" i="52" s="1"/>
  <c r="L48" i="52"/>
  <c r="J94" i="52"/>
  <c r="J98" i="52" s="1"/>
  <c r="J48" i="52"/>
  <c r="K97" i="52"/>
  <c r="K99" i="52" s="1"/>
  <c r="K51" i="52"/>
  <c r="L25" i="52"/>
  <c r="L74" i="52"/>
  <c r="L83" i="52" s="1"/>
  <c r="L97" i="52"/>
  <c r="L99" i="52" s="1"/>
  <c r="L51" i="52"/>
  <c r="J74" i="52"/>
  <c r="J83" i="52" s="1"/>
  <c r="J25" i="52"/>
  <c r="J32" i="52" s="1"/>
  <c r="J93" i="52"/>
  <c r="J47" i="52"/>
  <c r="J96" i="52"/>
  <c r="J50" i="52"/>
  <c r="N94" i="52"/>
  <c r="N98" i="52" s="1"/>
  <c r="N48" i="52"/>
  <c r="N95" i="52"/>
  <c r="N49" i="52"/>
  <c r="L93" i="52"/>
  <c r="L47" i="52"/>
  <c r="K74" i="52"/>
  <c r="K83" i="52" s="1"/>
  <c r="K95" i="52"/>
  <c r="K49" i="52"/>
  <c r="L95" i="52"/>
  <c r="L49" i="52"/>
  <c r="L96" i="52"/>
  <c r="L50" i="52"/>
  <c r="J95" i="52"/>
  <c r="J49" i="52"/>
  <c r="J92" i="52"/>
  <c r="J46" i="52"/>
  <c r="N93" i="52"/>
  <c r="N47" i="52"/>
  <c r="H76" i="51"/>
  <c r="O66" i="52" s="1"/>
  <c r="N77" i="52"/>
  <c r="AD77" i="52"/>
  <c r="AH77" i="52"/>
  <c r="AT77" i="52"/>
  <c r="K77" i="52"/>
  <c r="AA77" i="52"/>
  <c r="AJ77" i="52"/>
  <c r="AN77" i="52"/>
  <c r="BG77" i="52"/>
  <c r="U77" i="52"/>
  <c r="Y77" i="52"/>
  <c r="BE77" i="52"/>
  <c r="L94" i="51"/>
  <c r="L95" i="51"/>
  <c r="H96" i="51"/>
  <c r="I96" i="51"/>
  <c r="J96" i="51"/>
  <c r="K96" i="51"/>
  <c r="E123" i="51"/>
  <c r="H120" i="51"/>
  <c r="G122" i="51"/>
  <c r="M26" i="52" l="1"/>
  <c r="L26" i="52"/>
  <c r="L33" i="52" s="1"/>
  <c r="O26" i="52"/>
  <c r="O33" i="52" s="1"/>
  <c r="P94" i="52"/>
  <c r="P98" i="52" s="1"/>
  <c r="P48" i="52"/>
  <c r="O86" i="52"/>
  <c r="M94" i="52"/>
  <c r="M98" i="52" s="1"/>
  <c r="M48" i="52"/>
  <c r="Q94" i="52"/>
  <c r="Q98" i="52" s="1"/>
  <c r="Q48" i="52"/>
  <c r="S74" i="52"/>
  <c r="S83" i="52" s="1"/>
  <c r="S25" i="52"/>
  <c r="S32" i="52" s="1"/>
  <c r="M93" i="52"/>
  <c r="M47" i="52"/>
  <c r="P93" i="52"/>
  <c r="P47" i="52"/>
  <c r="M46" i="52"/>
  <c r="M92" i="52"/>
  <c r="P92" i="52"/>
  <c r="P46" i="52"/>
  <c r="O49" i="52"/>
  <c r="O95" i="52"/>
  <c r="P95" i="52"/>
  <c r="P49" i="52"/>
  <c r="P75" i="52"/>
  <c r="P84" i="52" s="1"/>
  <c r="P26" i="52"/>
  <c r="P33" i="52" s="1"/>
  <c r="Q74" i="52"/>
  <c r="Q83" i="52" s="1"/>
  <c r="Q25" i="52"/>
  <c r="Q32" i="52" s="1"/>
  <c r="S75" i="52"/>
  <c r="S84" i="52" s="1"/>
  <c r="S26" i="52"/>
  <c r="S33" i="52" s="1"/>
  <c r="E122" i="51"/>
  <c r="H122" i="51" s="1"/>
  <c r="H123" i="51" s="1"/>
  <c r="K46" i="52"/>
  <c r="O94" i="52"/>
  <c r="O98" i="52" s="1"/>
  <c r="O48" i="52"/>
  <c r="P74" i="52"/>
  <c r="P83" i="52" s="1"/>
  <c r="P25" i="52"/>
  <c r="P32" i="52" s="1"/>
  <c r="O47" i="52"/>
  <c r="O93" i="52"/>
  <c r="Q93" i="52"/>
  <c r="Q47" i="52"/>
  <c r="O46" i="52"/>
  <c r="O92" i="52"/>
  <c r="Q92" i="52"/>
  <c r="Q46" i="52"/>
  <c r="Q75" i="52"/>
  <c r="Q84" i="52" s="1"/>
  <c r="Q26" i="52"/>
  <c r="Q33" i="52" s="1"/>
  <c r="M49" i="52"/>
  <c r="M95" i="52"/>
  <c r="N25" i="52"/>
  <c r="N32" i="52" s="1"/>
  <c r="O74" i="52"/>
  <c r="O83" i="52" s="1"/>
  <c r="O25" i="52"/>
  <c r="O32" i="52" s="1"/>
  <c r="R74" i="52"/>
  <c r="R83" i="52" s="1"/>
  <c r="R25" i="52"/>
  <c r="M25" i="52"/>
  <c r="M32" i="52" s="1"/>
  <c r="Q95" i="52"/>
  <c r="Q49" i="52"/>
  <c r="R75" i="52"/>
  <c r="R84" i="52" s="1"/>
  <c r="R26" i="52"/>
  <c r="K32" i="52"/>
  <c r="L32" i="52"/>
  <c r="M33" i="52"/>
  <c r="N33" i="52"/>
  <c r="K33" i="52"/>
  <c r="AC76" i="52"/>
  <c r="AC80" i="52" s="1"/>
  <c r="AO76" i="52"/>
  <c r="AO80" i="52" s="1"/>
  <c r="BD76" i="52"/>
  <c r="BD80" i="52" s="1"/>
  <c r="AN76" i="52"/>
  <c r="AN80" i="52" s="1"/>
  <c r="X76" i="52"/>
  <c r="X80" i="52" s="1"/>
  <c r="BG76" i="52"/>
  <c r="BG80" i="52" s="1"/>
  <c r="AQ76" i="52"/>
  <c r="AQ80" i="52" s="1"/>
  <c r="AA76" i="52"/>
  <c r="AA80" i="52" s="1"/>
  <c r="O76" i="52"/>
  <c r="BB76" i="52"/>
  <c r="BB80" i="52" s="1"/>
  <c r="AL76" i="52"/>
  <c r="AL80" i="52" s="1"/>
  <c r="V76" i="52"/>
  <c r="U76" i="52"/>
  <c r="AG76" i="52"/>
  <c r="AG80" i="52" s="1"/>
  <c r="AZ76" i="52"/>
  <c r="AZ80" i="52" s="1"/>
  <c r="AJ76" i="52"/>
  <c r="AJ80" i="52" s="1"/>
  <c r="T76" i="52"/>
  <c r="BC76" i="52"/>
  <c r="BC80" i="52" s="1"/>
  <c r="AM76" i="52"/>
  <c r="AM80" i="52" s="1"/>
  <c r="W76" i="52"/>
  <c r="BA76" i="52"/>
  <c r="BA80" i="52" s="1"/>
  <c r="AX76" i="52"/>
  <c r="AX80" i="52" s="1"/>
  <c r="AH76" i="52"/>
  <c r="AH80" i="52" s="1"/>
  <c r="R76" i="52"/>
  <c r="AW76" i="52"/>
  <c r="AW80" i="52" s="1"/>
  <c r="BE76" i="52"/>
  <c r="BE80" i="52" s="1"/>
  <c r="Y76" i="52"/>
  <c r="Y80" i="52" s="1"/>
  <c r="AV76" i="52"/>
  <c r="AV80" i="52" s="1"/>
  <c r="AF76" i="52"/>
  <c r="AF80" i="52" s="1"/>
  <c r="AY76" i="52"/>
  <c r="AY80" i="52" s="1"/>
  <c r="AI76" i="52"/>
  <c r="AI80" i="52" s="1"/>
  <c r="S76" i="52"/>
  <c r="Q76" i="52"/>
  <c r="AT76" i="52"/>
  <c r="AT80" i="52" s="1"/>
  <c r="AD76" i="52"/>
  <c r="AD80" i="52" s="1"/>
  <c r="N66" i="52"/>
  <c r="N86" i="52" s="1"/>
  <c r="P66" i="52"/>
  <c r="P86" i="52" s="1"/>
  <c r="V66" i="52"/>
  <c r="V86" i="52" s="1"/>
  <c r="M66" i="52"/>
  <c r="J66" i="52"/>
  <c r="K66" i="52"/>
  <c r="K86" i="52" s="1"/>
  <c r="S66" i="52"/>
  <c r="S86" i="52" s="1"/>
  <c r="L66" i="52"/>
  <c r="T66" i="52"/>
  <c r="T86" i="52" s="1"/>
  <c r="R66" i="52"/>
  <c r="R86" i="52" s="1"/>
  <c r="Q66" i="52"/>
  <c r="Q86" i="52" s="1"/>
  <c r="W66" i="52"/>
  <c r="W86" i="52" s="1"/>
  <c r="U66" i="52"/>
  <c r="U86" i="52" s="1"/>
  <c r="AK76" i="52"/>
  <c r="AK80" i="52" s="1"/>
  <c r="AS76" i="52"/>
  <c r="AS80" i="52" s="1"/>
  <c r="M76" i="52"/>
  <c r="AR76" i="52"/>
  <c r="AR80" i="52" s="1"/>
  <c r="AB76" i="52"/>
  <c r="AB80" i="52" s="1"/>
  <c r="N76" i="52"/>
  <c r="AU76" i="52"/>
  <c r="AU80" i="52" s="1"/>
  <c r="AE76" i="52"/>
  <c r="AE80" i="52" s="1"/>
  <c r="K76" i="52"/>
  <c r="BF76" i="52"/>
  <c r="BF80" i="52" s="1"/>
  <c r="AP76" i="52"/>
  <c r="AP80" i="52" s="1"/>
  <c r="Z76" i="52"/>
  <c r="Z80" i="52" s="1"/>
  <c r="P76" i="52"/>
  <c r="J27" i="52"/>
  <c r="J34" i="52" s="1"/>
  <c r="J76" i="52"/>
  <c r="L76" i="52"/>
  <c r="J28" i="52"/>
  <c r="J35" i="52" s="1"/>
  <c r="J77" i="52"/>
  <c r="L77" i="52"/>
  <c r="M77" i="52"/>
  <c r="K27" i="52"/>
  <c r="K34" i="52" s="1"/>
  <c r="K28" i="52"/>
  <c r="K35" i="52" s="1"/>
  <c r="L96" i="51"/>
  <c r="M95" i="51" s="1"/>
  <c r="H100" i="51" s="1"/>
  <c r="K19" i="49"/>
  <c r="K20" i="49"/>
  <c r="L20" i="49" s="1"/>
  <c r="L19" i="49" l="1"/>
  <c r="T25" i="52"/>
  <c r="T32" i="52" s="1"/>
  <c r="M86" i="52"/>
  <c r="T26" i="52"/>
  <c r="U26" i="52" s="1"/>
  <c r="U33" i="52" s="1"/>
  <c r="L86" i="52"/>
  <c r="L27" i="52"/>
  <c r="L28" i="52"/>
  <c r="V85" i="52"/>
  <c r="V80" i="52"/>
  <c r="V89" i="52" s="1"/>
  <c r="L85" i="52"/>
  <c r="L80" i="52"/>
  <c r="L89" i="52" s="1"/>
  <c r="M85" i="52"/>
  <c r="M80" i="52"/>
  <c r="M89" i="52" s="1"/>
  <c r="S85" i="52"/>
  <c r="S80" i="52"/>
  <c r="S89" i="52" s="1"/>
  <c r="W85" i="52"/>
  <c r="W80" i="52"/>
  <c r="W89" i="52" s="1"/>
  <c r="N85" i="52"/>
  <c r="N80" i="52"/>
  <c r="N89" i="52" s="1"/>
  <c r="R85" i="52"/>
  <c r="R80" i="52"/>
  <c r="R89" i="52" s="1"/>
  <c r="J86" i="52"/>
  <c r="J85" i="52"/>
  <c r="J80" i="52"/>
  <c r="J89" i="52" s="1"/>
  <c r="P85" i="52"/>
  <c r="P80" i="52"/>
  <c r="P89" i="52" s="1"/>
  <c r="K85" i="52"/>
  <c r="K80" i="52"/>
  <c r="K89" i="52" s="1"/>
  <c r="Q85" i="52"/>
  <c r="Q80" i="52"/>
  <c r="Q89" i="52" s="1"/>
  <c r="T85" i="52"/>
  <c r="T80" i="52"/>
  <c r="T89" i="52" s="1"/>
  <c r="U85" i="52"/>
  <c r="U80" i="52"/>
  <c r="U89" i="52" s="1"/>
  <c r="O85" i="52"/>
  <c r="O80" i="52"/>
  <c r="O89" i="52" s="1"/>
  <c r="M94" i="51"/>
  <c r="H99" i="51" s="1"/>
  <c r="H102" i="51" s="1"/>
  <c r="U25" i="52" l="1"/>
  <c r="V25" i="52" s="1"/>
  <c r="V32" i="52" s="1"/>
  <c r="V26" i="52"/>
  <c r="W26" i="52" s="1"/>
  <c r="X26" i="52" s="1"/>
  <c r="Y26" i="52" s="1"/>
  <c r="Z26" i="52" s="1"/>
  <c r="T33" i="52"/>
  <c r="L35" i="52"/>
  <c r="M28" i="52"/>
  <c r="L34" i="52"/>
  <c r="M27" i="52"/>
  <c r="E128" i="51"/>
  <c r="F129" i="51"/>
  <c r="F128" i="51"/>
  <c r="G129" i="51"/>
  <c r="H105" i="51"/>
  <c r="H106" i="51"/>
  <c r="I43" i="51"/>
  <c r="I42" i="51"/>
  <c r="I41" i="51"/>
  <c r="I31" i="51"/>
  <c r="I30" i="51"/>
  <c r="I29" i="51"/>
  <c r="I28" i="51"/>
  <c r="U32" i="52" l="1"/>
  <c r="V33" i="52"/>
  <c r="W25" i="52"/>
  <c r="W32" i="52" s="1"/>
  <c r="X33" i="52"/>
  <c r="I32" i="51"/>
  <c r="H36" i="51" s="1"/>
  <c r="O113" i="52" s="1"/>
  <c r="P113" i="52" s="1"/>
  <c r="W33" i="52"/>
  <c r="M34" i="52"/>
  <c r="N27" i="52"/>
  <c r="M35" i="52"/>
  <c r="N28" i="52"/>
  <c r="AA26" i="52"/>
  <c r="AB26" i="52" s="1"/>
  <c r="Z33" i="52"/>
  <c r="Y33" i="52"/>
  <c r="G130" i="51"/>
  <c r="G131" i="51"/>
  <c r="I44" i="51"/>
  <c r="H48" i="51" s="1"/>
  <c r="O114" i="52" s="1"/>
  <c r="AZ113" i="52" l="1"/>
  <c r="AP113" i="52"/>
  <c r="AJ113" i="52"/>
  <c r="AE113" i="52"/>
  <c r="BD113" i="52"/>
  <c r="AY113" i="52"/>
  <c r="AT113" i="52"/>
  <c r="AN113" i="52"/>
  <c r="AI113" i="52"/>
  <c r="AD113" i="52"/>
  <c r="W113" i="52"/>
  <c r="BC113" i="52"/>
  <c r="AX113" i="52"/>
  <c r="AR113" i="52"/>
  <c r="AM113" i="52"/>
  <c r="AH113" i="52"/>
  <c r="AB113" i="52"/>
  <c r="BF113" i="52"/>
  <c r="AU113" i="52"/>
  <c r="BG113" i="52"/>
  <c r="BB113" i="52"/>
  <c r="AV113" i="52"/>
  <c r="AQ113" i="52"/>
  <c r="AL113" i="52"/>
  <c r="AF113" i="52"/>
  <c r="AA113" i="52"/>
  <c r="X113" i="52"/>
  <c r="Q113" i="52"/>
  <c r="T113" i="52"/>
  <c r="J113" i="52"/>
  <c r="L113" i="52"/>
  <c r="M113" i="52"/>
  <c r="Z113" i="52"/>
  <c r="V113" i="52"/>
  <c r="S113" i="52"/>
  <c r="N113" i="52"/>
  <c r="BE113" i="52"/>
  <c r="BA113" i="52"/>
  <c r="AW113" i="52"/>
  <c r="AS113" i="52"/>
  <c r="AO113" i="52"/>
  <c r="AK113" i="52"/>
  <c r="AG113" i="52"/>
  <c r="AC113" i="52"/>
  <c r="Y113" i="52"/>
  <c r="U113" i="52"/>
  <c r="K113" i="52"/>
  <c r="X25" i="52"/>
  <c r="X32" i="52" s="1"/>
  <c r="H133" i="51"/>
  <c r="Q123" i="52" s="1"/>
  <c r="N34" i="52"/>
  <c r="O27" i="52"/>
  <c r="N35" i="52"/>
  <c r="O28" i="52"/>
  <c r="AB33" i="52"/>
  <c r="AC26" i="52"/>
  <c r="AA33" i="52"/>
  <c r="M123" i="52"/>
  <c r="Y123" i="52"/>
  <c r="AG123" i="52"/>
  <c r="AK123" i="52"/>
  <c r="AO123" i="52"/>
  <c r="AS123" i="52"/>
  <c r="AW123" i="52"/>
  <c r="BA123" i="52"/>
  <c r="BE123" i="52"/>
  <c r="N123" i="52"/>
  <c r="R123" i="52"/>
  <c r="V123" i="52"/>
  <c r="Z123" i="52"/>
  <c r="AD123" i="52"/>
  <c r="AH123" i="52"/>
  <c r="AL123" i="52"/>
  <c r="AP123" i="52"/>
  <c r="AT123" i="52"/>
  <c r="AX123" i="52"/>
  <c r="BB123" i="52"/>
  <c r="BF123" i="52"/>
  <c r="L123" i="52"/>
  <c r="P123" i="52"/>
  <c r="T123" i="52"/>
  <c r="X123" i="52"/>
  <c r="AB123" i="52"/>
  <c r="AF123" i="52"/>
  <c r="AJ123" i="52"/>
  <c r="AN123" i="52"/>
  <c r="AR123" i="52"/>
  <c r="AV123" i="52"/>
  <c r="AZ123" i="52"/>
  <c r="BD123" i="52"/>
  <c r="J123" i="52"/>
  <c r="K123" i="52"/>
  <c r="AA123" i="52"/>
  <c r="AQ123" i="52"/>
  <c r="BG123" i="52"/>
  <c r="O123" i="52"/>
  <c r="AE123" i="52"/>
  <c r="AU123" i="52"/>
  <c r="AM123" i="52"/>
  <c r="BC123" i="52"/>
  <c r="S123" i="52"/>
  <c r="AI123" i="52"/>
  <c r="AY123" i="52"/>
  <c r="W123" i="52"/>
  <c r="N114" i="52"/>
  <c r="P114" i="52"/>
  <c r="M114" i="52"/>
  <c r="Q114" i="52"/>
  <c r="L114" i="52"/>
  <c r="R114" i="52"/>
  <c r="K114" i="52"/>
  <c r="S114" i="52"/>
  <c r="J114" i="52"/>
  <c r="T114" i="52"/>
  <c r="U114" i="52"/>
  <c r="V114" i="52"/>
  <c r="W114" i="52"/>
  <c r="X114" i="52"/>
  <c r="Y114" i="52"/>
  <c r="Z114" i="52"/>
  <c r="AA114" i="52"/>
  <c r="AB114" i="52"/>
  <c r="AC114" i="52"/>
  <c r="AD114" i="52"/>
  <c r="AE114" i="52"/>
  <c r="AF114" i="52"/>
  <c r="AG114" i="52"/>
  <c r="AH114" i="52"/>
  <c r="AI114" i="52"/>
  <c r="AJ114" i="52"/>
  <c r="AK114" i="52"/>
  <c r="AL114" i="52"/>
  <c r="AM114" i="52"/>
  <c r="AN114" i="52"/>
  <c r="AO114" i="52"/>
  <c r="AP114" i="52"/>
  <c r="AQ114" i="52"/>
  <c r="AR114" i="52"/>
  <c r="AS114" i="52"/>
  <c r="AT114" i="52"/>
  <c r="AU114" i="52"/>
  <c r="AV114" i="52"/>
  <c r="AW114" i="52"/>
  <c r="AX114" i="52"/>
  <c r="AY114" i="52"/>
  <c r="AZ114" i="52"/>
  <c r="BA114" i="52"/>
  <c r="BB114" i="52"/>
  <c r="BC114" i="52"/>
  <c r="BD114" i="52"/>
  <c r="BE114" i="52"/>
  <c r="BF114" i="52"/>
  <c r="BG114" i="52"/>
  <c r="U123" i="52" l="1"/>
  <c r="AC123" i="52"/>
  <c r="Y25" i="52"/>
  <c r="Z25" i="52" s="1"/>
  <c r="AA25" i="52" s="1"/>
  <c r="AB25" i="52" s="1"/>
  <c r="O35" i="52"/>
  <c r="P28" i="52"/>
  <c r="P27" i="52"/>
  <c r="O34" i="52"/>
  <c r="AC33" i="52"/>
  <c r="AD26" i="52"/>
  <c r="O18" i="49"/>
  <c r="AA32" i="52" l="1"/>
  <c r="Y32" i="52"/>
  <c r="Z32" i="52"/>
  <c r="P34" i="52"/>
  <c r="Q27" i="52"/>
  <c r="Q28" i="52"/>
  <c r="P35" i="52"/>
  <c r="AB32" i="52"/>
  <c r="AD33" i="52"/>
  <c r="AE26" i="52"/>
  <c r="AC25" i="52"/>
  <c r="Q35" i="52" l="1"/>
  <c r="R28" i="52"/>
  <c r="S28" i="52" s="1"/>
  <c r="Q34" i="52"/>
  <c r="R27" i="52"/>
  <c r="S27" i="52" s="1"/>
  <c r="AE33" i="52"/>
  <c r="AF26" i="52"/>
  <c r="AC32" i="52"/>
  <c r="AD25" i="52"/>
  <c r="R130" i="52"/>
  <c r="T27" i="52" l="1"/>
  <c r="S34" i="52"/>
  <c r="S35" i="52"/>
  <c r="T28" i="52"/>
  <c r="AF33" i="52"/>
  <c r="AG26" i="52"/>
  <c r="AD32" i="52"/>
  <c r="AE25" i="52"/>
  <c r="T35" i="52" l="1"/>
  <c r="U28" i="52"/>
  <c r="T34" i="52"/>
  <c r="U27" i="52"/>
  <c r="AE32" i="52"/>
  <c r="AF25" i="52"/>
  <c r="AG33" i="52"/>
  <c r="AH26" i="52"/>
  <c r="U34" i="52" l="1"/>
  <c r="V27" i="52"/>
  <c r="U35" i="52"/>
  <c r="V28" i="52"/>
  <c r="AH33" i="52"/>
  <c r="AI26" i="52"/>
  <c r="AF32" i="52"/>
  <c r="AG25" i="52"/>
  <c r="O23" i="49"/>
  <c r="P24" i="49" l="1"/>
  <c r="Q24" i="49" s="1"/>
  <c r="R24" i="49" s="1"/>
  <c r="S24" i="49" s="1"/>
  <c r="T24" i="49" s="1"/>
  <c r="V35" i="52"/>
  <c r="W28" i="52"/>
  <c r="V34" i="52"/>
  <c r="W27" i="52"/>
  <c r="AG32" i="52"/>
  <c r="AH25" i="52"/>
  <c r="AI33" i="52"/>
  <c r="AJ26" i="52"/>
  <c r="L22" i="49"/>
  <c r="N18" i="49"/>
  <c r="K21" i="49"/>
  <c r="L21" i="49" l="1"/>
  <c r="L18" i="49" s="1"/>
  <c r="L23" i="49" s="1"/>
  <c r="L10" i="49" s="1"/>
  <c r="L12" i="49" s="1"/>
  <c r="K18" i="49"/>
  <c r="K23" i="49" s="1"/>
  <c r="K10" i="49" s="1"/>
  <c r="K12" i="49" s="1"/>
  <c r="M18" i="49"/>
  <c r="X27" i="52"/>
  <c r="W34" i="52"/>
  <c r="W35" i="52"/>
  <c r="X28" i="52"/>
  <c r="AJ33" i="52"/>
  <c r="AK26" i="52"/>
  <c r="AH32" i="52"/>
  <c r="AI25" i="52"/>
  <c r="N23" i="49"/>
  <c r="O24" i="49" s="1"/>
  <c r="M23" i="49"/>
  <c r="X35" i="52" l="1"/>
  <c r="Y28" i="52"/>
  <c r="X34" i="52"/>
  <c r="Y27" i="52"/>
  <c r="AI32" i="52"/>
  <c r="AJ25" i="52"/>
  <c r="AK33" i="52"/>
  <c r="AL26" i="52"/>
  <c r="N24" i="49"/>
  <c r="Z27" i="52" l="1"/>
  <c r="Y34" i="52"/>
  <c r="Y35" i="52"/>
  <c r="Z28" i="52"/>
  <c r="AJ32" i="52"/>
  <c r="AK25" i="52"/>
  <c r="AL33" i="52"/>
  <c r="AM26" i="52"/>
  <c r="Z35" i="52" l="1"/>
  <c r="AA28" i="52"/>
  <c r="Z34" i="52"/>
  <c r="AA27" i="52"/>
  <c r="AK32" i="52"/>
  <c r="AL25" i="52"/>
  <c r="AM33" i="52"/>
  <c r="AN26" i="52"/>
  <c r="S130" i="52"/>
  <c r="F6" i="53" s="1"/>
  <c r="AA34" i="52" l="1"/>
  <c r="AB27" i="52"/>
  <c r="AA35" i="52"/>
  <c r="AB28" i="52"/>
  <c r="AN33" i="52"/>
  <c r="AL32" i="52"/>
  <c r="AM25" i="52"/>
  <c r="AO26" i="52"/>
  <c r="T130" i="52"/>
  <c r="AB35" i="52" l="1"/>
  <c r="AC28" i="52"/>
  <c r="AB34" i="52"/>
  <c r="AC27" i="52"/>
  <c r="AN25" i="52"/>
  <c r="AO33" i="52"/>
  <c r="AP26" i="52"/>
  <c r="AM32" i="52"/>
  <c r="U130" i="52"/>
  <c r="AC34" i="52" l="1"/>
  <c r="AD27" i="52"/>
  <c r="AC35" i="52"/>
  <c r="AD28" i="52"/>
  <c r="AN32" i="52"/>
  <c r="AO25" i="52"/>
  <c r="AP33" i="52"/>
  <c r="AQ26" i="52"/>
  <c r="AR26" i="52" s="1"/>
  <c r="V130" i="52"/>
  <c r="AD35" i="52" l="1"/>
  <c r="AE28" i="52"/>
  <c r="AD34" i="52"/>
  <c r="AE27" i="52"/>
  <c r="AO32" i="52"/>
  <c r="AP25" i="52"/>
  <c r="AR33" i="52"/>
  <c r="AQ33" i="52"/>
  <c r="AS26" i="52"/>
  <c r="W130" i="52"/>
  <c r="AE34" i="52" l="1"/>
  <c r="AF27" i="52"/>
  <c r="AE35" i="52"/>
  <c r="AF28" i="52"/>
  <c r="AT26" i="52"/>
  <c r="AP32" i="52"/>
  <c r="AQ25" i="52"/>
  <c r="AS33" i="52"/>
  <c r="X130" i="52"/>
  <c r="AF35" i="52" l="1"/>
  <c r="AG28" i="52"/>
  <c r="AF34" i="52"/>
  <c r="AG27" i="52"/>
  <c r="AQ32" i="52"/>
  <c r="AR25" i="52"/>
  <c r="AT33" i="52"/>
  <c r="AU26" i="52"/>
  <c r="Y130" i="52"/>
  <c r="AG34" i="52" l="1"/>
  <c r="AH27" i="52"/>
  <c r="AG35" i="52"/>
  <c r="AH28" i="52"/>
  <c r="AR32" i="52"/>
  <c r="AS25" i="52"/>
  <c r="AU33" i="52"/>
  <c r="AV26" i="52"/>
  <c r="Z130" i="52"/>
  <c r="AH35" i="52" l="1"/>
  <c r="AI28" i="52"/>
  <c r="AH34" i="52"/>
  <c r="AI27" i="52"/>
  <c r="AV33" i="52"/>
  <c r="AW26" i="52"/>
  <c r="AX26" i="52" s="1"/>
  <c r="AS32" i="52"/>
  <c r="AT25" i="52"/>
  <c r="AA130" i="52"/>
  <c r="AI34" i="52" l="1"/>
  <c r="AJ27" i="52"/>
  <c r="AI35" i="52"/>
  <c r="AJ28" i="52"/>
  <c r="AX33" i="52"/>
  <c r="AW33" i="52"/>
  <c r="AY26" i="52"/>
  <c r="AT32" i="52"/>
  <c r="AU25" i="52"/>
  <c r="AB130" i="52"/>
  <c r="AJ35" i="52" l="1"/>
  <c r="AK28" i="52"/>
  <c r="AJ34" i="52"/>
  <c r="AK27" i="52"/>
  <c r="AY33" i="52"/>
  <c r="AZ26" i="52"/>
  <c r="AU32" i="52"/>
  <c r="AV25" i="52"/>
  <c r="AW25" i="52" s="1"/>
  <c r="AC130" i="52"/>
  <c r="AK34" i="52" l="1"/>
  <c r="AL27" i="52"/>
  <c r="AK35" i="52"/>
  <c r="AL28" i="52"/>
  <c r="AW32" i="52"/>
  <c r="AX25" i="52"/>
  <c r="AZ33" i="52"/>
  <c r="BA26" i="52"/>
  <c r="BB26" i="52" s="1"/>
  <c r="BB33" i="52" s="1"/>
  <c r="AV32" i="52"/>
  <c r="AD130" i="52"/>
  <c r="AL35" i="52" l="1"/>
  <c r="AM28" i="52"/>
  <c r="AM27" i="52"/>
  <c r="AL34" i="52"/>
  <c r="AX32" i="52"/>
  <c r="AY25" i="52"/>
  <c r="AZ25" i="52" s="1"/>
  <c r="BC26" i="52"/>
  <c r="BA33" i="52"/>
  <c r="AE130" i="52"/>
  <c r="AM34" i="52" l="1"/>
  <c r="AN27" i="52"/>
  <c r="AN28" i="52"/>
  <c r="AM35" i="52"/>
  <c r="AY32" i="52"/>
  <c r="AZ32" i="52"/>
  <c r="BA25" i="52"/>
  <c r="BA32" i="52" s="1"/>
  <c r="BC33" i="52"/>
  <c r="BD26" i="52"/>
  <c r="BE26" i="52" s="1"/>
  <c r="BE33" i="52" s="1"/>
  <c r="AF130" i="52"/>
  <c r="AN35" i="52" l="1"/>
  <c r="AO28" i="52"/>
  <c r="AN34" i="52"/>
  <c r="AO27" i="52"/>
  <c r="BB25" i="52"/>
  <c r="BB32" i="52" s="1"/>
  <c r="BD33" i="52"/>
  <c r="BF26" i="52"/>
  <c r="BF33" i="52" s="1"/>
  <c r="AG130" i="52"/>
  <c r="AO34" i="52" l="1"/>
  <c r="AP27" i="52"/>
  <c r="AP28" i="52"/>
  <c r="AO35" i="52"/>
  <c r="BG26" i="52"/>
  <c r="BG33" i="52" s="1"/>
  <c r="BC25" i="52"/>
  <c r="BC32" i="52" s="1"/>
  <c r="AH130" i="52"/>
  <c r="AP35" i="52" l="1"/>
  <c r="AQ28" i="52"/>
  <c r="AP34" i="52"/>
  <c r="AQ27" i="52"/>
  <c r="BD25" i="52"/>
  <c r="BD32" i="52" s="1"/>
  <c r="AI130" i="52"/>
  <c r="AQ34" i="52" l="1"/>
  <c r="AR27" i="52"/>
  <c r="AQ35" i="52"/>
  <c r="AR28" i="52"/>
  <c r="BE25" i="52"/>
  <c r="BE32" i="52" s="1"/>
  <c r="AJ130" i="52"/>
  <c r="AS28" i="52" l="1"/>
  <c r="AR35" i="52"/>
  <c r="AS27" i="52"/>
  <c r="AR34" i="52"/>
  <c r="BF25" i="52"/>
  <c r="BF32" i="52" s="1"/>
  <c r="AK130" i="52"/>
  <c r="AS34" i="52" l="1"/>
  <c r="AT27" i="52"/>
  <c r="BG25" i="52"/>
  <c r="BG32" i="52" s="1"/>
  <c r="AT28" i="52"/>
  <c r="AS35" i="52"/>
  <c r="AL130" i="52"/>
  <c r="AT35" i="52" l="1"/>
  <c r="AU28" i="52"/>
  <c r="AT34" i="52"/>
  <c r="AU27" i="52"/>
  <c r="AM130" i="52"/>
  <c r="AV27" i="52" l="1"/>
  <c r="AU34" i="52"/>
  <c r="AU35" i="52"/>
  <c r="AV28" i="52"/>
  <c r="AN130" i="52"/>
  <c r="AW28" i="52" l="1"/>
  <c r="AV35" i="52"/>
  <c r="AV34" i="52"/>
  <c r="AW27" i="52"/>
  <c r="AO130" i="52"/>
  <c r="AW34" i="52" l="1"/>
  <c r="AX27" i="52"/>
  <c r="AW35" i="52"/>
  <c r="AX28" i="52"/>
  <c r="AP130" i="52"/>
  <c r="AX35" i="52" l="1"/>
  <c r="AY28" i="52"/>
  <c r="AY27" i="52"/>
  <c r="AX34" i="52"/>
  <c r="AQ130" i="52"/>
  <c r="AZ27" i="52" l="1"/>
  <c r="AY34" i="52"/>
  <c r="AY35" i="52"/>
  <c r="AZ28" i="52"/>
  <c r="AR130" i="52"/>
  <c r="AZ35" i="52" l="1"/>
  <c r="BA28" i="52"/>
  <c r="AZ34" i="52"/>
  <c r="BA27" i="52"/>
  <c r="AS130" i="52"/>
  <c r="BA34" i="52" l="1"/>
  <c r="BB27" i="52"/>
  <c r="BA35" i="52"/>
  <c r="BB28" i="52"/>
  <c r="AT130" i="52"/>
  <c r="BB35" i="52" l="1"/>
  <c r="BC28" i="52"/>
  <c r="BC27" i="52"/>
  <c r="BB34" i="52"/>
  <c r="AU130" i="52"/>
  <c r="BD27" i="52" l="1"/>
  <c r="BC34" i="52"/>
  <c r="BC35" i="52"/>
  <c r="BD28" i="52"/>
  <c r="AV130" i="52"/>
  <c r="BD35" i="52" l="1"/>
  <c r="BE28" i="52"/>
  <c r="BD34" i="52"/>
  <c r="BE27" i="52"/>
  <c r="AW130" i="52"/>
  <c r="BE34" i="52" l="1"/>
  <c r="BF27" i="52"/>
  <c r="BF28" i="52"/>
  <c r="BE35" i="52"/>
  <c r="AX130" i="52"/>
  <c r="BF35" i="52" l="1"/>
  <c r="BG28" i="52"/>
  <c r="BG35" i="52" s="1"/>
  <c r="BF34" i="52"/>
  <c r="BG27" i="52"/>
  <c r="BG34" i="52" s="1"/>
  <c r="AY130" i="52"/>
  <c r="AZ130" i="52" l="1"/>
  <c r="BA130" i="52" l="1"/>
  <c r="BB130" i="52" l="1"/>
  <c r="BC130" i="52" l="1"/>
  <c r="BD130" i="52" l="1"/>
  <c r="BE130" i="52" l="1"/>
  <c r="BF130" i="52" l="1"/>
  <c r="BG130" i="52" l="1"/>
  <c r="X71" i="52" l="1"/>
  <c r="M28" i="49"/>
  <c r="N28" i="49"/>
  <c r="N29" i="49"/>
  <c r="P28" i="49"/>
  <c r="Q28" i="49"/>
  <c r="R28" i="49"/>
  <c r="S28" i="49"/>
  <c r="T28" i="49"/>
  <c r="U28" i="49"/>
  <c r="V28" i="49"/>
  <c r="W28" i="49"/>
  <c r="X28" i="49"/>
  <c r="Y28" i="49"/>
  <c r="Z28" i="49"/>
  <c r="AA28" i="49"/>
  <c r="AB28" i="49"/>
  <c r="AC28" i="49"/>
  <c r="AD28" i="49"/>
  <c r="AE28" i="49"/>
  <c r="AF28" i="49"/>
  <c r="AG28" i="49"/>
  <c r="AH28" i="49"/>
  <c r="AI28" i="49"/>
  <c r="AJ28" i="49"/>
  <c r="AK28" i="49"/>
  <c r="AL28" i="49"/>
  <c r="AM28" i="49"/>
  <c r="AN28" i="49"/>
  <c r="AO28" i="49"/>
  <c r="AP28" i="49"/>
  <c r="AQ28" i="49"/>
  <c r="AR28" i="49"/>
  <c r="AS28" i="49"/>
  <c r="AT28" i="49"/>
  <c r="AU28" i="49"/>
  <c r="AV28" i="49"/>
  <c r="AW28" i="49"/>
  <c r="AX28" i="49"/>
  <c r="AY28" i="49"/>
  <c r="AZ28" i="49"/>
  <c r="BA28" i="49"/>
  <c r="BB28" i="49"/>
  <c r="M29" i="49" l="1"/>
  <c r="L29" i="49" s="1"/>
  <c r="K29" i="49" s="1"/>
  <c r="Y71" i="52"/>
  <c r="Z71" i="52" s="1"/>
  <c r="AA71" i="52" s="1"/>
  <c r="AB71" i="52" s="1"/>
  <c r="AC71" i="52" s="1"/>
  <c r="AD71" i="52" s="1"/>
  <c r="AE71" i="52" s="1"/>
  <c r="AF71" i="52" s="1"/>
  <c r="AG71" i="52" s="1"/>
  <c r="AH71" i="52" s="1"/>
  <c r="AI71" i="52" s="1"/>
  <c r="AJ71" i="52" s="1"/>
  <c r="AK71" i="52" s="1"/>
  <c r="AL71" i="52" s="1"/>
  <c r="AM71" i="52" s="1"/>
  <c r="AN71" i="52" s="1"/>
  <c r="AO71" i="52" s="1"/>
  <c r="AP71" i="52" s="1"/>
  <c r="AQ71" i="52" s="1"/>
  <c r="AR71" i="52" s="1"/>
  <c r="AS71" i="52" s="1"/>
  <c r="AT71" i="52" s="1"/>
  <c r="AU71" i="52" s="1"/>
  <c r="AV71" i="52" s="1"/>
  <c r="AW71" i="52" s="1"/>
  <c r="AX71" i="52" s="1"/>
  <c r="AY71" i="52" s="1"/>
  <c r="AZ71" i="52" s="1"/>
  <c r="BA71" i="52" s="1"/>
  <c r="BB71" i="52" s="1"/>
  <c r="BC71" i="52" s="1"/>
  <c r="BD71" i="52" s="1"/>
  <c r="BE71" i="52" s="1"/>
  <c r="BF71" i="52" s="1"/>
  <c r="BG71" i="52" s="1"/>
  <c r="X72" i="52"/>
  <c r="X69" i="52" s="1"/>
  <c r="X89" i="52" s="1"/>
  <c r="L30" i="49" l="1"/>
  <c r="Y72" i="52"/>
  <c r="Y69" i="52" s="1"/>
  <c r="Y89" i="52" s="1"/>
  <c r="X65" i="52"/>
  <c r="X85" i="52" s="1"/>
  <c r="X70" i="52"/>
  <c r="X90" i="52" s="1"/>
  <c r="X66" i="52"/>
  <c r="X86" i="52" s="1"/>
  <c r="X64" i="52"/>
  <c r="X84" i="52" s="1"/>
  <c r="X63" i="52"/>
  <c r="X83" i="52" s="1"/>
  <c r="K30" i="49"/>
  <c r="J29" i="49"/>
  <c r="J30" i="49" s="1"/>
  <c r="R97" i="52"/>
  <c r="R93" i="52"/>
  <c r="R94" i="52"/>
  <c r="R98" i="52" s="1"/>
  <c r="R95" i="52"/>
  <c r="R96" i="52"/>
  <c r="R92" i="52"/>
  <c r="R99" i="52" l="1"/>
  <c r="Z72" i="52"/>
  <c r="Z69" i="52" s="1"/>
  <c r="Z89" i="52" s="1"/>
  <c r="Y66" i="52"/>
  <c r="Y86" i="52" s="1"/>
  <c r="Y65" i="52"/>
  <c r="Y85" i="52" s="1"/>
  <c r="Y70" i="52"/>
  <c r="Y90" i="52" s="1"/>
  <c r="Y64" i="52"/>
  <c r="Y84" i="52" s="1"/>
  <c r="Y63" i="52"/>
  <c r="Y83" i="52" s="1"/>
  <c r="S95" i="52"/>
  <c r="S97" i="52"/>
  <c r="S99" i="52" s="1"/>
  <c r="S92" i="52"/>
  <c r="S94" i="52"/>
  <c r="S98" i="52" s="1"/>
  <c r="S93" i="52"/>
  <c r="S96" i="52"/>
  <c r="AA72" i="52" l="1"/>
  <c r="AA69" i="52" s="1"/>
  <c r="AA89" i="52" s="1"/>
  <c r="Z65" i="52"/>
  <c r="Z85" i="52" s="1"/>
  <c r="Z70" i="52"/>
  <c r="Z90" i="52" s="1"/>
  <c r="Z66" i="52"/>
  <c r="Z86" i="52" s="1"/>
  <c r="Z63" i="52"/>
  <c r="Z83" i="52" s="1"/>
  <c r="Z64" i="52"/>
  <c r="Z84" i="52" s="1"/>
  <c r="M30" i="49"/>
  <c r="T94" i="52"/>
  <c r="T98" i="52" s="1"/>
  <c r="T95" i="52"/>
  <c r="T96" i="52"/>
  <c r="T97" i="52"/>
  <c r="T99" i="52" s="1"/>
  <c r="T93" i="52"/>
  <c r="T92" i="52"/>
  <c r="AB72" i="52" l="1"/>
  <c r="AB69" i="52" s="1"/>
  <c r="AB89" i="52" s="1"/>
  <c r="AA70" i="52"/>
  <c r="AA90" i="52" s="1"/>
  <c r="AA66" i="52"/>
  <c r="AA86" i="52" s="1"/>
  <c r="AA65" i="52"/>
  <c r="AA85" i="52" s="1"/>
  <c r="AA64" i="52"/>
  <c r="AA84" i="52" s="1"/>
  <c r="AA63" i="52"/>
  <c r="AA83" i="52" s="1"/>
  <c r="N30" i="49"/>
  <c r="U96" i="52"/>
  <c r="U93" i="52"/>
  <c r="U95" i="52"/>
  <c r="U94" i="52"/>
  <c r="U98" i="52" s="1"/>
  <c r="U92" i="52"/>
  <c r="U97" i="52"/>
  <c r="U99" i="52" s="1"/>
  <c r="AC72" i="52" l="1"/>
  <c r="AC69" i="52" s="1"/>
  <c r="AC89" i="52" s="1"/>
  <c r="AB65" i="52"/>
  <c r="AB85" i="52" s="1"/>
  <c r="AB66" i="52"/>
  <c r="AB86" i="52" s="1"/>
  <c r="AB70" i="52"/>
  <c r="AB90" i="52" s="1"/>
  <c r="AB63" i="52"/>
  <c r="AB83" i="52" s="1"/>
  <c r="AB64" i="52"/>
  <c r="AB84" i="52" s="1"/>
  <c r="P29" i="49"/>
  <c r="V97" i="52"/>
  <c r="V93" i="52"/>
  <c r="V94" i="52"/>
  <c r="V98" i="52" s="1"/>
  <c r="V95" i="52"/>
  <c r="V96" i="52"/>
  <c r="V92" i="52"/>
  <c r="AD72" i="52" l="1"/>
  <c r="AD69" i="52" s="1"/>
  <c r="AD89" i="52" s="1"/>
  <c r="AC66" i="52"/>
  <c r="AC86" i="52" s="1"/>
  <c r="AC65" i="52"/>
  <c r="AC85" i="52" s="1"/>
  <c r="AC70" i="52"/>
  <c r="AC90" i="52" s="1"/>
  <c r="AC63" i="52"/>
  <c r="AC83" i="52" s="1"/>
  <c r="AC64" i="52"/>
  <c r="AC84" i="52" s="1"/>
  <c r="V99" i="52"/>
  <c r="Q29" i="49"/>
  <c r="P30" i="49"/>
  <c r="W97" i="52"/>
  <c r="W99" i="52" s="1"/>
  <c r="W92" i="52"/>
  <c r="W94" i="52"/>
  <c r="W98" i="52" s="1"/>
  <c r="W93" i="52"/>
  <c r="W96" i="52"/>
  <c r="W95" i="52"/>
  <c r="AE72" i="52" l="1"/>
  <c r="AE69" i="52" s="1"/>
  <c r="AE89" i="52" s="1"/>
  <c r="AD65" i="52"/>
  <c r="AD85" i="52" s="1"/>
  <c r="AD66" i="52"/>
  <c r="AD86" i="52" s="1"/>
  <c r="AD70" i="52"/>
  <c r="AD90" i="52" s="1"/>
  <c r="AD64" i="52"/>
  <c r="AD84" i="52" s="1"/>
  <c r="AD63" i="52"/>
  <c r="AD83" i="52" s="1"/>
  <c r="R29" i="49"/>
  <c r="Q30" i="49"/>
  <c r="X94" i="52"/>
  <c r="X98" i="52" s="1"/>
  <c r="X95" i="52"/>
  <c r="X96" i="52"/>
  <c r="X97" i="52"/>
  <c r="X99" i="52" s="1"/>
  <c r="X93" i="52"/>
  <c r="X92" i="52"/>
  <c r="AF72" i="52" l="1"/>
  <c r="AF69" i="52" s="1"/>
  <c r="AF89" i="52" s="1"/>
  <c r="AE66" i="52"/>
  <c r="AE86" i="52" s="1"/>
  <c r="AE65" i="52"/>
  <c r="AE85" i="52" s="1"/>
  <c r="AE70" i="52"/>
  <c r="AE90" i="52" s="1"/>
  <c r="AE63" i="52"/>
  <c r="AE83" i="52" s="1"/>
  <c r="AE64" i="52"/>
  <c r="AE84" i="52" s="1"/>
  <c r="S29" i="49"/>
  <c r="R30" i="49"/>
  <c r="Y93" i="52"/>
  <c r="Y95" i="52"/>
  <c r="Y94" i="52"/>
  <c r="Y98" i="52" s="1"/>
  <c r="Y92" i="52"/>
  <c r="Y97" i="52"/>
  <c r="Y99" i="52" s="1"/>
  <c r="Y96" i="52"/>
  <c r="AG72" i="52" l="1"/>
  <c r="AG69" i="52" s="1"/>
  <c r="AG89" i="52" s="1"/>
  <c r="AF66" i="52"/>
  <c r="AF86" i="52" s="1"/>
  <c r="AF70" i="52"/>
  <c r="AF90" i="52" s="1"/>
  <c r="AF65" i="52"/>
  <c r="AF85" i="52" s="1"/>
  <c r="AF64" i="52"/>
  <c r="AF84" i="52" s="1"/>
  <c r="AF63" i="52"/>
  <c r="AF83" i="52" s="1"/>
  <c r="T29" i="49"/>
  <c r="S30" i="49"/>
  <c r="Z95" i="52"/>
  <c r="Z96" i="52"/>
  <c r="Z92" i="52"/>
  <c r="Z97" i="52"/>
  <c r="Z99" i="52" s="1"/>
  <c r="Z93" i="52"/>
  <c r="Z94" i="52"/>
  <c r="Z98" i="52" s="1"/>
  <c r="AH72" i="52" l="1"/>
  <c r="AH69" i="52" s="1"/>
  <c r="AH89" i="52" s="1"/>
  <c r="AG70" i="52"/>
  <c r="AG90" i="52" s="1"/>
  <c r="AG66" i="52"/>
  <c r="AG86" i="52" s="1"/>
  <c r="AG65" i="52"/>
  <c r="AG85" i="52" s="1"/>
  <c r="AG63" i="52"/>
  <c r="AG83" i="52" s="1"/>
  <c r="AG64" i="52"/>
  <c r="AG84" i="52" s="1"/>
  <c r="U29" i="49"/>
  <c r="T30" i="49"/>
  <c r="AA94" i="52"/>
  <c r="AA98" i="52" s="1"/>
  <c r="AA93" i="52"/>
  <c r="AA96" i="52"/>
  <c r="AA95" i="52"/>
  <c r="AA97" i="52"/>
  <c r="AA99" i="52" s="1"/>
  <c r="AA92" i="52"/>
  <c r="AI72" i="52" l="1"/>
  <c r="AI69" i="52" s="1"/>
  <c r="AI89" i="52" s="1"/>
  <c r="AH65" i="52"/>
  <c r="AH85" i="52" s="1"/>
  <c r="AH66" i="52"/>
  <c r="AH86" i="52" s="1"/>
  <c r="AH70" i="52"/>
  <c r="AH90" i="52" s="1"/>
  <c r="AH63" i="52"/>
  <c r="AH83" i="52" s="1"/>
  <c r="AH64" i="52"/>
  <c r="AH84" i="52" s="1"/>
  <c r="V29" i="49"/>
  <c r="U30" i="49"/>
  <c r="AB96" i="52"/>
  <c r="AB93" i="52"/>
  <c r="AB92" i="52"/>
  <c r="AB97" i="52"/>
  <c r="AB99" i="52" s="1"/>
  <c r="AB94" i="52"/>
  <c r="AB98" i="52" s="1"/>
  <c r="AB95" i="52"/>
  <c r="AJ72" i="52" l="1"/>
  <c r="AJ69" i="52" s="1"/>
  <c r="AJ89" i="52" s="1"/>
  <c r="AI70" i="52"/>
  <c r="AI90" i="52" s="1"/>
  <c r="AI65" i="52"/>
  <c r="AI85" i="52" s="1"/>
  <c r="AI66" i="52"/>
  <c r="AI86" i="52" s="1"/>
  <c r="AI64" i="52"/>
  <c r="AI84" i="52" s="1"/>
  <c r="AI63" i="52"/>
  <c r="AI83" i="52" s="1"/>
  <c r="W29" i="49"/>
  <c r="V30" i="49"/>
  <c r="AC95" i="52"/>
  <c r="AC94" i="52"/>
  <c r="AC98" i="52" s="1"/>
  <c r="AC92" i="52"/>
  <c r="AC97" i="52"/>
  <c r="AC99" i="52" s="1"/>
  <c r="AC96" i="52"/>
  <c r="AC93" i="52"/>
  <c r="AK72" i="52" l="1"/>
  <c r="AK69" i="52" s="1"/>
  <c r="AK89" i="52" s="1"/>
  <c r="AJ70" i="52"/>
  <c r="AJ90" i="52" s="1"/>
  <c r="AJ65" i="52"/>
  <c r="AJ85" i="52" s="1"/>
  <c r="AJ66" i="52"/>
  <c r="AJ86" i="52" s="1"/>
  <c r="AJ63" i="52"/>
  <c r="AJ83" i="52" s="1"/>
  <c r="AJ64" i="52"/>
  <c r="AJ84" i="52" s="1"/>
  <c r="X29" i="49"/>
  <c r="W30" i="49"/>
  <c r="AD95" i="52"/>
  <c r="AD96" i="52"/>
  <c r="AD92" i="52"/>
  <c r="AD97" i="52"/>
  <c r="AD99" i="52" s="1"/>
  <c r="AD93" i="52"/>
  <c r="AD94" i="52"/>
  <c r="AD98" i="52" s="1"/>
  <c r="AL72" i="52" l="1"/>
  <c r="AL69" i="52" s="1"/>
  <c r="AL89" i="52" s="1"/>
  <c r="AK66" i="52"/>
  <c r="AK86" i="52" s="1"/>
  <c r="AK65" i="52"/>
  <c r="AK85" i="52" s="1"/>
  <c r="AK70" i="52"/>
  <c r="AK90" i="52" s="1"/>
  <c r="AK63" i="52"/>
  <c r="AK83" i="52" s="1"/>
  <c r="AK64" i="52"/>
  <c r="AK84" i="52" s="1"/>
  <c r="Y29" i="49"/>
  <c r="X30" i="49"/>
  <c r="AE93" i="52"/>
  <c r="AE96" i="52"/>
  <c r="AE95" i="52"/>
  <c r="AE97" i="52"/>
  <c r="AE99" i="52" s="1"/>
  <c r="AE92" i="52"/>
  <c r="AE94" i="52"/>
  <c r="AE98" i="52" s="1"/>
  <c r="AM72" i="52" l="1"/>
  <c r="AM69" i="52" s="1"/>
  <c r="AM89" i="52" s="1"/>
  <c r="AL65" i="52"/>
  <c r="AL85" i="52" s="1"/>
  <c r="AL66" i="52"/>
  <c r="AL86" i="52" s="1"/>
  <c r="AL70" i="52"/>
  <c r="AL90" i="52" s="1"/>
  <c r="AL64" i="52"/>
  <c r="AL84" i="52" s="1"/>
  <c r="AL63" i="52"/>
  <c r="AL83" i="52" s="1"/>
  <c r="Z29" i="49"/>
  <c r="Y30" i="49"/>
  <c r="AF96" i="52"/>
  <c r="AF93" i="52"/>
  <c r="AF97" i="52"/>
  <c r="AF99" i="52" s="1"/>
  <c r="AF94" i="52"/>
  <c r="AF98" i="52" s="1"/>
  <c r="AF95" i="52"/>
  <c r="AF92" i="52"/>
  <c r="AN72" i="52" l="1"/>
  <c r="AN69" i="52" s="1"/>
  <c r="AN89" i="52" s="1"/>
  <c r="AM65" i="52"/>
  <c r="AM85" i="52" s="1"/>
  <c r="AM70" i="52"/>
  <c r="AM90" i="52" s="1"/>
  <c r="AM66" i="52"/>
  <c r="AM86" i="52" s="1"/>
  <c r="AM64" i="52"/>
  <c r="AM84" i="52" s="1"/>
  <c r="AM63" i="52"/>
  <c r="AM83" i="52" s="1"/>
  <c r="AA29" i="49"/>
  <c r="Z30" i="49"/>
  <c r="AG94" i="52"/>
  <c r="AG98" i="52" s="1"/>
  <c r="AG97" i="52"/>
  <c r="AG99" i="52" s="1"/>
  <c r="AG96" i="52"/>
  <c r="AG93" i="52"/>
  <c r="AG92" i="52"/>
  <c r="AG95" i="52"/>
  <c r="AO72" i="52" l="1"/>
  <c r="AO69" i="52" s="1"/>
  <c r="AO89" i="52" s="1"/>
  <c r="AN66" i="52"/>
  <c r="AN86" i="52" s="1"/>
  <c r="AN65" i="52"/>
  <c r="AN85" i="52" s="1"/>
  <c r="AN70" i="52"/>
  <c r="AN90" i="52" s="1"/>
  <c r="AN64" i="52"/>
  <c r="AN84" i="52" s="1"/>
  <c r="AN63" i="52"/>
  <c r="AN83" i="52" s="1"/>
  <c r="AB29" i="49"/>
  <c r="AA30" i="49"/>
  <c r="AH97" i="52"/>
  <c r="AH99" i="52" s="1"/>
  <c r="AH93" i="52"/>
  <c r="AH94" i="52"/>
  <c r="AH98" i="52" s="1"/>
  <c r="AH95" i="52"/>
  <c r="AH96" i="52"/>
  <c r="AH92" i="52"/>
  <c r="AP72" i="52" l="1"/>
  <c r="AP69" i="52" s="1"/>
  <c r="AP89" i="52" s="1"/>
  <c r="AO66" i="52"/>
  <c r="AO86" i="52" s="1"/>
  <c r="AO65" i="52"/>
  <c r="AO85" i="52" s="1"/>
  <c r="AO70" i="52"/>
  <c r="AO90" i="52" s="1"/>
  <c r="AO64" i="52"/>
  <c r="AO84" i="52" s="1"/>
  <c r="AO63" i="52"/>
  <c r="AO83" i="52" s="1"/>
  <c r="AC29" i="49"/>
  <c r="AB30" i="49"/>
  <c r="AI95" i="52"/>
  <c r="AI97" i="52"/>
  <c r="AI99" i="52" s="1"/>
  <c r="AI92" i="52"/>
  <c r="AI94" i="52"/>
  <c r="AI98" i="52" s="1"/>
  <c r="AI93" i="52"/>
  <c r="AI96" i="52"/>
  <c r="AQ72" i="52" l="1"/>
  <c r="AQ69" i="52" s="1"/>
  <c r="AQ89" i="52" s="1"/>
  <c r="AP65" i="52"/>
  <c r="AP85" i="52" s="1"/>
  <c r="AP70" i="52"/>
  <c r="AP90" i="52" s="1"/>
  <c r="AP66" i="52"/>
  <c r="AP86" i="52" s="1"/>
  <c r="AP63" i="52"/>
  <c r="AP83" i="52" s="1"/>
  <c r="AP64" i="52"/>
  <c r="AP84" i="52" s="1"/>
  <c r="AD29" i="49"/>
  <c r="AC30" i="49"/>
  <c r="AJ92" i="52"/>
  <c r="AJ94" i="52"/>
  <c r="AJ98" i="52" s="1"/>
  <c r="AJ95" i="52"/>
  <c r="AJ97" i="52"/>
  <c r="AJ99" i="52" s="1"/>
  <c r="AJ96" i="52"/>
  <c r="AJ93" i="52"/>
  <c r="AR72" i="52" l="1"/>
  <c r="AR69" i="52" s="1"/>
  <c r="AR89" i="52" s="1"/>
  <c r="AQ70" i="52"/>
  <c r="AQ90" i="52" s="1"/>
  <c r="AQ65" i="52"/>
  <c r="AQ85" i="52" s="1"/>
  <c r="AQ66" i="52"/>
  <c r="AQ86" i="52" s="1"/>
  <c r="AQ64" i="52"/>
  <c r="AQ84" i="52" s="1"/>
  <c r="AQ63" i="52"/>
  <c r="AQ83" i="52" s="1"/>
  <c r="AE29" i="49"/>
  <c r="AD30" i="49"/>
  <c r="AK96" i="52"/>
  <c r="AK93" i="52"/>
  <c r="AK95" i="52"/>
  <c r="AK92" i="52"/>
  <c r="AK94" i="52"/>
  <c r="AK98" i="52" s="1"/>
  <c r="AK97" i="52"/>
  <c r="AK99" i="52" s="1"/>
  <c r="AS72" i="52" l="1"/>
  <c r="AS69" i="52" s="1"/>
  <c r="AS89" i="52" s="1"/>
  <c r="AR66" i="52"/>
  <c r="AR86" i="52" s="1"/>
  <c r="AR65" i="52"/>
  <c r="AR85" i="52" s="1"/>
  <c r="AR70" i="52"/>
  <c r="AR90" i="52" s="1"/>
  <c r="AR64" i="52"/>
  <c r="AR84" i="52" s="1"/>
  <c r="AR63" i="52"/>
  <c r="AR83" i="52" s="1"/>
  <c r="AF29" i="49"/>
  <c r="AE30" i="49"/>
  <c r="AL97" i="52"/>
  <c r="AL99" i="52" s="1"/>
  <c r="AL93" i="52"/>
  <c r="AL94" i="52"/>
  <c r="AL98" i="52" s="1"/>
  <c r="AL95" i="52"/>
  <c r="AL96" i="52"/>
  <c r="AL92" i="52"/>
  <c r="AT72" i="52" l="1"/>
  <c r="AT69" i="52" s="1"/>
  <c r="AT89" i="52" s="1"/>
  <c r="AS66" i="52"/>
  <c r="AS86" i="52" s="1"/>
  <c r="AS70" i="52"/>
  <c r="AS90" i="52" s="1"/>
  <c r="AS65" i="52"/>
  <c r="AS85" i="52" s="1"/>
  <c r="AS63" i="52"/>
  <c r="AS83" i="52" s="1"/>
  <c r="AS64" i="52"/>
  <c r="AS84" i="52" s="1"/>
  <c r="AG29" i="49"/>
  <c r="AF30" i="49"/>
  <c r="AM97" i="52"/>
  <c r="AM99" i="52" s="1"/>
  <c r="AM92" i="52"/>
  <c r="AM94" i="52"/>
  <c r="AM98" i="52" s="1"/>
  <c r="AM93" i="52"/>
  <c r="AM96" i="52"/>
  <c r="AM95" i="52"/>
  <c r="AU72" i="52" l="1"/>
  <c r="AU69" i="52" s="1"/>
  <c r="AU89" i="52" s="1"/>
  <c r="AT65" i="52"/>
  <c r="AT85" i="52" s="1"/>
  <c r="AT70" i="52"/>
  <c r="AT90" i="52" s="1"/>
  <c r="AT66" i="52"/>
  <c r="AT86" i="52" s="1"/>
  <c r="AT64" i="52"/>
  <c r="AT84" i="52" s="1"/>
  <c r="AT63" i="52"/>
  <c r="AT83" i="52" s="1"/>
  <c r="AH29" i="49"/>
  <c r="AG30" i="49"/>
  <c r="AN94" i="52"/>
  <c r="AN98" i="52" s="1"/>
  <c r="AN95" i="52"/>
  <c r="AN97" i="52"/>
  <c r="AN99" i="52" s="1"/>
  <c r="AN96" i="52"/>
  <c r="AN93" i="52"/>
  <c r="AN92" i="52"/>
  <c r="AV72" i="52" l="1"/>
  <c r="AV69" i="52" s="1"/>
  <c r="AV89" i="52" s="1"/>
  <c r="AU65" i="52"/>
  <c r="AU85" i="52" s="1"/>
  <c r="AU70" i="52"/>
  <c r="AU90" i="52" s="1"/>
  <c r="AU66" i="52"/>
  <c r="AU86" i="52" s="1"/>
  <c r="AU64" i="52"/>
  <c r="AU84" i="52" s="1"/>
  <c r="AU63" i="52"/>
  <c r="AU83" i="52" s="1"/>
  <c r="AI29" i="49"/>
  <c r="AH30" i="49"/>
  <c r="AO93" i="52"/>
  <c r="AO95" i="52"/>
  <c r="AO92" i="52"/>
  <c r="AO94" i="52"/>
  <c r="AO98" i="52" s="1"/>
  <c r="AO97" i="52"/>
  <c r="AO99" i="52" s="1"/>
  <c r="AO96" i="52"/>
  <c r="AW72" i="52" l="1"/>
  <c r="AW69" i="52" s="1"/>
  <c r="AW89" i="52" s="1"/>
  <c r="AV66" i="52"/>
  <c r="AV86" i="52" s="1"/>
  <c r="AV65" i="52"/>
  <c r="AV85" i="52" s="1"/>
  <c r="AV70" i="52"/>
  <c r="AV90" i="52" s="1"/>
  <c r="AV63" i="52"/>
  <c r="AV83" i="52" s="1"/>
  <c r="AV64" i="52"/>
  <c r="AV84" i="52" s="1"/>
  <c r="AJ29" i="49"/>
  <c r="AI30" i="49"/>
  <c r="AP95" i="52"/>
  <c r="AP96" i="52"/>
  <c r="AP92" i="52"/>
  <c r="AP97" i="52"/>
  <c r="AP99" i="52" s="1"/>
  <c r="AP93" i="52"/>
  <c r="AP94" i="52"/>
  <c r="AP98" i="52" s="1"/>
  <c r="AX72" i="52" l="1"/>
  <c r="AX69" i="52" s="1"/>
  <c r="AX89" i="52" s="1"/>
  <c r="AW70" i="52"/>
  <c r="AW90" i="52" s="1"/>
  <c r="AW66" i="52"/>
  <c r="AW86" i="52" s="1"/>
  <c r="AW65" i="52"/>
  <c r="AW85" i="52" s="1"/>
  <c r="AW63" i="52"/>
  <c r="AW83" i="52" s="1"/>
  <c r="AW64" i="52"/>
  <c r="AW84" i="52" s="1"/>
  <c r="AK29" i="49"/>
  <c r="AJ30" i="49"/>
  <c r="AQ94" i="52"/>
  <c r="AQ98" i="52" s="1"/>
  <c r="AQ93" i="52"/>
  <c r="AQ96" i="52"/>
  <c r="AQ95" i="52"/>
  <c r="AQ97" i="52"/>
  <c r="AQ99" i="52" s="1"/>
  <c r="AQ92" i="52"/>
  <c r="AY72" i="52" l="1"/>
  <c r="AY69" i="52" s="1"/>
  <c r="AY89" i="52" s="1"/>
  <c r="AX65" i="52"/>
  <c r="AX85" i="52" s="1"/>
  <c r="AX66" i="52"/>
  <c r="AX86" i="52" s="1"/>
  <c r="AX70" i="52"/>
  <c r="AX90" i="52" s="1"/>
  <c r="AX63" i="52"/>
  <c r="AX83" i="52" s="1"/>
  <c r="AX64" i="52"/>
  <c r="AX84" i="52" s="1"/>
  <c r="AL29" i="49"/>
  <c r="AK30" i="49"/>
  <c r="AR97" i="52"/>
  <c r="AR99" i="52" s="1"/>
  <c r="AR96" i="52"/>
  <c r="AR93" i="52"/>
  <c r="AR92" i="52"/>
  <c r="AR94" i="52"/>
  <c r="AR98" i="52" s="1"/>
  <c r="AR95" i="52"/>
  <c r="AZ72" i="52" l="1"/>
  <c r="AZ69" i="52" s="1"/>
  <c r="AZ89" i="52" s="1"/>
  <c r="AY70" i="52"/>
  <c r="AY90" i="52" s="1"/>
  <c r="AY66" i="52"/>
  <c r="AY86" i="52" s="1"/>
  <c r="AY65" i="52"/>
  <c r="AY85" i="52" s="1"/>
  <c r="AY64" i="52"/>
  <c r="AY84" i="52" s="1"/>
  <c r="AY63" i="52"/>
  <c r="AY83" i="52" s="1"/>
  <c r="AM29" i="49"/>
  <c r="AL30" i="49"/>
  <c r="AS95" i="52"/>
  <c r="AS92" i="52"/>
  <c r="AS94" i="52"/>
  <c r="AS98" i="52" s="1"/>
  <c r="AS97" i="52"/>
  <c r="AS99" i="52" s="1"/>
  <c r="AS96" i="52"/>
  <c r="AS93" i="52"/>
  <c r="BA72" i="52" l="1"/>
  <c r="BA69" i="52" s="1"/>
  <c r="BA89" i="52" s="1"/>
  <c r="AZ70" i="52"/>
  <c r="AZ90" i="52" s="1"/>
  <c r="AZ66" i="52"/>
  <c r="AZ86" i="52" s="1"/>
  <c r="AZ65" i="52"/>
  <c r="AZ85" i="52" s="1"/>
  <c r="AZ63" i="52"/>
  <c r="AZ83" i="52" s="1"/>
  <c r="AZ64" i="52"/>
  <c r="AZ84" i="52" s="1"/>
  <c r="AN29" i="49"/>
  <c r="AM30" i="49"/>
  <c r="AT95" i="52"/>
  <c r="AT96" i="52"/>
  <c r="AT92" i="52"/>
  <c r="AT97" i="52"/>
  <c r="AT99" i="52" s="1"/>
  <c r="AT94" i="52"/>
  <c r="AT98" i="52" s="1"/>
  <c r="AT93" i="52"/>
  <c r="BB72" i="52" l="1"/>
  <c r="BB69" i="52" s="1"/>
  <c r="BB89" i="52" s="1"/>
  <c r="BA65" i="52"/>
  <c r="BA85" i="52" s="1"/>
  <c r="BA70" i="52"/>
  <c r="BA90" i="52" s="1"/>
  <c r="BA66" i="52"/>
  <c r="BA86" i="52" s="1"/>
  <c r="BA63" i="52"/>
  <c r="BA83" i="52" s="1"/>
  <c r="BA64" i="52"/>
  <c r="BA84" i="52" s="1"/>
  <c r="AO29" i="49"/>
  <c r="AN30" i="49"/>
  <c r="AU93" i="52"/>
  <c r="AU96" i="52"/>
  <c r="AU95" i="52"/>
  <c r="AU97" i="52"/>
  <c r="AU99" i="52" s="1"/>
  <c r="AU92" i="52"/>
  <c r="AU94" i="52"/>
  <c r="AU98" i="52" s="1"/>
  <c r="BC72" i="52" l="1"/>
  <c r="BC69" i="52" s="1"/>
  <c r="BC89" i="52" s="1"/>
  <c r="BB65" i="52"/>
  <c r="BB85" i="52" s="1"/>
  <c r="BB66" i="52"/>
  <c r="BB86" i="52" s="1"/>
  <c r="BB70" i="52"/>
  <c r="BB90" i="52" s="1"/>
  <c r="BB63" i="52"/>
  <c r="BB83" i="52" s="1"/>
  <c r="BB64" i="52"/>
  <c r="BB84" i="52" s="1"/>
  <c r="AP29" i="49"/>
  <c r="AO30" i="49"/>
  <c r="AV96" i="52"/>
  <c r="AV93" i="52"/>
  <c r="AV97" i="52"/>
  <c r="AV99" i="52" s="1"/>
  <c r="AV92" i="52"/>
  <c r="AV94" i="52"/>
  <c r="AV98" i="52" s="1"/>
  <c r="AV95" i="52"/>
  <c r="BD72" i="52" l="1"/>
  <c r="BD69" i="52" s="1"/>
  <c r="BD89" i="52" s="1"/>
  <c r="BC65" i="52"/>
  <c r="BC85" i="52" s="1"/>
  <c r="BC66" i="52"/>
  <c r="BC86" i="52" s="1"/>
  <c r="BC70" i="52"/>
  <c r="BC90" i="52" s="1"/>
  <c r="BC63" i="52"/>
  <c r="BC83" i="52" s="1"/>
  <c r="BC64" i="52"/>
  <c r="BC84" i="52" s="1"/>
  <c r="AQ29" i="49"/>
  <c r="AP30" i="49"/>
  <c r="AW94" i="52"/>
  <c r="AW98" i="52" s="1"/>
  <c r="AW97" i="52"/>
  <c r="AW99" i="52" s="1"/>
  <c r="AW96" i="52"/>
  <c r="AW93" i="52"/>
  <c r="AW95" i="52"/>
  <c r="AW92" i="52"/>
  <c r="BE72" i="52" l="1"/>
  <c r="BE69" i="52" s="1"/>
  <c r="BE89" i="52" s="1"/>
  <c r="BD66" i="52"/>
  <c r="BD86" i="52" s="1"/>
  <c r="BD65" i="52"/>
  <c r="BD85" i="52" s="1"/>
  <c r="BD70" i="52"/>
  <c r="BD90" i="52" s="1"/>
  <c r="BD63" i="52"/>
  <c r="BD83" i="52" s="1"/>
  <c r="BD64" i="52"/>
  <c r="BD84" i="52" s="1"/>
  <c r="AR29" i="49"/>
  <c r="AQ30" i="49"/>
  <c r="AX97" i="52"/>
  <c r="AX99" i="52" s="1"/>
  <c r="AX94" i="52"/>
  <c r="AX98" i="52" s="1"/>
  <c r="AX93" i="52"/>
  <c r="AX95" i="52"/>
  <c r="AX96" i="52"/>
  <c r="AX92" i="52"/>
  <c r="BF72" i="52" l="1"/>
  <c r="BF69" i="52" s="1"/>
  <c r="BF89" i="52" s="1"/>
  <c r="BE66" i="52"/>
  <c r="BE86" i="52" s="1"/>
  <c r="BE65" i="52"/>
  <c r="BE85" i="52" s="1"/>
  <c r="BE70" i="52"/>
  <c r="BE90" i="52" s="1"/>
  <c r="BE64" i="52"/>
  <c r="BE84" i="52" s="1"/>
  <c r="BE63" i="52"/>
  <c r="BE83" i="52" s="1"/>
  <c r="AS29" i="49"/>
  <c r="AR30" i="49"/>
  <c r="AY95" i="52"/>
  <c r="AY97" i="52"/>
  <c r="AY99" i="52" s="1"/>
  <c r="AY92" i="52"/>
  <c r="AY94" i="52"/>
  <c r="AY98" i="52" s="1"/>
  <c r="AY93" i="52"/>
  <c r="AY96" i="52"/>
  <c r="BG72" i="52" l="1"/>
  <c r="BG69" i="52" s="1"/>
  <c r="BG89" i="52" s="1"/>
  <c r="BF65" i="52"/>
  <c r="BF85" i="52" s="1"/>
  <c r="BF70" i="52"/>
  <c r="BF90" i="52" s="1"/>
  <c r="BF66" i="52"/>
  <c r="BF86" i="52" s="1"/>
  <c r="BF63" i="52"/>
  <c r="BF83" i="52" s="1"/>
  <c r="BF64" i="52"/>
  <c r="BF84" i="52" s="1"/>
  <c r="AT29" i="49"/>
  <c r="AS30" i="49"/>
  <c r="AZ97" i="52"/>
  <c r="AZ99" i="52" s="1"/>
  <c r="AZ92" i="52"/>
  <c r="AZ94" i="52"/>
  <c r="AZ98" i="52" s="1"/>
  <c r="AZ95" i="52"/>
  <c r="AZ96" i="52"/>
  <c r="AZ93" i="52"/>
  <c r="BG70" i="52" l="1"/>
  <c r="BG90" i="52" s="1"/>
  <c r="BG66" i="52"/>
  <c r="BG86" i="52" s="1"/>
  <c r="BG65" i="52"/>
  <c r="BG85" i="52" s="1"/>
  <c r="BG64" i="52"/>
  <c r="BG84" i="52" s="1"/>
  <c r="BG63" i="52"/>
  <c r="BG83" i="52" s="1"/>
  <c r="AU29" i="49"/>
  <c r="AT30" i="49"/>
  <c r="BA96" i="52"/>
  <c r="BA93" i="52"/>
  <c r="BA95" i="52"/>
  <c r="BA92" i="52"/>
  <c r="BA94" i="52"/>
  <c r="BA98" i="52" s="1"/>
  <c r="BA97" i="52"/>
  <c r="BA99" i="52" s="1"/>
  <c r="AV29" i="49" l="1"/>
  <c r="AU30" i="49"/>
  <c r="BB97" i="52"/>
  <c r="BB99" i="52" s="1"/>
  <c r="BB94" i="52"/>
  <c r="BB98" i="52" s="1"/>
  <c r="BB93" i="52"/>
  <c r="BB95" i="52"/>
  <c r="BB96" i="52"/>
  <c r="BB92" i="52"/>
  <c r="AW29" i="49" l="1"/>
  <c r="AV30" i="49"/>
  <c r="BC97" i="52"/>
  <c r="BC99" i="52" s="1"/>
  <c r="BC92" i="52"/>
  <c r="BC94" i="52"/>
  <c r="BC98" i="52" s="1"/>
  <c r="BC93" i="52"/>
  <c r="BC96" i="52"/>
  <c r="BC95" i="52"/>
  <c r="AX29" i="49" l="1"/>
  <c r="AW30" i="49"/>
  <c r="BD94" i="52"/>
  <c r="BD98" i="52" s="1"/>
  <c r="BD95" i="52"/>
  <c r="BD96" i="52"/>
  <c r="BD93" i="52"/>
  <c r="BD97" i="52"/>
  <c r="BD99" i="52" s="1"/>
  <c r="BD92" i="52"/>
  <c r="AY29" i="49" l="1"/>
  <c r="AX30" i="49"/>
  <c r="BE93" i="52"/>
  <c r="BE95" i="52"/>
  <c r="BE92" i="52"/>
  <c r="BE94" i="52"/>
  <c r="BE98" i="52" s="1"/>
  <c r="BE97" i="52"/>
  <c r="BE99" i="52" s="1"/>
  <c r="BE96" i="52"/>
  <c r="AZ29" i="49" l="1"/>
  <c r="AY30" i="49"/>
  <c r="BF95" i="52"/>
  <c r="BF96" i="52"/>
  <c r="BF92" i="52"/>
  <c r="BF97" i="52"/>
  <c r="BF99" i="52" s="1"/>
  <c r="BF94" i="52"/>
  <c r="BF98" i="52" s="1"/>
  <c r="BF93" i="52"/>
  <c r="BA29" i="49" l="1"/>
  <c r="AZ30" i="49"/>
  <c r="BG94" i="52"/>
  <c r="BG98" i="52" s="1"/>
  <c r="BG93" i="52"/>
  <c r="BG96" i="52"/>
  <c r="BG95" i="52"/>
  <c r="BG97" i="52"/>
  <c r="BG92" i="52"/>
  <c r="BG99" i="52" l="1"/>
  <c r="BB29" i="49"/>
  <c r="BA30" i="49"/>
  <c r="BB30" i="49" l="1"/>
  <c r="BC29" i="49"/>
  <c r="BC30" i="49" l="1"/>
  <c r="BD29" i="49"/>
  <c r="BE29" i="49" l="1"/>
  <c r="BD30" i="49"/>
  <c r="BF29" i="49" l="1"/>
  <c r="BE30" i="49"/>
  <c r="AN103" i="52" l="1"/>
  <c r="BG29" i="49"/>
  <c r="BG30" i="49" s="1"/>
  <c r="AF105" i="52" s="1"/>
  <c r="BF30" i="49"/>
  <c r="Y108" i="52" s="1"/>
  <c r="K101" i="52" l="1"/>
  <c r="BD105" i="52"/>
  <c r="AF102" i="52"/>
  <c r="BG101" i="52"/>
  <c r="BG107" i="52"/>
  <c r="AZ106" i="52"/>
  <c r="AY106" i="52"/>
  <c r="AM105" i="52"/>
  <c r="X106" i="52"/>
  <c r="AR101" i="52"/>
  <c r="AV101" i="52"/>
  <c r="V107" i="52"/>
  <c r="AV102" i="52"/>
  <c r="AD105" i="52"/>
  <c r="J104" i="52"/>
  <c r="AC106" i="52"/>
  <c r="U106" i="52"/>
  <c r="Z107" i="52"/>
  <c r="K103" i="52"/>
  <c r="BD107" i="52"/>
  <c r="S105" i="52"/>
  <c r="O102" i="52"/>
  <c r="AB103" i="52"/>
  <c r="U108" i="52"/>
  <c r="AI108" i="52"/>
  <c r="AW108" i="52"/>
  <c r="U107" i="52"/>
  <c r="AJ104" i="52"/>
  <c r="AG103" i="52"/>
  <c r="AU103" i="52"/>
  <c r="S101" i="52"/>
  <c r="AG106" i="52"/>
  <c r="AS101" i="52"/>
  <c r="V105" i="52"/>
  <c r="P104" i="52"/>
  <c r="W104" i="52"/>
  <c r="AL103" i="52"/>
  <c r="Q106" i="52"/>
  <c r="AF103" i="52"/>
  <c r="BG103" i="52"/>
  <c r="AG104" i="52"/>
  <c r="BG104" i="52"/>
  <c r="AQ105" i="52"/>
  <c r="AP106" i="52"/>
  <c r="W101" i="52"/>
  <c r="Q101" i="52"/>
  <c r="AD107" i="52"/>
  <c r="K105" i="52"/>
  <c r="R108" i="52"/>
  <c r="AE107" i="52"/>
  <c r="AO104" i="52"/>
  <c r="AJ102" i="52"/>
  <c r="BF107" i="52"/>
  <c r="BC107" i="52"/>
  <c r="Y105" i="52"/>
  <c r="AP101" i="52"/>
  <c r="BF104" i="52"/>
  <c r="AA106" i="52"/>
  <c r="BE102" i="52"/>
  <c r="N103" i="52"/>
  <c r="AG105" i="52"/>
  <c r="AJ103" i="52"/>
  <c r="AC107" i="52"/>
  <c r="P107" i="52"/>
  <c r="U102" i="52"/>
  <c r="AH102" i="52"/>
  <c r="AU102" i="52"/>
  <c r="AO103" i="52"/>
  <c r="Y104" i="52"/>
  <c r="N104" i="52"/>
  <c r="AS106" i="52"/>
  <c r="W105" i="52"/>
  <c r="AU108" i="52"/>
  <c r="P108" i="52"/>
  <c r="BG108" i="52"/>
  <c r="AA104" i="52"/>
  <c r="AD103" i="52"/>
  <c r="AI103" i="52"/>
  <c r="AN105" i="52"/>
  <c r="AM104" i="52"/>
  <c r="AO101" i="52"/>
  <c r="BG105" i="52"/>
  <c r="BD102" i="52"/>
  <c r="AD102" i="52"/>
  <c r="W103" i="52"/>
  <c r="N108" i="52"/>
  <c r="BB101" i="52"/>
  <c r="T107" i="52"/>
  <c r="AD104" i="52"/>
  <c r="M108" i="52"/>
  <c r="Z103" i="52"/>
  <c r="M102" i="52"/>
  <c r="BF101" i="52"/>
  <c r="AZ101" i="52"/>
  <c r="AK106" i="52"/>
  <c r="AT106" i="52"/>
  <c r="AX102" i="52"/>
  <c r="Z104" i="52"/>
  <c r="AK108" i="52"/>
  <c r="T108" i="52"/>
  <c r="AM106" i="52"/>
  <c r="Y107" i="52"/>
  <c r="Z106" i="52"/>
  <c r="AA103" i="52"/>
  <c r="AM103" i="52"/>
  <c r="V101" i="52"/>
  <c r="BA104" i="52"/>
  <c r="AX101" i="52"/>
  <c r="O104" i="52"/>
  <c r="AF108" i="52"/>
  <c r="AC103" i="52"/>
  <c r="R103" i="52"/>
  <c r="AF106" i="52"/>
  <c r="AL105" i="52"/>
  <c r="Z105" i="52"/>
  <c r="AF104" i="52"/>
  <c r="AB104" i="52"/>
  <c r="BF105" i="52"/>
  <c r="AP103" i="52"/>
  <c r="AQ101" i="52"/>
  <c r="AL107" i="52"/>
  <c r="AG107" i="52"/>
  <c r="X105" i="52"/>
  <c r="Z108" i="52"/>
  <c r="BB108" i="52"/>
  <c r="AP105" i="52"/>
  <c r="AX103" i="52"/>
  <c r="AV107" i="52"/>
  <c r="R105" i="52"/>
  <c r="AC102" i="52"/>
  <c r="AN102" i="52"/>
  <c r="O106" i="52"/>
  <c r="AE102" i="52"/>
  <c r="AU107" i="52"/>
  <c r="AP107" i="52"/>
  <c r="AN104" i="52"/>
  <c r="AA101" i="52"/>
  <c r="P106" i="52"/>
  <c r="K102" i="52"/>
  <c r="AY103" i="52"/>
  <c r="AK103" i="52"/>
  <c r="V104" i="52"/>
  <c r="AK107" i="52"/>
  <c r="AS104" i="52"/>
  <c r="AE106" i="52"/>
  <c r="R101" i="52"/>
  <c r="J108" i="52"/>
  <c r="AS105" i="52"/>
  <c r="AB108" i="52"/>
  <c r="AG108" i="52"/>
  <c r="AZ105" i="52"/>
  <c r="AR106" i="52"/>
  <c r="O108" i="52"/>
  <c r="X107" i="52"/>
  <c r="N107" i="52"/>
  <c r="M103" i="52"/>
  <c r="AC105" i="52"/>
  <c r="AQ106" i="52"/>
  <c r="N106" i="52"/>
  <c r="V102" i="52"/>
  <c r="AA105" i="52"/>
  <c r="X102" i="52"/>
  <c r="AJ101" i="52"/>
  <c r="AA107" i="52"/>
  <c r="AJ106" i="52"/>
  <c r="BE106" i="52"/>
  <c r="BB106" i="52"/>
  <c r="AG102" i="52"/>
  <c r="AY105" i="52"/>
  <c r="M105" i="52"/>
  <c r="AV104" i="52"/>
  <c r="AH106" i="52"/>
  <c r="M104" i="52"/>
  <c r="AS107" i="52"/>
  <c r="AL108" i="52"/>
  <c r="S104" i="52"/>
  <c r="AW102" i="52"/>
  <c r="BB102" i="52"/>
  <c r="AO105" i="52"/>
  <c r="U105" i="52"/>
  <c r="Y103" i="52"/>
  <c r="AX107" i="52"/>
  <c r="P102" i="52"/>
  <c r="AZ102" i="52"/>
  <c r="BC102" i="52"/>
  <c r="AC104" i="52"/>
  <c r="T103" i="52"/>
  <c r="O101" i="52"/>
  <c r="AB107" i="52"/>
  <c r="BA105" i="52"/>
  <c r="AL102" i="52"/>
  <c r="AO106" i="52"/>
  <c r="O103" i="52"/>
  <c r="AQ103" i="52"/>
  <c r="AR104" i="52"/>
  <c r="AM108" i="52"/>
  <c r="AR105" i="52"/>
  <c r="AT108" i="52"/>
  <c r="Q105" i="52"/>
  <c r="AN108" i="52"/>
  <c r="AL106" i="52"/>
  <c r="W102" i="52"/>
  <c r="BF103" i="52"/>
  <c r="J103" i="52"/>
  <c r="AK104" i="52"/>
  <c r="X101" i="52"/>
  <c r="P105" i="52"/>
  <c r="N105" i="52"/>
  <c r="Z102" i="52"/>
  <c r="BB103" i="52"/>
  <c r="V106" i="52"/>
  <c r="AR102" i="52"/>
  <c r="W107" i="52"/>
  <c r="BA107" i="52"/>
  <c r="AX104" i="52"/>
  <c r="AJ107" i="52"/>
  <c r="R102" i="52"/>
  <c r="V103" i="52"/>
  <c r="AM101" i="52"/>
  <c r="N101" i="52"/>
  <c r="BC108" i="52"/>
  <c r="AI105" i="52"/>
  <c r="AV108" i="52"/>
  <c r="L104" i="52"/>
  <c r="AH103" i="52"/>
  <c r="AL101" i="52"/>
  <c r="K107" i="52"/>
  <c r="AH105" i="52"/>
  <c r="BG102" i="52"/>
  <c r="AE105" i="52"/>
  <c r="AB106" i="52"/>
  <c r="J102" i="52"/>
  <c r="AY107" i="52"/>
  <c r="AM107" i="52"/>
  <c r="AW103" i="52"/>
  <c r="AH107" i="52"/>
  <c r="T106" i="52"/>
  <c r="M106" i="52"/>
  <c r="N102" i="52"/>
  <c r="L106" i="52"/>
  <c r="AG101" i="52"/>
  <c r="AK105" i="52"/>
  <c r="AW104" i="52"/>
  <c r="BC104" i="52"/>
  <c r="V108" i="52"/>
  <c r="AZ108" i="52"/>
  <c r="AP108" i="52"/>
  <c r="AT105" i="52"/>
  <c r="AO107" i="52"/>
  <c r="U104" i="52"/>
  <c r="J106" i="52"/>
  <c r="U101" i="52"/>
  <c r="BA101" i="52"/>
  <c r="Q102" i="52"/>
  <c r="AK101" i="52"/>
  <c r="BD104" i="52"/>
  <c r="AU104" i="52"/>
  <c r="AI106" i="52"/>
  <c r="AR107" i="52"/>
  <c r="AM102" i="52"/>
  <c r="S103" i="52"/>
  <c r="BD101" i="52"/>
  <c r="Z101" i="52"/>
  <c r="S106" i="52"/>
  <c r="T104" i="52"/>
  <c r="AI102" i="52"/>
  <c r="T102" i="52"/>
  <c r="AF107" i="52"/>
  <c r="AV105" i="52"/>
  <c r="BA108" i="52"/>
  <c r="L108" i="52"/>
  <c r="W108" i="52"/>
  <c r="BE103" i="52"/>
  <c r="L105" i="52"/>
  <c r="Y106" i="52"/>
  <c r="BD106" i="52"/>
  <c r="AO102" i="52"/>
  <c r="AT107" i="52"/>
  <c r="AA102" i="52"/>
  <c r="AE101" i="52"/>
  <c r="S107" i="52"/>
  <c r="AV106" i="52"/>
  <c r="BG106" i="52"/>
  <c r="BC105" i="52"/>
  <c r="BF106" i="52"/>
  <c r="Y101" i="52"/>
  <c r="AY101" i="52"/>
  <c r="BE107" i="52"/>
  <c r="AD101" i="52"/>
  <c r="AD106" i="52"/>
  <c r="BF102" i="52"/>
  <c r="AZ103" i="52"/>
  <c r="X103" i="52"/>
  <c r="AO108" i="52"/>
  <c r="AE108" i="52"/>
  <c r="BE105" i="52"/>
  <c r="BF108" i="52"/>
  <c r="AJ108" i="52"/>
  <c r="Q103" i="52"/>
  <c r="BE101" i="52"/>
  <c r="AS108" i="52"/>
  <c r="M107" i="52"/>
  <c r="AB102" i="52"/>
  <c r="AQ102" i="52"/>
  <c r="AQ104" i="52"/>
  <c r="AS103" i="52"/>
  <c r="AW101" i="52"/>
  <c r="R107" i="52"/>
  <c r="O105" i="52"/>
  <c r="L102" i="52"/>
  <c r="AP104" i="52"/>
  <c r="Y102" i="52"/>
  <c r="AY102" i="52"/>
  <c r="AZ107" i="52"/>
  <c r="Q107" i="52"/>
  <c r="T101" i="52"/>
  <c r="AT104" i="52"/>
  <c r="AE103" i="52"/>
  <c r="BC103" i="52"/>
  <c r="AN101" i="52"/>
  <c r="AB105" i="52"/>
  <c r="AR108" i="52"/>
  <c r="AC108" i="52"/>
  <c r="BB107" i="52"/>
  <c r="Q108" i="52"/>
  <c r="M101" i="52"/>
  <c r="AT101" i="52"/>
  <c r="J101" i="52"/>
  <c r="S108" i="52"/>
  <c r="AN107" i="52"/>
  <c r="AI104" i="52"/>
  <c r="K106" i="52"/>
  <c r="BE108" i="52"/>
  <c r="AB101" i="52"/>
  <c r="AT102" i="52"/>
  <c r="AH101" i="52"/>
  <c r="AE104" i="52"/>
  <c r="AW106" i="52"/>
  <c r="AY104" i="52"/>
  <c r="BD108" i="52"/>
  <c r="J107" i="52"/>
  <c r="L107" i="52"/>
  <c r="AJ105" i="52"/>
  <c r="AQ108" i="52"/>
  <c r="AU105" i="52"/>
  <c r="K108" i="52"/>
  <c r="AU106" i="52"/>
  <c r="AU101" i="52"/>
  <c r="T105" i="52"/>
  <c r="Q104" i="52"/>
  <c r="K104" i="52"/>
  <c r="L103" i="52"/>
  <c r="BC106" i="52"/>
  <c r="BD103" i="52"/>
  <c r="AR103" i="52"/>
  <c r="AL104" i="52"/>
  <c r="BE104" i="52"/>
  <c r="AW107" i="52"/>
  <c r="BB105" i="52"/>
  <c r="AV103" i="52"/>
  <c r="U103" i="52"/>
  <c r="AC101" i="52"/>
  <c r="BA103" i="52"/>
  <c r="J105" i="52"/>
  <c r="AX106" i="52"/>
  <c r="BA106" i="52"/>
  <c r="AP102" i="52"/>
  <c r="AH108" i="52"/>
  <c r="AD108" i="52"/>
  <c r="AX105" i="52"/>
  <c r="AA108" i="52"/>
  <c r="BA102" i="52"/>
  <c r="AF101" i="52"/>
  <c r="AZ104" i="52"/>
  <c r="BB104" i="52"/>
  <c r="R106" i="52"/>
  <c r="AI107" i="52"/>
  <c r="AS102" i="52"/>
  <c r="P103" i="52"/>
  <c r="P101" i="52"/>
  <c r="AI101" i="52"/>
  <c r="AN106" i="52"/>
  <c r="AQ107" i="52"/>
  <c r="AH104" i="52"/>
  <c r="X104" i="52"/>
  <c r="L101" i="52"/>
  <c r="BC101" i="52"/>
  <c r="AT103" i="52"/>
  <c r="O107" i="52"/>
  <c r="W106" i="52"/>
  <c r="AK102" i="52"/>
  <c r="S102" i="52"/>
  <c r="AW105" i="52"/>
  <c r="AX108" i="52"/>
  <c r="X108" i="52"/>
  <c r="AY108" i="52"/>
  <c r="R33" i="52"/>
  <c r="R35" i="52"/>
  <c r="R32" i="52"/>
  <c r="R34" i="52"/>
  <c r="R50" i="52"/>
  <c r="R49" i="52"/>
  <c r="R48" i="52"/>
  <c r="R47" i="52"/>
  <c r="R46" i="52"/>
  <c r="R51" i="52"/>
  <c r="W24" i="49" l="1"/>
  <c r="X24" i="49" s="1"/>
  <c r="Y24" i="49" s="1"/>
  <c r="Z24" i="49" s="1"/>
  <c r="AA24" i="49" s="1"/>
  <c r="AB24" i="49" s="1"/>
  <c r="AC24" i="49" s="1"/>
  <c r="AD24" i="49" s="1"/>
  <c r="AE24" i="49" s="1"/>
  <c r="AF24" i="49" s="1"/>
  <c r="AG24" i="49" s="1"/>
  <c r="AH24" i="49" s="1"/>
  <c r="AI24" i="49" s="1"/>
  <c r="AJ24" i="49" s="1"/>
  <c r="AK24" i="49" s="1"/>
  <c r="AL24" i="49" s="1"/>
  <c r="AM24" i="49" s="1"/>
  <c r="AN24" i="49" s="1"/>
  <c r="AO24" i="49" s="1"/>
  <c r="AP24" i="49" s="1"/>
  <c r="AQ24" i="49" s="1"/>
  <c r="AR24" i="49" s="1"/>
  <c r="AS24" i="49" s="1"/>
  <c r="AT24" i="49" s="1"/>
  <c r="AU24" i="49" s="1"/>
  <c r="AV24" i="49" s="1"/>
  <c r="AW24" i="49" s="1"/>
  <c r="AX24" i="49" s="1"/>
  <c r="AY24" i="49" s="1"/>
  <c r="AZ24" i="49" s="1"/>
  <c r="BA24" i="49" s="1"/>
  <c r="BB24" i="49" s="1"/>
  <c r="BC24" i="49" s="1"/>
  <c r="BD24" i="49" s="1"/>
  <c r="BE24" i="49" s="1"/>
  <c r="BF24" i="49" s="1"/>
  <c r="BG24" i="49" s="1"/>
  <c r="M10" i="49"/>
  <c r="M12" i="49" s="1"/>
  <c r="N10" i="49" l="1"/>
  <c r="N12" i="49" l="1"/>
  <c r="O10" i="49"/>
  <c r="O12" i="49" l="1"/>
  <c r="Q23" i="49"/>
  <c r="P10" i="49"/>
  <c r="P12" i="49" l="1"/>
  <c r="R23" i="49"/>
  <c r="Q10" i="49"/>
  <c r="Q12" i="49" l="1"/>
  <c r="S23" i="49"/>
  <c r="T23" i="49" s="1"/>
  <c r="U23" i="49" s="1"/>
  <c r="R10" i="49"/>
  <c r="R12" i="49" l="1"/>
  <c r="S10" i="49"/>
  <c r="S12" i="49" l="1"/>
  <c r="T10" i="49"/>
  <c r="T12" i="49" l="1"/>
  <c r="V23" i="49"/>
  <c r="U10" i="49"/>
  <c r="U12" i="49" l="1"/>
  <c r="W23" i="49"/>
  <c r="V10" i="49"/>
  <c r="V12" i="49" l="1"/>
  <c r="X23" i="49"/>
  <c r="W10" i="49"/>
  <c r="W12" i="49" l="1"/>
  <c r="Y23" i="49"/>
  <c r="X10" i="49"/>
  <c r="X12" i="49" l="1"/>
  <c r="Z23" i="49"/>
  <c r="Y10" i="49"/>
  <c r="Y12" i="49" l="1"/>
  <c r="AA23" i="49"/>
  <c r="Z10" i="49"/>
  <c r="Z12" i="49" l="1"/>
  <c r="AB23" i="49"/>
  <c r="AA10" i="49"/>
  <c r="AA12" i="49" l="1"/>
  <c r="AC23" i="49"/>
  <c r="AB10" i="49"/>
  <c r="AB12" i="49" l="1"/>
  <c r="AD23" i="49"/>
  <c r="AC10" i="49"/>
  <c r="AC12" i="49" l="1"/>
  <c r="AE23" i="49"/>
  <c r="AD10" i="49"/>
  <c r="AD12" i="49" l="1"/>
  <c r="AF23" i="49"/>
  <c r="AE10" i="49"/>
  <c r="AE12" i="49" l="1"/>
  <c r="AG23" i="49"/>
  <c r="AF10" i="49"/>
  <c r="AF12" i="49" l="1"/>
  <c r="AH23" i="49"/>
  <c r="AG10" i="49"/>
  <c r="AG12" i="49" l="1"/>
  <c r="AI23" i="49"/>
  <c r="AH10" i="49"/>
  <c r="AH12" i="49" l="1"/>
  <c r="AJ23" i="49"/>
  <c r="AI10" i="49"/>
  <c r="AI12" i="49" l="1"/>
  <c r="AK23" i="49"/>
  <c r="AJ10" i="49"/>
  <c r="AJ12" i="49" l="1"/>
  <c r="AL23" i="49"/>
  <c r="AK10" i="49"/>
  <c r="AK12" i="49" l="1"/>
  <c r="AM23" i="49"/>
  <c r="AL10" i="49"/>
  <c r="AL12" i="49" l="1"/>
  <c r="AN23" i="49"/>
  <c r="AM10" i="49"/>
  <c r="AM12" i="49" l="1"/>
  <c r="AO23" i="49"/>
  <c r="AN10" i="49"/>
  <c r="AN12" i="49" l="1"/>
  <c r="AP23" i="49"/>
  <c r="AO10" i="49"/>
  <c r="AO12" i="49" l="1"/>
  <c r="AQ23" i="49"/>
  <c r="AP10" i="49"/>
  <c r="AP12" i="49" l="1"/>
  <c r="AR23" i="49"/>
  <c r="AQ10" i="49"/>
  <c r="AQ12" i="49" l="1"/>
  <c r="AS23" i="49"/>
  <c r="AR10" i="49"/>
  <c r="AR12" i="49" l="1"/>
  <c r="AT23" i="49"/>
  <c r="AS10" i="49"/>
  <c r="AS12" i="49" l="1"/>
  <c r="AU23" i="49"/>
  <c r="AT10" i="49"/>
  <c r="AT12" i="49" l="1"/>
  <c r="AV23" i="49"/>
  <c r="AU10" i="49"/>
  <c r="AU12" i="49" l="1"/>
  <c r="AW23" i="49"/>
  <c r="AV10" i="49"/>
  <c r="AV12" i="49" l="1"/>
  <c r="AX23" i="49"/>
  <c r="AW10" i="49"/>
  <c r="AW12" i="49" l="1"/>
  <c r="AY23" i="49"/>
  <c r="AX10" i="49"/>
  <c r="AX12" i="49" l="1"/>
  <c r="AZ23" i="49"/>
  <c r="AY10" i="49"/>
  <c r="AY12" i="49" l="1"/>
  <c r="BA23" i="49"/>
  <c r="AZ10" i="49"/>
  <c r="AZ12" i="49" l="1"/>
  <c r="BB23" i="49"/>
  <c r="BA10" i="49"/>
  <c r="BB10" i="49" l="1"/>
  <c r="BB12" i="49" s="1"/>
  <c r="BC23" i="49"/>
  <c r="BA12" i="49"/>
  <c r="C1" i="50"/>
  <c r="F122" i="47"/>
  <c r="F123" i="47"/>
  <c r="G123" i="47"/>
  <c r="F124" i="47"/>
  <c r="G124" i="47" s="1"/>
  <c r="E125" i="47"/>
  <c r="H125" i="47"/>
  <c r="BD23" i="49" l="1"/>
  <c r="BC10" i="49"/>
  <c r="BC12" i="49" s="1"/>
  <c r="F125" i="47"/>
  <c r="G122" i="47"/>
  <c r="G125" i="47" s="1"/>
  <c r="E129" i="47" l="1" a="1"/>
  <c r="F130" i="47" s="1"/>
  <c r="BE23" i="49"/>
  <c r="BD10" i="49"/>
  <c r="BD12" i="49" s="1"/>
  <c r="G129" i="47"/>
  <c r="H129" i="47"/>
  <c r="G130" i="47"/>
  <c r="H130" i="47"/>
  <c r="E130" i="47"/>
  <c r="F131" i="47"/>
  <c r="G131" i="47"/>
  <c r="G139" i="47" s="1"/>
  <c r="E131" i="47"/>
  <c r="E129" i="47"/>
  <c r="H131" i="47"/>
  <c r="F129" i="47"/>
  <c r="G138" i="47" l="1"/>
  <c r="E132" i="47"/>
  <c r="BF23" i="49"/>
  <c r="BE10" i="49"/>
  <c r="BE12" i="49" s="1"/>
  <c r="F139" i="47"/>
  <c r="F138" i="47"/>
  <c r="F137" i="47"/>
  <c r="F132" i="47"/>
  <c r="H139" i="47"/>
  <c r="H137" i="47"/>
  <c r="H132" i="47"/>
  <c r="H138" i="47"/>
  <c r="G132" i="47"/>
  <c r="G137" i="47"/>
  <c r="G140" i="47" s="1"/>
  <c r="BG23" i="49" l="1"/>
  <c r="BG10" i="49" s="1"/>
  <c r="BG12" i="49" s="1"/>
  <c r="BF10" i="49"/>
  <c r="BF12" i="49" s="1"/>
  <c r="F140" i="47"/>
  <c r="H140" i="47"/>
  <c r="J120" i="52" l="1" a="1"/>
  <c r="S50" i="52"/>
  <c r="S47" i="52"/>
  <c r="S46" i="52"/>
  <c r="S51" i="52"/>
  <c r="S48" i="52"/>
  <c r="S49" i="52"/>
  <c r="J120" i="52" l="1"/>
  <c r="J124" i="52" s="1"/>
  <c r="J132" i="52" s="1"/>
  <c r="L120" i="52"/>
  <c r="L124" i="52" s="1"/>
  <c r="L132" i="52" s="1"/>
  <c r="K120" i="52"/>
  <c r="K124" i="52" s="1"/>
  <c r="K132" i="52" s="1"/>
  <c r="M120" i="52"/>
  <c r="M124" i="52" s="1"/>
  <c r="M132" i="52" s="1"/>
  <c r="N120" i="52"/>
  <c r="N124" i="52" s="1"/>
  <c r="N132" i="52" s="1"/>
  <c r="O120" i="52"/>
  <c r="O124" i="52" s="1"/>
  <c r="O132" i="52" s="1"/>
  <c r="P120" i="52"/>
  <c r="P124" i="52" s="1"/>
  <c r="P132" i="52" s="1"/>
  <c r="Q120" i="52"/>
  <c r="Q124" i="52" s="1"/>
  <c r="Q132" i="52" s="1"/>
  <c r="R120" i="52"/>
  <c r="R124" i="52" s="1"/>
  <c r="R132" i="52" s="1"/>
  <c r="S120" i="52"/>
  <c r="S124" i="52" s="1"/>
  <c r="S132" i="52" s="1"/>
  <c r="F7" i="53" s="1"/>
  <c r="T120" i="52"/>
  <c r="T124" i="52" s="1"/>
  <c r="T132" i="52" s="1"/>
  <c r="U120" i="52"/>
  <c r="U124" i="52" s="1"/>
  <c r="U132" i="52" s="1"/>
  <c r="V120" i="52"/>
  <c r="V124" i="52" s="1"/>
  <c r="V132" i="52" s="1"/>
  <c r="W120" i="52"/>
  <c r="W124" i="52" s="1"/>
  <c r="W132" i="52" s="1"/>
  <c r="X120" i="52"/>
  <c r="X124" i="52" s="1"/>
  <c r="X132" i="52" s="1"/>
  <c r="Y120" i="52"/>
  <c r="Y124" i="52" s="1"/>
  <c r="Y132" i="52" s="1"/>
  <c r="Z120" i="52"/>
  <c r="Z124" i="52" s="1"/>
  <c r="Z132" i="52" s="1"/>
  <c r="AA120" i="52"/>
  <c r="AA124" i="52" s="1"/>
  <c r="AA132" i="52" s="1"/>
  <c r="AB120" i="52"/>
  <c r="AB124" i="52" s="1"/>
  <c r="AB132" i="52" s="1"/>
  <c r="AC120" i="52"/>
  <c r="AC124" i="52" s="1"/>
  <c r="AC132" i="52" s="1"/>
  <c r="AD120" i="52"/>
  <c r="AD124" i="52" s="1"/>
  <c r="AD132" i="52" s="1"/>
  <c r="AE120" i="52"/>
  <c r="AE124" i="52" s="1"/>
  <c r="AE132" i="52" s="1"/>
  <c r="AF120" i="52"/>
  <c r="AF124" i="52" s="1"/>
  <c r="AF132" i="52" s="1"/>
  <c r="AG120" i="52"/>
  <c r="AG124" i="52" s="1"/>
  <c r="AG132" i="52" s="1"/>
  <c r="AH120" i="52"/>
  <c r="AH124" i="52" s="1"/>
  <c r="AH132" i="52" s="1"/>
  <c r="AI120" i="52"/>
  <c r="AI124" i="52" s="1"/>
  <c r="AI132" i="52" s="1"/>
  <c r="AJ120" i="52"/>
  <c r="AJ124" i="52" s="1"/>
  <c r="AJ132" i="52" s="1"/>
  <c r="AK120" i="52"/>
  <c r="AK124" i="52" s="1"/>
  <c r="AK132" i="52" s="1"/>
  <c r="AL120" i="52"/>
  <c r="AL124" i="52" s="1"/>
  <c r="AL132" i="52" s="1"/>
  <c r="AM120" i="52"/>
  <c r="AM124" i="52" s="1"/>
  <c r="AM132" i="52" s="1"/>
  <c r="AN120" i="52"/>
  <c r="AN124" i="52" s="1"/>
  <c r="AN132" i="52" s="1"/>
  <c r="AO120" i="52"/>
  <c r="AO124" i="52" s="1"/>
  <c r="AO132" i="52" s="1"/>
  <c r="AP120" i="52"/>
  <c r="AP124" i="52" s="1"/>
  <c r="AP132" i="52" s="1"/>
  <c r="AQ120" i="52"/>
  <c r="AQ124" i="52" s="1"/>
  <c r="AQ132" i="52" s="1"/>
  <c r="AR120" i="52"/>
  <c r="AR124" i="52" s="1"/>
  <c r="AR132" i="52" s="1"/>
  <c r="AS120" i="52"/>
  <c r="AS124" i="52" s="1"/>
  <c r="AS132" i="52" s="1"/>
  <c r="AT120" i="52"/>
  <c r="AT124" i="52" s="1"/>
  <c r="AT132" i="52" s="1"/>
  <c r="AU120" i="52"/>
  <c r="AU124" i="52" s="1"/>
  <c r="AU132" i="52" s="1"/>
  <c r="AV120" i="52"/>
  <c r="AV124" i="52" s="1"/>
  <c r="AV132" i="52" s="1"/>
  <c r="AW120" i="52"/>
  <c r="AW124" i="52" s="1"/>
  <c r="AW132" i="52" s="1"/>
  <c r="AX120" i="52"/>
  <c r="AX124" i="52" s="1"/>
  <c r="AX132" i="52" s="1"/>
  <c r="AY120" i="52"/>
  <c r="AY124" i="52" s="1"/>
  <c r="AY132" i="52" s="1"/>
  <c r="AZ120" i="52"/>
  <c r="AZ124" i="52" s="1"/>
  <c r="AZ132" i="52" s="1"/>
  <c r="BA120" i="52"/>
  <c r="BA124" i="52" s="1"/>
  <c r="BA132" i="52" s="1"/>
  <c r="BB120" i="52"/>
  <c r="BB124" i="52" s="1"/>
  <c r="BB132" i="52" s="1"/>
  <c r="BC120" i="52"/>
  <c r="BC124" i="52" s="1"/>
  <c r="BC132" i="52" s="1"/>
  <c r="BD120" i="52"/>
  <c r="BD124" i="52" s="1"/>
  <c r="BD132" i="52" s="1"/>
  <c r="BE120" i="52"/>
  <c r="BE124" i="52" s="1"/>
  <c r="BE132" i="52" s="1"/>
  <c r="BG120" i="52"/>
  <c r="BG124" i="52" s="1"/>
  <c r="BG132" i="52" s="1"/>
  <c r="BF120" i="52"/>
  <c r="BF124" i="52" s="1"/>
  <c r="BF132" i="52" s="1"/>
  <c r="T50" i="52"/>
  <c r="T46" i="52"/>
  <c r="T49" i="52"/>
  <c r="T48" i="52"/>
  <c r="T51" i="52"/>
  <c r="T47" i="52"/>
  <c r="U51" i="52" l="1"/>
  <c r="U46" i="52"/>
  <c r="U50" i="52"/>
  <c r="U47" i="52"/>
  <c r="U49" i="52"/>
  <c r="U48" i="52"/>
  <c r="V50" i="52" l="1"/>
  <c r="V49" i="52"/>
  <c r="V48" i="52"/>
  <c r="V47" i="52"/>
  <c r="V51" i="52"/>
  <c r="V46" i="52"/>
  <c r="W51" i="52" l="1"/>
  <c r="W48" i="52"/>
  <c r="W46" i="52"/>
  <c r="W50" i="52"/>
  <c r="W49" i="52"/>
  <c r="W47" i="52"/>
  <c r="X49" i="52" l="1"/>
  <c r="X48" i="52"/>
  <c r="X47" i="52"/>
  <c r="X46" i="52"/>
  <c r="X50" i="52"/>
  <c r="X51" i="52"/>
  <c r="Y46" i="52" l="1"/>
  <c r="Y50" i="52"/>
  <c r="Y47" i="52"/>
  <c r="Y48" i="52"/>
  <c r="Y51" i="52"/>
  <c r="Y49" i="52"/>
  <c r="Z49" i="52" l="1"/>
  <c r="Z47" i="52"/>
  <c r="Z48" i="52"/>
  <c r="Z51" i="52"/>
  <c r="Z46" i="52"/>
  <c r="Z50" i="52"/>
  <c r="AA48" i="52" l="1"/>
  <c r="AA49" i="52"/>
  <c r="AA51" i="52"/>
  <c r="AA46" i="52"/>
  <c r="AA47" i="52"/>
  <c r="AA50" i="52"/>
  <c r="AB48" i="52" l="1"/>
  <c r="AB51" i="52"/>
  <c r="AB46" i="52"/>
  <c r="AB49" i="52"/>
  <c r="AB47" i="52"/>
  <c r="AB50" i="52"/>
  <c r="AC48" i="52" l="1"/>
  <c r="AC51" i="52"/>
  <c r="AC47" i="52"/>
  <c r="AC50" i="52"/>
  <c r="AC46" i="52"/>
  <c r="AC49" i="52"/>
  <c r="AD51" i="52" l="1"/>
  <c r="AD48" i="52"/>
  <c r="AD50" i="52"/>
  <c r="AD47" i="52"/>
  <c r="AD49" i="52"/>
  <c r="AD46" i="52"/>
  <c r="AE50" i="52" l="1"/>
  <c r="AE46" i="52"/>
  <c r="AE47" i="52"/>
  <c r="AE48" i="52"/>
  <c r="AE49" i="52"/>
  <c r="AE51" i="52"/>
  <c r="AF51" i="52" l="1"/>
  <c r="AF49" i="52"/>
  <c r="AF47" i="52"/>
  <c r="AF50" i="52"/>
  <c r="AF48" i="52"/>
  <c r="AF46" i="52"/>
  <c r="AG46" i="52" l="1"/>
  <c r="AG47" i="52"/>
  <c r="AG51" i="52"/>
  <c r="AG50" i="52"/>
  <c r="AG48" i="52"/>
  <c r="AG49" i="52"/>
  <c r="AH47" i="52" l="1"/>
  <c r="AH50" i="52"/>
  <c r="AH48" i="52"/>
  <c r="AH46" i="52"/>
  <c r="AH49" i="52"/>
  <c r="AH51" i="52"/>
  <c r="AI46" i="52" l="1"/>
  <c r="AI48" i="52"/>
  <c r="AI50" i="52"/>
  <c r="AI49" i="52"/>
  <c r="AI51" i="52"/>
  <c r="AI47" i="52"/>
  <c r="AJ49" i="52" l="1"/>
  <c r="AJ51" i="52"/>
  <c r="AJ46" i="52"/>
  <c r="AJ48" i="52"/>
  <c r="AJ50" i="52"/>
  <c r="AJ47" i="52"/>
  <c r="AK50" i="52" l="1"/>
  <c r="AK46" i="52"/>
  <c r="AK47" i="52"/>
  <c r="AK49" i="52"/>
  <c r="AK51" i="52"/>
  <c r="AK48" i="52"/>
  <c r="AL49" i="52" l="1"/>
  <c r="AL51" i="52"/>
  <c r="AL50" i="52"/>
  <c r="AL48" i="52"/>
  <c r="AL46" i="52"/>
  <c r="AL47" i="52"/>
  <c r="AM48" i="52" l="1"/>
  <c r="AM49" i="52"/>
  <c r="AM46" i="52"/>
  <c r="AM50" i="52"/>
  <c r="AM51" i="52"/>
  <c r="AM47" i="52"/>
  <c r="AN47" i="52" l="1"/>
  <c r="AN50" i="52"/>
  <c r="AN46" i="52"/>
  <c r="AN49" i="52"/>
  <c r="AN51" i="52"/>
  <c r="AN48" i="52"/>
  <c r="AO50" i="52" l="1"/>
  <c r="AO51" i="52"/>
  <c r="AO48" i="52"/>
  <c r="AO46" i="52"/>
  <c r="AO49" i="52"/>
  <c r="AO47" i="52"/>
  <c r="AP48" i="52" l="1"/>
  <c r="AP46" i="52"/>
  <c r="AP47" i="52"/>
  <c r="AP51" i="52"/>
  <c r="AP50" i="52"/>
  <c r="AP49" i="52"/>
  <c r="AQ48" i="52" l="1"/>
  <c r="AQ51" i="52"/>
  <c r="AQ49" i="52"/>
  <c r="AQ46" i="52"/>
  <c r="AQ47" i="52"/>
  <c r="AQ50" i="52"/>
  <c r="AR51" i="52" l="1"/>
  <c r="AR50" i="52"/>
  <c r="AR47" i="52"/>
  <c r="AR46" i="52"/>
  <c r="AR49" i="52"/>
  <c r="AR48" i="52"/>
  <c r="AS51" i="52" l="1"/>
  <c r="AS48" i="52"/>
  <c r="AS49" i="52"/>
  <c r="AS50" i="52"/>
  <c r="AS47" i="52"/>
  <c r="AS46" i="52"/>
  <c r="AT51" i="52" l="1"/>
  <c r="AT48" i="52"/>
  <c r="AT46" i="52"/>
  <c r="AT50" i="52"/>
  <c r="AT47" i="52"/>
  <c r="AT49" i="52"/>
  <c r="AU50" i="52" l="1"/>
  <c r="AU51" i="52"/>
  <c r="AU48" i="52"/>
  <c r="AU46" i="52"/>
  <c r="AU49" i="52"/>
  <c r="AU47" i="52"/>
  <c r="AV46" i="52" l="1"/>
  <c r="AV49" i="52"/>
  <c r="AV47" i="52"/>
  <c r="AV51" i="52"/>
  <c r="AV48" i="52"/>
  <c r="AV50" i="52"/>
  <c r="AW51" i="52" l="1"/>
  <c r="AW47" i="52"/>
  <c r="AW48" i="52"/>
  <c r="AW50" i="52"/>
  <c r="AW46" i="52"/>
  <c r="AW49" i="52"/>
  <c r="AX46" i="52" l="1"/>
  <c r="AX50" i="52"/>
  <c r="AX51" i="52"/>
  <c r="AX47" i="52"/>
  <c r="AX49" i="52"/>
  <c r="AX48" i="52"/>
  <c r="AY47" i="52" l="1"/>
  <c r="AY48" i="52"/>
  <c r="AY49" i="52"/>
  <c r="AY51" i="52"/>
  <c r="AY50" i="52"/>
  <c r="AY46" i="52"/>
  <c r="AZ49" i="52" l="1"/>
  <c r="AZ51" i="52"/>
  <c r="AZ46" i="52"/>
  <c r="AZ48" i="52"/>
  <c r="AZ50" i="52"/>
  <c r="AZ47" i="52"/>
  <c r="BA46" i="52" l="1"/>
  <c r="BA47" i="52"/>
  <c r="BA48" i="52"/>
  <c r="BA49" i="52"/>
  <c r="BA51" i="52"/>
  <c r="BA50" i="52"/>
  <c r="BB48" i="52" l="1"/>
  <c r="BB51" i="52"/>
  <c r="BB47" i="52"/>
  <c r="BB49" i="52"/>
  <c r="BB50" i="52"/>
  <c r="BB46" i="52"/>
  <c r="BC49" i="52" l="1"/>
  <c r="BC50" i="52"/>
  <c r="BC46" i="52"/>
  <c r="BC47" i="52"/>
  <c r="BC51" i="52"/>
  <c r="BC48" i="52"/>
  <c r="BD48" i="52" l="1"/>
  <c r="BD51" i="52"/>
  <c r="BD47" i="52"/>
  <c r="BD50" i="52"/>
  <c r="BD46" i="52"/>
  <c r="BD49" i="52"/>
  <c r="BE49" i="52" l="1"/>
  <c r="BE51" i="52"/>
  <c r="BE50" i="52"/>
  <c r="BE46" i="52"/>
  <c r="BE48" i="52"/>
  <c r="BE47" i="52"/>
  <c r="BF49" i="52" l="1"/>
  <c r="BF48" i="52"/>
  <c r="BF50" i="52"/>
  <c r="BF46" i="52"/>
  <c r="BF51" i="52"/>
  <c r="BF47" i="52"/>
  <c r="BG47" i="52" l="1"/>
  <c r="BG51" i="52"/>
  <c r="BG46" i="52"/>
  <c r="BG50" i="52"/>
  <c r="BG48" i="52"/>
  <c r="BG49" i="52"/>
  <c r="AX57" i="52" l="1"/>
  <c r="W57" i="52"/>
  <c r="AL57" i="52"/>
  <c r="V57" i="52"/>
  <c r="J57" i="52"/>
  <c r="R57" i="52"/>
  <c r="AQ57" i="52"/>
  <c r="AU57" i="52"/>
  <c r="BC57" i="52"/>
  <c r="AO57" i="52"/>
  <c r="AM57" i="52"/>
  <c r="AB57" i="52"/>
  <c r="AK57" i="52"/>
  <c r="U57" i="52"/>
  <c r="AG57" i="52"/>
  <c r="X57" i="52"/>
  <c r="AF57" i="52"/>
  <c r="Z57" i="52"/>
  <c r="AS57" i="52"/>
  <c r="M57" i="52"/>
  <c r="AZ57" i="52"/>
  <c r="BA57" i="52"/>
  <c r="AH57" i="52"/>
  <c r="BG57" i="52"/>
  <c r="BE57" i="52"/>
  <c r="K57" i="52"/>
  <c r="AY57" i="52"/>
  <c r="AI57" i="52"/>
  <c r="L57" i="52"/>
  <c r="AT57" i="52"/>
  <c r="O57" i="52"/>
  <c r="AR57" i="52"/>
  <c r="AE57" i="52"/>
  <c r="Q57" i="52"/>
  <c r="S57" i="52"/>
  <c r="AD57" i="52"/>
  <c r="AW57" i="52"/>
  <c r="AA57" i="52"/>
  <c r="BF57" i="52"/>
  <c r="T57" i="52"/>
  <c r="AJ57" i="52"/>
  <c r="AN57" i="52"/>
  <c r="N57" i="52"/>
  <c r="AV57" i="52"/>
  <c r="BB57" i="52"/>
  <c r="AP57" i="52"/>
  <c r="AC57" i="52"/>
  <c r="BD57" i="52"/>
  <c r="Y57" i="52"/>
  <c r="P57" i="52"/>
  <c r="AB56" i="52"/>
  <c r="X56" i="52"/>
  <c r="BC56" i="52"/>
  <c r="AJ56" i="52"/>
  <c r="BG56" i="52"/>
  <c r="AQ56" i="52"/>
  <c r="AS56" i="52"/>
  <c r="AW56" i="52"/>
  <c r="AH56" i="52"/>
  <c r="BA56" i="52"/>
  <c r="AL56" i="52"/>
  <c r="Y56" i="52"/>
  <c r="BF56" i="52"/>
  <c r="AR56" i="52"/>
  <c r="Z56" i="52"/>
  <c r="AV56" i="52"/>
  <c r="AO56" i="52"/>
  <c r="N56" i="52"/>
  <c r="U56" i="52"/>
  <c r="O56" i="52"/>
  <c r="AE56" i="52"/>
  <c r="BD56" i="52"/>
  <c r="W56" i="52"/>
  <c r="AD56" i="52"/>
  <c r="AX56" i="52"/>
  <c r="BB56" i="52"/>
  <c r="AA56" i="52"/>
  <c r="AF56" i="52"/>
  <c r="AG56" i="52"/>
  <c r="BE56" i="52"/>
  <c r="AP56" i="52"/>
  <c r="S56" i="52"/>
  <c r="L56" i="52"/>
  <c r="AN56" i="52"/>
  <c r="AK56" i="52"/>
  <c r="M56" i="52"/>
  <c r="AC56" i="52"/>
  <c r="T56" i="52"/>
  <c r="AM56" i="52"/>
  <c r="J56" i="52"/>
  <c r="P56" i="52"/>
  <c r="V56" i="52"/>
  <c r="AI56" i="52"/>
  <c r="AU56" i="52"/>
  <c r="AY56" i="52"/>
  <c r="K56" i="52"/>
  <c r="R56" i="52"/>
  <c r="AT56" i="52"/>
  <c r="Q56" i="52"/>
  <c r="AZ56" i="52"/>
  <c r="M58" i="52"/>
  <c r="AP58" i="52"/>
  <c r="AN58" i="52"/>
  <c r="V58" i="52"/>
  <c r="BG58" i="52"/>
  <c r="BC58" i="52"/>
  <c r="AU58" i="52"/>
  <c r="AX58" i="52"/>
  <c r="BB58" i="52"/>
  <c r="AZ58" i="52"/>
  <c r="BE58" i="52"/>
  <c r="R58" i="52"/>
  <c r="AM58" i="52"/>
  <c r="AG58" i="52"/>
  <c r="BF58" i="52"/>
  <c r="AK58" i="52"/>
  <c r="S58" i="52"/>
  <c r="AJ58" i="52"/>
  <c r="AO58" i="52"/>
  <c r="Q58" i="52"/>
  <c r="J58" i="52"/>
  <c r="AT58" i="52"/>
  <c r="L58" i="52"/>
  <c r="W58" i="52"/>
  <c r="AR58" i="52"/>
  <c r="AC58" i="52"/>
  <c r="AI58" i="52"/>
  <c r="O58" i="52"/>
  <c r="AV58" i="52"/>
  <c r="BD58" i="52"/>
  <c r="AF58" i="52"/>
  <c r="AW58" i="52"/>
  <c r="AD58" i="52"/>
  <c r="U58" i="52"/>
  <c r="Y58" i="52"/>
  <c r="AB58" i="52"/>
  <c r="BA58" i="52"/>
  <c r="Z58" i="52"/>
  <c r="AY58" i="52"/>
  <c r="AH58" i="52"/>
  <c r="AQ58" i="52"/>
  <c r="K58" i="52"/>
  <c r="AE58" i="52"/>
  <c r="AA58" i="52"/>
  <c r="N58" i="52"/>
  <c r="AL58" i="52"/>
  <c r="X58" i="52"/>
  <c r="P58" i="52"/>
  <c r="T58" i="52"/>
  <c r="AS58" i="52"/>
  <c r="X53" i="52"/>
  <c r="AQ53" i="52"/>
  <c r="AR53" i="52"/>
  <c r="AV53" i="52"/>
  <c r="AY53" i="52"/>
  <c r="BC53" i="52"/>
  <c r="W53" i="52"/>
  <c r="AE53" i="52"/>
  <c r="AD53" i="52"/>
  <c r="AU53" i="52"/>
  <c r="AW53" i="52"/>
  <c r="L53" i="52"/>
  <c r="BF53" i="52"/>
  <c r="AS53" i="52"/>
  <c r="O53" i="52"/>
  <c r="BG53" i="52"/>
  <c r="AI53" i="52"/>
  <c r="AB53" i="52"/>
  <c r="P53" i="52"/>
  <c r="Y53" i="52"/>
  <c r="AA53" i="52"/>
  <c r="BD53" i="52"/>
  <c r="BE53" i="52"/>
  <c r="AF53" i="52"/>
  <c r="V53" i="52"/>
  <c r="M53" i="52"/>
  <c r="U53" i="52"/>
  <c r="BA53" i="52"/>
  <c r="AJ53" i="52"/>
  <c r="AP53" i="52"/>
  <c r="AM53" i="52"/>
  <c r="AO53" i="52"/>
  <c r="Q53" i="52"/>
  <c r="AG53" i="52"/>
  <c r="AK53" i="52"/>
  <c r="AX53" i="52"/>
  <c r="J53" i="52"/>
  <c r="AN53" i="52"/>
  <c r="R53" i="52"/>
  <c r="Z53" i="52"/>
  <c r="AZ53" i="52"/>
  <c r="AT53" i="52"/>
  <c r="K53" i="52"/>
  <c r="T53" i="52"/>
  <c r="AH53" i="52"/>
  <c r="S53" i="52"/>
  <c r="N53" i="52"/>
  <c r="AC53" i="52"/>
  <c r="BB53" i="52"/>
  <c r="AL53" i="52"/>
  <c r="V55" i="52"/>
  <c r="BD55" i="52"/>
  <c r="AN55" i="52"/>
  <c r="AF55" i="52"/>
  <c r="AB55" i="52"/>
  <c r="AP55" i="52"/>
  <c r="AZ55" i="52"/>
  <c r="R55" i="52"/>
  <c r="AA55" i="52"/>
  <c r="W55" i="52"/>
  <c r="AK55" i="52"/>
  <c r="AC55" i="52"/>
  <c r="AW55" i="52"/>
  <c r="AY55" i="52"/>
  <c r="K55" i="52"/>
  <c r="AJ55" i="52"/>
  <c r="BF55" i="52"/>
  <c r="Y55" i="52"/>
  <c r="L55" i="52"/>
  <c r="Q55" i="52"/>
  <c r="BE55" i="52"/>
  <c r="AT55" i="52"/>
  <c r="AH55" i="52"/>
  <c r="BA55" i="52"/>
  <c r="AL55" i="52"/>
  <c r="BB55" i="52"/>
  <c r="Z55" i="52"/>
  <c r="AV55" i="52"/>
  <c r="T55" i="52"/>
  <c r="AR55" i="52"/>
  <c r="AG55" i="52"/>
  <c r="O55" i="52"/>
  <c r="AQ55" i="52"/>
  <c r="AX55" i="52"/>
  <c r="N55" i="52"/>
  <c r="BG55" i="52"/>
  <c r="AS55" i="52"/>
  <c r="M55" i="52"/>
  <c r="P55" i="52"/>
  <c r="AO55" i="52"/>
  <c r="AI55" i="52"/>
  <c r="X55" i="52"/>
  <c r="U55" i="52"/>
  <c r="AU55" i="52"/>
  <c r="AE55" i="52"/>
  <c r="BC55" i="52"/>
  <c r="AM55" i="52"/>
  <c r="AD55" i="52"/>
  <c r="S55" i="52"/>
  <c r="J55" i="52"/>
  <c r="AZ54" i="52"/>
  <c r="L54" i="52"/>
  <c r="Z54" i="52"/>
  <c r="AV54" i="52"/>
  <c r="AX54" i="52"/>
  <c r="M54" i="52"/>
  <c r="R54" i="52"/>
  <c r="BF54" i="52"/>
  <c r="Y54" i="52"/>
  <c r="BD54" i="52"/>
  <c r="AP54" i="52"/>
  <c r="AL54" i="52"/>
  <c r="AB54" i="52"/>
  <c r="AO54" i="52"/>
  <c r="AR54" i="52"/>
  <c r="AH54" i="52"/>
  <c r="BB54" i="52"/>
  <c r="AF54" i="52"/>
  <c r="AA54" i="52"/>
  <c r="AW54" i="52"/>
  <c r="K54" i="52"/>
  <c r="AG54" i="52"/>
  <c r="N54" i="52"/>
  <c r="T54" i="52"/>
  <c r="AE54" i="52"/>
  <c r="BA54" i="52"/>
  <c r="AU54" i="52"/>
  <c r="Q54" i="52"/>
  <c r="AJ54" i="52"/>
  <c r="AT54" i="52"/>
  <c r="S54" i="52"/>
  <c r="J54" i="52"/>
  <c r="AN54" i="52"/>
  <c r="W54" i="52"/>
  <c r="O54" i="52"/>
  <c r="BG54" i="52"/>
  <c r="AK54" i="52"/>
  <c r="U54" i="52"/>
  <c r="AD54" i="52"/>
  <c r="BE54" i="52"/>
  <c r="AC54" i="52"/>
  <c r="BC54" i="52"/>
  <c r="AI54" i="52"/>
  <c r="AM54" i="52"/>
  <c r="V54" i="52"/>
  <c r="AS54" i="52"/>
  <c r="AY54" i="52"/>
  <c r="X54" i="52"/>
  <c r="AQ54" i="52"/>
  <c r="P54" i="52"/>
  <c r="S128" i="52" l="1"/>
  <c r="J128" i="52"/>
  <c r="J134" i="52" s="1"/>
  <c r="AM128" i="52"/>
  <c r="AM134" i="52" s="1"/>
  <c r="T128" i="52"/>
  <c r="T134" i="52" s="1"/>
  <c r="AU128" i="52"/>
  <c r="AU134" i="52" s="1"/>
  <c r="AO128" i="52"/>
  <c r="AO134" i="52" s="1"/>
  <c r="AH128" i="52"/>
  <c r="AH134" i="52" s="1"/>
  <c r="AQ128" i="52"/>
  <c r="AQ134" i="52" s="1"/>
  <c r="N128" i="52"/>
  <c r="N134" i="52" s="1"/>
  <c r="BE128" i="52"/>
  <c r="BE134" i="52" s="1"/>
  <c r="AC128" i="52"/>
  <c r="AC134" i="52" s="1"/>
  <c r="AT128" i="52"/>
  <c r="AT134" i="52" s="1"/>
  <c r="AV128" i="52"/>
  <c r="AV134" i="52" s="1"/>
  <c r="BD128" i="52"/>
  <c r="BD134" i="52" s="1"/>
  <c r="AR128" i="52"/>
  <c r="AR134" i="52" s="1"/>
  <c r="BC128" i="52"/>
  <c r="BC134" i="52" s="1"/>
  <c r="AI128" i="52"/>
  <c r="AI134" i="52" s="1"/>
  <c r="BA128" i="52"/>
  <c r="BA134" i="52" s="1"/>
  <c r="K128" i="52"/>
  <c r="K134" i="52" s="1"/>
  <c r="R128" i="52"/>
  <c r="R134" i="52" s="1"/>
  <c r="AK128" i="52"/>
  <c r="AK134" i="52" s="1"/>
  <c r="W128" i="52"/>
  <c r="W134" i="52" s="1"/>
  <c r="AB128" i="52"/>
  <c r="AB134" i="52" s="1"/>
  <c r="AJ128" i="52"/>
  <c r="AJ134" i="52" s="1"/>
  <c r="BG128" i="52"/>
  <c r="BG134" i="52" s="1"/>
  <c r="AE128" i="52"/>
  <c r="AE134" i="52" s="1"/>
  <c r="AZ128" i="52"/>
  <c r="AZ134" i="52" s="1"/>
  <c r="Y128" i="52"/>
  <c r="Y134" i="52" s="1"/>
  <c r="AD128" i="52"/>
  <c r="AD134" i="52" s="1"/>
  <c r="U128" i="52"/>
  <c r="AA128" i="52"/>
  <c r="AA134" i="52" s="1"/>
  <c r="AY128" i="52"/>
  <c r="AY134" i="52" s="1"/>
  <c r="AP128" i="52"/>
  <c r="AP134" i="52" s="1"/>
  <c r="BB128" i="52"/>
  <c r="BB134" i="52" s="1"/>
  <c r="AG128" i="52"/>
  <c r="AG134" i="52" s="1"/>
  <c r="Z128" i="52"/>
  <c r="Z134" i="52" s="1"/>
  <c r="M128" i="52"/>
  <c r="M134" i="52" s="1"/>
  <c r="AF128" i="52"/>
  <c r="AF134" i="52" s="1"/>
  <c r="AW128" i="52"/>
  <c r="AW134" i="52" s="1"/>
  <c r="O128" i="52"/>
  <c r="O134" i="52" s="1"/>
  <c r="L128" i="52"/>
  <c r="L134" i="52" s="1"/>
  <c r="AL128" i="52"/>
  <c r="AL134" i="52" s="1"/>
  <c r="AN128" i="52"/>
  <c r="AN134" i="52" s="1"/>
  <c r="V128" i="52"/>
  <c r="V134" i="52" s="1"/>
  <c r="BF128" i="52"/>
  <c r="BF134" i="52" s="1"/>
  <c r="Q128" i="52"/>
  <c r="Q134" i="52" s="1"/>
  <c r="P128" i="52"/>
  <c r="P134" i="52" s="1"/>
  <c r="AX128" i="52"/>
  <c r="AX134" i="52" s="1"/>
  <c r="X128" i="52"/>
  <c r="X134" i="52" s="1"/>
  <c r="AS128" i="52"/>
  <c r="AS134" i="52" s="1"/>
  <c r="F5" i="53" l="1"/>
  <c r="U134" i="52"/>
  <c r="S134" i="52"/>
  <c r="F9" i="53" l="1"/>
</calcChain>
</file>

<file path=xl/sharedStrings.xml><?xml version="1.0" encoding="utf-8"?>
<sst xmlns="http://schemas.openxmlformats.org/spreadsheetml/2006/main" count="648" uniqueCount="326">
  <si>
    <t>Notes</t>
  </si>
  <si>
    <t>unlocked</t>
  </si>
  <si>
    <t>locked</t>
  </si>
  <si>
    <t>Calculation</t>
  </si>
  <si>
    <t>Output</t>
  </si>
  <si>
    <t>Highlight</t>
  </si>
  <si>
    <t>A cell that is special in some way</t>
  </si>
  <si>
    <t>Text</t>
  </si>
  <si>
    <t>Number</t>
  </si>
  <si>
    <t>Currency</t>
  </si>
  <si>
    <t>Percentage</t>
  </si>
  <si>
    <t>Percentage (2dp)</t>
  </si>
  <si>
    <t>Date</t>
  </si>
  <si>
    <t>A key result from this part of the model (in particular one that will be used elsewhere in the model)</t>
  </si>
  <si>
    <t>Comma</t>
  </si>
  <si>
    <t>Percent</t>
  </si>
  <si>
    <t>Number
(2dp)</t>
  </si>
  <si>
    <t>Currency
(2dp)</t>
  </si>
  <si>
    <t>Currency Dollar (2dp)</t>
  </si>
  <si>
    <t>Currency Dollar</t>
  </si>
  <si>
    <t>Currency Pound (2dp)</t>
  </si>
  <si>
    <t>Currency Pound</t>
  </si>
  <si>
    <t>Input Parameter</t>
  </si>
  <si>
    <t>Input Data</t>
  </si>
  <si>
    <t>Input Calculation</t>
  </si>
  <si>
    <t>Input Link</t>
  </si>
  <si>
    <t>Row label</t>
  </si>
  <si>
    <t>Row label (indent)</t>
  </si>
  <si>
    <t>Total row</t>
  </si>
  <si>
    <t>Sub-total row</t>
  </si>
  <si>
    <t>(Table finish row)</t>
  </si>
  <si>
    <t>Style Guidelines</t>
  </si>
  <si>
    <t>Name</t>
  </si>
  <si>
    <t>Note</t>
  </si>
  <si>
    <t>H1</t>
  </si>
  <si>
    <t>H2</t>
  </si>
  <si>
    <t>H3</t>
  </si>
  <si>
    <t>H4</t>
  </si>
  <si>
    <t>Heading level 1</t>
  </si>
  <si>
    <t>Heading level 2</t>
  </si>
  <si>
    <t>Heading level 3</t>
  </si>
  <si>
    <t>Heading level 4</t>
  </si>
  <si>
    <t>NB These styles change most aspects of a cells formatting (all except Number and Alignment)</t>
  </si>
  <si>
    <t>NB These styles change only the font used in a cell</t>
  </si>
  <si>
    <t>Number styles</t>
  </si>
  <si>
    <t>Table styles</t>
  </si>
  <si>
    <t>Title</t>
  </si>
  <si>
    <t>(Table shading)</t>
  </si>
  <si>
    <t>NB These styles change a variety of different aspects of cell formatting (as appropriate to the context)</t>
  </si>
  <si>
    <t>Examples of use</t>
  </si>
  <si>
    <t>Use these styles to consistently format numbers (and dates)</t>
  </si>
  <si>
    <t>Use these styles to consistently format tables</t>
  </si>
  <si>
    <t>A calculation of the model</t>
  </si>
  <si>
    <t>A piece of real data (only change if you have better data)</t>
  </si>
  <si>
    <t>An input to the model that it is expected the user will change (change at will)</t>
  </si>
  <si>
    <t>A side calculation intended solely to cross check a result (and which therefore should not be referenced anywhere else in the model)</t>
  </si>
  <si>
    <t>A total (use if not part of a "Sub-total row" or a "Total row" in a table - see below)</t>
  </si>
  <si>
    <t>An input to the model that has, none the less, been calculated from other inputs (e.g. interpolated input values)</t>
  </si>
  <si>
    <t>Positive</t>
  </si>
  <si>
    <t>Negative</t>
  </si>
  <si>
    <t>Zero</t>
  </si>
  <si>
    <r>
      <t xml:space="preserve">An Excel Name applying to one or more adjacent cells (use </t>
    </r>
    <r>
      <rPr>
        <u/>
        <sz val="9"/>
        <rFont val="Arial"/>
        <family val="2"/>
      </rPr>
      <t>I</t>
    </r>
    <r>
      <rPr>
        <sz val="9"/>
        <rFont val="Arial"/>
        <family val="2"/>
      </rPr>
      <t xml:space="preserve">nsert </t>
    </r>
    <r>
      <rPr>
        <u/>
        <sz val="9"/>
        <rFont val="Arial"/>
        <family val="2"/>
      </rPr>
      <t>N</t>
    </r>
    <r>
      <rPr>
        <sz val="9"/>
        <rFont val="Arial"/>
        <family val="2"/>
      </rPr>
      <t xml:space="preserve">ame </t>
    </r>
    <r>
      <rPr>
        <u/>
        <sz val="9"/>
        <rFont val="Arial"/>
        <family val="2"/>
      </rPr>
      <t>C</t>
    </r>
    <r>
      <rPr>
        <sz val="9"/>
        <rFont val="Arial"/>
        <family val="2"/>
      </rPr>
      <t>reate to actually create the Excel Names)</t>
    </r>
  </si>
  <si>
    <t>Currency
Euro</t>
  </si>
  <si>
    <t>Currency
Euro (2dp)</t>
  </si>
  <si>
    <t>Currency
EUR</t>
  </si>
  <si>
    <t>Currency
EUR (2dp)</t>
  </si>
  <si>
    <t>Currency
USD</t>
  </si>
  <si>
    <t>Currency
USD (2dp)</t>
  </si>
  <si>
    <t>Currency
GBP</t>
  </si>
  <si>
    <t>Currency
GBP (2dp)</t>
  </si>
  <si>
    <t>Date
(Month)</t>
  </si>
  <si>
    <t>Date
(Year)</t>
  </si>
  <si>
    <r>
      <t xml:space="preserve">Consider using </t>
    </r>
    <r>
      <rPr>
        <u/>
        <sz val="9"/>
        <rFont val="Arial"/>
        <family val="2"/>
      </rPr>
      <t>D</t>
    </r>
    <r>
      <rPr>
        <sz val="9"/>
        <rFont val="Arial"/>
        <family val="2"/>
      </rPr>
      <t xml:space="preserve">ata </t>
    </r>
    <r>
      <rPr>
        <sz val="9"/>
        <rFont val="Arial"/>
        <family val="2"/>
      </rPr>
      <t>V</t>
    </r>
    <r>
      <rPr>
        <sz val="9"/>
        <rFont val="Arial"/>
        <family val="2"/>
      </rPr>
      <t>a</t>
    </r>
    <r>
      <rPr>
        <u/>
        <sz val="9"/>
        <rFont val="Arial"/>
        <family val="2"/>
      </rPr>
      <t>l</t>
    </r>
    <r>
      <rPr>
        <sz val="9"/>
        <rFont val="Arial"/>
        <family val="2"/>
      </rPr>
      <t>idation to ensure that only acceptable values are entered</t>
    </r>
  </si>
  <si>
    <t>Acceptable values</t>
  </si>
  <si>
    <t>Minimum</t>
  </si>
  <si>
    <t>Maximum</t>
  </si>
  <si>
    <r>
      <t xml:space="preserve">If a parameter can take only one of a small number of values, consider using </t>
    </r>
    <r>
      <rPr>
        <u/>
        <sz val="9"/>
        <rFont val="Arial"/>
        <family val="2"/>
      </rPr>
      <t>D</t>
    </r>
    <r>
      <rPr>
        <sz val="9"/>
        <rFont val="Arial"/>
        <family val="2"/>
      </rPr>
      <t>ata Va</t>
    </r>
    <r>
      <rPr>
        <u/>
        <sz val="9"/>
        <rFont val="Arial"/>
        <family val="2"/>
      </rPr>
      <t>l</t>
    </r>
    <r>
      <rPr>
        <sz val="9"/>
        <rFont val="Arial"/>
        <family val="2"/>
      </rPr>
      <t xml:space="preserve">idation </t>
    </r>
    <r>
      <rPr>
        <u/>
        <sz val="9"/>
        <rFont val="Arial"/>
        <family val="2"/>
      </rPr>
      <t>A</t>
    </r>
    <r>
      <rPr>
        <sz val="9"/>
        <rFont val="Arial"/>
        <family val="2"/>
      </rPr>
      <t xml:space="preserve">llow </t>
    </r>
    <r>
      <rPr>
        <u/>
        <sz val="9"/>
        <rFont val="Arial"/>
        <family val="2"/>
      </rPr>
      <t>L</t>
    </r>
    <r>
      <rPr>
        <sz val="9"/>
        <rFont val="Arial"/>
        <family val="2"/>
      </rPr>
      <t xml:space="preserve">ist with </t>
    </r>
    <r>
      <rPr>
        <u/>
        <sz val="9"/>
        <rFont val="Arial"/>
        <family val="2"/>
      </rPr>
      <t>I</t>
    </r>
    <r>
      <rPr>
        <sz val="9"/>
        <rFont val="Arial"/>
        <family val="2"/>
      </rPr>
      <t>n-cell dropdown selected</t>
    </r>
  </si>
  <si>
    <t>Unhighlight</t>
  </si>
  <si>
    <t>And one that isn't anymore</t>
  </si>
  <si>
    <t>NB All number styles use the decimal symbol and digit grouping symbol (thousands separator) defined under Regional Options in Control Panel. So if you want to change them do it there, and not here in Excel !</t>
  </si>
  <si>
    <t>(Table unshading)</t>
  </si>
  <si>
    <t>NB Most number styles leave space for a ')' to the right of the number, but only the Currency styles actually use '(…)' for negatives</t>
  </si>
  <si>
    <t>Input Estimate</t>
  </si>
  <si>
    <t>An estimate used in the absence of real data (only change if you have a better estimate, or real data )</t>
  </si>
  <si>
    <t>Use these styles to format headings</t>
  </si>
  <si>
    <t>Heading styles</t>
  </si>
  <si>
    <r>
      <t>Consider using F</t>
    </r>
    <r>
      <rPr>
        <u/>
        <sz val="9"/>
        <rFont val="Arial"/>
        <family val="2"/>
      </rPr>
      <t>o</t>
    </r>
    <r>
      <rPr>
        <sz val="9"/>
        <rFont val="Arial"/>
        <family val="2"/>
      </rPr>
      <t>rmat Con</t>
    </r>
    <r>
      <rPr>
        <u/>
        <sz val="9"/>
        <rFont val="Arial"/>
        <family val="2"/>
      </rPr>
      <t>d</t>
    </r>
    <r>
      <rPr>
        <sz val="9"/>
        <rFont val="Arial"/>
        <family val="2"/>
      </rPr>
      <t>itional Formatting to highlight unacceptable results of cross check calculations (e.g. non-zero)</t>
    </r>
  </si>
  <si>
    <t>Input cell styles</t>
  </si>
  <si>
    <t>Use these styles to identify inputs to a model</t>
  </si>
  <si>
    <t>Other cell styles</t>
  </si>
  <si>
    <t>Use these styles to identify the role of other cells in a model</t>
  </si>
  <si>
    <t>A note (NB smaller than standard font size)</t>
  </si>
  <si>
    <t>ADSL</t>
  </si>
  <si>
    <t>Cable Modem</t>
  </si>
  <si>
    <t>Dial-up</t>
  </si>
  <si>
    <t>Number of subscribers (year end)</t>
  </si>
  <si>
    <t>Total</t>
  </si>
  <si>
    <r>
      <t xml:space="preserve">NB Consider using </t>
    </r>
    <r>
      <rPr>
        <u/>
        <sz val="8"/>
        <rFont val="Arial"/>
        <family val="2"/>
      </rPr>
      <t>F</t>
    </r>
    <r>
      <rPr>
        <sz val="8"/>
        <rFont val="Arial"/>
        <family val="2"/>
      </rPr>
      <t>ile Page Set</t>
    </r>
    <r>
      <rPr>
        <u/>
        <sz val="8"/>
        <rFont val="Arial"/>
        <family val="2"/>
      </rPr>
      <t>u</t>
    </r>
    <r>
      <rPr>
        <sz val="8"/>
        <rFont val="Arial"/>
        <family val="2"/>
      </rPr>
      <t xml:space="preserve">p </t>
    </r>
    <r>
      <rPr>
        <u/>
        <sz val="8"/>
        <rFont val="Arial"/>
        <family val="2"/>
      </rPr>
      <t>S</t>
    </r>
    <r>
      <rPr>
        <sz val="8"/>
        <rFont val="Arial"/>
        <family val="2"/>
      </rPr>
      <t xml:space="preserve">heet </t>
    </r>
    <r>
      <rPr>
        <u/>
        <sz val="8"/>
        <rFont val="Arial"/>
        <family val="2"/>
      </rPr>
      <t>R</t>
    </r>
    <r>
      <rPr>
        <sz val="8"/>
        <rFont val="Arial"/>
        <family val="2"/>
      </rPr>
      <t>ows to repeat at top: $1:$1 to include row 1 at the top of all printed pages (as is done on this worksheet)</t>
    </r>
  </si>
  <si>
    <t>A simple table</t>
  </si>
  <si>
    <t>A more complex table</t>
  </si>
  <si>
    <t>NB Use Window Unfreeze Panes (on each worksheet) to have row 1 scroll with the rest of the worksheet</t>
  </si>
  <si>
    <t>Number of subscribers (simple year average)</t>
  </si>
  <si>
    <t>Subscribers.Year Average.Total</t>
  </si>
  <si>
    <t>NB To avoid having spurious names in this template the names shown below have not actually been created</t>
  </si>
  <si>
    <t xml:space="preserve"> </t>
  </si>
  <si>
    <t>Column label</t>
  </si>
  <si>
    <t>Input Link (different Workbook)</t>
  </si>
  <si>
    <t>An input to this part of the model, which is linked to a source on a worksheet in a different workbook</t>
  </si>
  <si>
    <t>Checksum</t>
  </si>
  <si>
    <t>An input to this part of the model, which is linked to a source on this or another worksheet within this workbook</t>
  </si>
  <si>
    <t>Column label (left aligned)</t>
  </si>
  <si>
    <t>Column label (not bold)</t>
  </si>
  <si>
    <t>Subscribers.Year End.By Service</t>
  </si>
  <si>
    <t>Service</t>
  </si>
  <si>
    <t>Units</t>
  </si>
  <si>
    <t>Subscribers</t>
  </si>
  <si>
    <t>From above</t>
  </si>
  <si>
    <t>From Cable_modem.xls</t>
  </si>
  <si>
    <t>Linear interpolation</t>
  </si>
  <si>
    <t>Column label (no wrap)</t>
  </si>
  <si>
    <t>Costos por actividad</t>
  </si>
  <si>
    <t>Costos anualizados</t>
  </si>
  <si>
    <t>Promedio de usuarios fijos</t>
  </si>
  <si>
    <t>Período</t>
  </si>
  <si>
    <t>Unidades</t>
  </si>
  <si>
    <t>Año promedio</t>
  </si>
  <si>
    <t>#</t>
  </si>
  <si>
    <t>Ingresos</t>
  </si>
  <si>
    <t>Datos de entrada</t>
  </si>
  <si>
    <t>Fuente</t>
  </si>
  <si>
    <t>Ingreso promedio por usuario</t>
  </si>
  <si>
    <t>Reportes anuales Telmex</t>
  </si>
  <si>
    <t>Acceso, renta y servicio medido</t>
  </si>
  <si>
    <t>Larga distancia nacional</t>
  </si>
  <si>
    <t>Larga distancia internacional</t>
  </si>
  <si>
    <t>millones MXN</t>
  </si>
  <si>
    <t>Usuarios Telmex</t>
  </si>
  <si>
    <t>Ingresos Telmex</t>
  </si>
  <si>
    <t>Crecimiento</t>
  </si>
  <si>
    <t>Costo por unidad</t>
  </si>
  <si>
    <t>Operador Hipotetico</t>
  </si>
  <si>
    <t>Año</t>
  </si>
  <si>
    <t>MXN</t>
  </si>
  <si>
    <t>%</t>
  </si>
  <si>
    <t>Billing</t>
  </si>
  <si>
    <t>Sobre</t>
  </si>
  <si>
    <t>Franqueo postal</t>
  </si>
  <si>
    <t>Cantidad</t>
  </si>
  <si>
    <t>Concepto</t>
  </si>
  <si>
    <t>Impresión y Envío</t>
  </si>
  <si>
    <t>Costo</t>
  </si>
  <si>
    <t>Capacidad</t>
  </si>
  <si>
    <t>Notas</t>
  </si>
  <si>
    <t>Cobranza</t>
  </si>
  <si>
    <t>Tiempo dedicado a cobranza</t>
  </si>
  <si>
    <t>MXN/mes</t>
  </si>
  <si>
    <t>CRM - relacion con el cliente</t>
  </si>
  <si>
    <t>Costo del sistema de billing</t>
  </si>
  <si>
    <t>Capex</t>
  </si>
  <si>
    <t>Opex</t>
  </si>
  <si>
    <t>Tendencia del costo</t>
  </si>
  <si>
    <t>Costo total</t>
  </si>
  <si>
    <t>CRM</t>
  </si>
  <si>
    <t>Sistema CRM</t>
  </si>
  <si>
    <t>Vida util</t>
  </si>
  <si>
    <t>Usuarios</t>
  </si>
  <si>
    <t>Costo por equipo</t>
  </si>
  <si>
    <t>Numero de equipos</t>
  </si>
  <si>
    <t>Compra de equipos</t>
  </si>
  <si>
    <t>Indice del capex</t>
  </si>
  <si>
    <t>Output ponderado</t>
  </si>
  <si>
    <t>Costo por unidad producida</t>
  </si>
  <si>
    <t>Tasa de descuento real</t>
  </si>
  <si>
    <t>WACC</t>
  </si>
  <si>
    <t>Indice del opex</t>
  </si>
  <si>
    <t>Hoja de papel</t>
  </si>
  <si>
    <t>Otros costos unitarios - materia prima y pagos a terceros</t>
  </si>
  <si>
    <t>Tiendas propias para realizar pagos</t>
  </si>
  <si>
    <t>Indice</t>
  </si>
  <si>
    <t>Recibos enviados anualmente</t>
  </si>
  <si>
    <t>Costo de facturacion</t>
  </si>
  <si>
    <t>Costo de cobranza</t>
  </si>
  <si>
    <t>Costo de envio</t>
  </si>
  <si>
    <t>Recibo promedio</t>
  </si>
  <si>
    <t>Ingreso promedio por recibo</t>
  </si>
  <si>
    <t>Costo total de facturacion y cobranza por factura envíada</t>
  </si>
  <si>
    <t>Modelo de facturación y cobranza</t>
  </si>
  <si>
    <t>Información</t>
  </si>
  <si>
    <t>Título</t>
  </si>
  <si>
    <t>Objetivo</t>
  </si>
  <si>
    <t>Calcular los costos CITLP por recibo enviado</t>
  </si>
  <si>
    <t>AoP</t>
  </si>
  <si>
    <t>Resultados</t>
  </si>
  <si>
    <t>Unidad</t>
  </si>
  <si>
    <t>recibo_promedio</t>
  </si>
  <si>
    <t>Tiendas</t>
  </si>
  <si>
    <t>Costo mensual</t>
  </si>
  <si>
    <t>Coste por recibo</t>
  </si>
  <si>
    <t>Link</t>
  </si>
  <si>
    <t>Folios</t>
  </si>
  <si>
    <t>Precio/folio</t>
  </si>
  <si>
    <t>Average</t>
  </si>
  <si>
    <t>Sobres</t>
  </si>
  <si>
    <t>Precio - MXN</t>
  </si>
  <si>
    <t>https://www.abasteo.mx/Esselte-Sobre-Correspondencia-73213-Paquete-de-500-Piezas-Tamano-Oficio-Blanco.html</t>
  </si>
  <si>
    <t>Servicio local</t>
  </si>
  <si>
    <t>Fuente: http://www.correosdemexico.gob.mx/Tarifas/TCorreos/Documents/MasA.pdf</t>
  </si>
  <si>
    <t>Fuente: http://www.banxico.org.mx/sistemas-de-pago/servicios/tarifas-y-comisiones/tasas-de-descuento-que-pagan-los-comercios-por-ace/tasas-de-descuento-para-tarjetas-de-credito-por-gi/tasas-descuento-por-giro-cred.html</t>
  </si>
  <si>
    <t>Fuente: http://www.banxico.org.mx/sistemas-de-pago/servicios/tarifas-y-comisiones/tasas-de-descuento-que-pagan-los-comercios-por-ace/tasas-de-descuento-para-tarjetas-de-debito-por-gir/tasas-descuento-por-giro-debi.html</t>
  </si>
  <si>
    <t>Tendencia de costos</t>
  </si>
  <si>
    <t>% sobre el capex</t>
  </si>
  <si>
    <t>Efectivo</t>
  </si>
  <si>
    <t>Transferencia bancaria</t>
  </si>
  <si>
    <t>Tarjeta bancaria</t>
  </si>
  <si>
    <t>Banco</t>
  </si>
  <si>
    <t>Internet</t>
  </si>
  <si>
    <t>Tarjetas bancarias (crédito / débito)</t>
  </si>
  <si>
    <t>Tarjeta de crédito</t>
  </si>
  <si>
    <t>Tarjeta de débito</t>
  </si>
  <si>
    <t>Comisión promedio para  telecomunicaciones</t>
  </si>
  <si>
    <t>Uso promedio de tarjeta bancaria (% transacciones por tipo de tarjeta)</t>
  </si>
  <si>
    <t>Fuente: http://www.condusef.gob.mx/gbmx/?p=estadisticas</t>
  </si>
  <si>
    <t>Comisión media</t>
  </si>
  <si>
    <t>Comisión efectivo</t>
  </si>
  <si>
    <t>Comisión electrónica</t>
  </si>
  <si>
    <t>Comisión tienda</t>
  </si>
  <si>
    <t>Método para realizar pagos</t>
  </si>
  <si>
    <t>Compras autorizadas</t>
  </si>
  <si>
    <t>Total (%)</t>
  </si>
  <si>
    <t>Folios de papel</t>
  </si>
  <si>
    <t>Decuento por gran volumen</t>
  </si>
  <si>
    <t>Equipo de impresión</t>
  </si>
  <si>
    <t>-Alimentador automático de originales</t>
  </si>
  <si>
    <t>-Finalizador</t>
  </si>
  <si>
    <t>-Controlador de impresión</t>
  </si>
  <si>
    <t>-Cajón de gran capacidad</t>
  </si>
  <si>
    <t>Color</t>
  </si>
  <si>
    <t>Blanco y negro</t>
  </si>
  <si>
    <t>Nota: El precio del equipo / costo de renting incluye los siguientes accesorios:</t>
  </si>
  <si>
    <t>Equipo de sobreteo</t>
  </si>
  <si>
    <t>Electricidad</t>
  </si>
  <si>
    <t>Costo mensual en caso de renting</t>
  </si>
  <si>
    <t>% sobre el costo de renting</t>
  </si>
  <si>
    <t>Nota: Calculado teniendo en cuenta un consumo de unos 4.6 KWh y un costo por KWh entre 0.98MXN y 1.7MXN dependiendo de la franja horaria</t>
  </si>
  <si>
    <t>http://www.dineroenimagen.com/2017-01-02/81887</t>
  </si>
  <si>
    <t>Costo por impresión en caso de contrato de mantenimiento</t>
  </si>
  <si>
    <t>Personal para gestión del equipo de impresión</t>
  </si>
  <si>
    <t>Costo mensual por FTE</t>
  </si>
  <si>
    <t>FTE por equipo de impresión</t>
  </si>
  <si>
    <t>MXN / mes</t>
  </si>
  <si>
    <t>MXN / copia</t>
  </si>
  <si>
    <t>Costo anual equipo de impresión (inluyendo luz)</t>
  </si>
  <si>
    <t>Costo anual maquina sobreteo  (inluyendo luz)</t>
  </si>
  <si>
    <t>MXN / año</t>
  </si>
  <si>
    <t>Precio por envío</t>
  </si>
  <si>
    <t>Spare 1</t>
  </si>
  <si>
    <t>Spare 2</t>
  </si>
  <si>
    <t>Vida útil</t>
  </si>
  <si>
    <t>Años</t>
  </si>
  <si>
    <t>Factor de utilización</t>
  </si>
  <si>
    <t>recibos_ano</t>
  </si>
  <si>
    <t>Output (asumiendo 12 recibos anuales)</t>
  </si>
  <si>
    <t>discount_rate_divider</t>
  </si>
  <si>
    <t>Opex as % of capex</t>
  </si>
  <si>
    <t>tiendas_telmex</t>
  </si>
  <si>
    <t>costo_tienda_telmex</t>
  </si>
  <si>
    <t>tiempo_cobranza</t>
  </si>
  <si>
    <t>Comisión por tipo de pago (excluyendo el coste de las tiendas de Telmex)</t>
  </si>
  <si>
    <t>comision_media</t>
  </si>
  <si>
    <t>Comisiones de pago</t>
  </si>
  <si>
    <t>Comision media</t>
  </si>
  <si>
    <t>Nota: Clientes Jumbo con entre 5 y 13 millones de piezas mensuales</t>
  </si>
  <si>
    <t>Costo anual por FTEs por equipo de impresión</t>
  </si>
  <si>
    <t>FTE_por_equipo</t>
  </si>
  <si>
    <t>costo_por_FTE</t>
  </si>
  <si>
    <t>capacidad_billing</t>
  </si>
  <si>
    <t>capacidad_CRM</t>
  </si>
  <si>
    <t>costo_billing</t>
  </si>
  <si>
    <t>factor_utilizacion_billing</t>
  </si>
  <si>
    <t>opex_billing</t>
  </si>
  <si>
    <t>costo_CRM</t>
  </si>
  <si>
    <t>factor_utilizacion_CRM</t>
  </si>
  <si>
    <t>opex_CRM</t>
  </si>
  <si>
    <t>franqueo</t>
  </si>
  <si>
    <t>vida_billing</t>
  </si>
  <si>
    <t>vida_CRM</t>
  </si>
  <si>
    <t>promedio_usuarios_fijos</t>
  </si>
  <si>
    <t>Copias A4 por mes</t>
  </si>
  <si>
    <t>capacidad_equipo_impresion</t>
  </si>
  <si>
    <t>capacidad_equipo_sobreteo</t>
  </si>
  <si>
    <t>vida_equipo_sobreteo</t>
  </si>
  <si>
    <t>vida_equipo_impresion</t>
  </si>
  <si>
    <t>factor_utilizacion_equipo_impresion</t>
  </si>
  <si>
    <t>factor_utilizacion_equipo_sobreteo</t>
  </si>
  <si>
    <t>costo_anual_equipo_impresion</t>
  </si>
  <si>
    <t>costo_anual_equipo_sobreteo</t>
  </si>
  <si>
    <t>Costo por copia</t>
  </si>
  <si>
    <t>costo_por_copia_color</t>
  </si>
  <si>
    <t>CCPP nominal</t>
  </si>
  <si>
    <t>Multiplicador CCPP nominal</t>
  </si>
  <si>
    <t>Divisor CCPP nominal</t>
  </si>
  <si>
    <t>Nota: El renting y precio por copia incluyen portes de envío, reparaciones, verificaciones y sustituciones de todas las piezas necesarias para el correcto funcionamiento del equipo, así como la mano de obra y desplazamiento del Servicio Técnico Oficial, además de todos los consumibles necesarios para que la máquina sea operativa (TONER, aceite, etc.), a excepción del papel.</t>
  </si>
  <si>
    <t>precio.folio</t>
  </si>
  <si>
    <t>precio.sobre</t>
  </si>
  <si>
    <t>Folios por recibo</t>
  </si>
  <si>
    <t>folios_por_recibo</t>
  </si>
  <si>
    <t>Tiendas Telmex</t>
  </si>
  <si>
    <t>Otras tiendas</t>
  </si>
  <si>
    <t>total_tiendas_Telmex</t>
  </si>
  <si>
    <t xml:space="preserve">Tiendas Telmex </t>
  </si>
  <si>
    <t>IFT (Información estadística UPR) y modelo de mercado para servicios de interconexión</t>
  </si>
  <si>
    <t>Equipo de ensobrado</t>
  </si>
  <si>
    <t>Cálculos →</t>
  </si>
  <si>
    <t>Costo de facturación</t>
  </si>
  <si>
    <t>Costo de envío</t>
  </si>
  <si>
    <t>Q2 2017</t>
  </si>
  <si>
    <t>Q3 2017</t>
  </si>
  <si>
    <t>Q4 2017</t>
  </si>
  <si>
    <t>Q1 2018</t>
  </si>
  <si>
    <t>Modelo de mercado AEP</t>
  </si>
  <si>
    <t>https://www.cyberpuerta.mx/Impresion-Copiado/Papeles-para-Impresoras/Papel/Xerox-Papel-Bond-Ecologico-75g-m-5000-Hojas-de-Tamano-Carta-Blanco.html?nosto=shop_api_detail1_2</t>
  </si>
  <si>
    <t>https://www.costco.com.mx/Negocios-y-Papeleria/Papel-para-Oficina/Folders-y-Sobres/Ampad-sobre-para-correspondencia-10-cierre-engomado/p/647319</t>
  </si>
  <si>
    <t>https://pedidos.com/articulos/ESS-SOB-73221/sobre-correspondencia-ampad-73221-de-papel-color-blanco-carta-solapa-engomada-1-paquete-con-500-sobres.htm</t>
  </si>
  <si>
    <t>https://www.officemax.com.mx/papel-copiadora-92-5000-hojas-omx/p</t>
  </si>
  <si>
    <t>https://articulo.mercadolibre.com.mx/MLM-566428754-caja-de-papel-bond-xerox-tamano-carta-envio-gratis--_JM?quantity=1</t>
  </si>
  <si>
    <t>https://www.costco.com.mx/Negocios-y-Papeleria/Papel-para-Oficina/Papel/Xerox-pallet-papel-tamano-carta-40-cajas/p/646188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</si>
</sst>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0">
    <numFmt numFmtId="43" formatCode="_-* #,##0.00_-;\-* #,##0.00_-;_-* &quot;-&quot;??_-;_-@_-"/>
    <numFmt numFmtId="164" formatCode="#,##0_);[Red]\-#,##0_);0_);@_)"/>
    <numFmt numFmtId="165" formatCode="#,##0.00_);[Red]\-#,##0.00_);0.00_);@_)"/>
    <numFmt numFmtId="166" formatCode="#,##0%;[Red]\-#,##0%;0%;@_)"/>
    <numFmt numFmtId="167" formatCode="#,##0.00%;[Red]\-#,##0.00%;0.00%;@_)"/>
    <numFmt numFmtId="168" formatCode="dd\ mmm\ yy_)"/>
    <numFmt numFmtId="169" formatCode="* _(#,##0_);[Red]* \(#,##0\);* _(&quot;-&quot;?_);@_)"/>
    <numFmt numFmtId="170" formatCode="* _(#,##0.00_);[Red]* \(#,##0.00\);* _(&quot;-&quot;?_);@_)"/>
    <numFmt numFmtId="171" formatCode="\€\ * _(#,##0_);[Red]\€\ * \(#,##0\);\€\ * _(&quot;-&quot;?_);@_)"/>
    <numFmt numFmtId="172" formatCode="\€\ * _(#,##0.00_);[Red]\€\ * \(#,##0.00\);\€\ * _(&quot;-&quot;?_);@_)"/>
    <numFmt numFmtId="173" formatCode="[$EUR]\ * _(#,##0_);[Red][$EUR]\ * \(#,##0\);[$EUR]\ * _(&quot;-&quot;?_);@_)"/>
    <numFmt numFmtId="174" formatCode="[$EUR]\ * _(#,##0.00_);[Red][$EUR]\ * \(#,##0.00\);[$EUR]\ * _(&quot;-&quot;?_);@_)"/>
    <numFmt numFmtId="175" formatCode="\$\ * _(#,##0_);[Red]\$\ * \(#,##0\);\$\ * _(&quot;-&quot;?_);@_)"/>
    <numFmt numFmtId="176" formatCode="\$\ * _(#,##0.00_);[Red]\$\ * \(#,##0.00\);\$\ * _(&quot;-&quot;?_);@_)"/>
    <numFmt numFmtId="177" formatCode="[$USD]\ * _(#,##0_);[Red][$USD]\ * \(#,##0\);[$USD]\ * _(&quot;-&quot;?_);@_)"/>
    <numFmt numFmtId="178" formatCode="[$USD]\ * _(#,##0.00_);[Red][$USD]\ * \(#,##0.00\);[$USD]\ * _(&quot;-&quot;?_);@_)"/>
    <numFmt numFmtId="179" formatCode="\£\ * _(#,##0_);[Red]\£\ * \(#,##0\);\£\ * _(&quot;-&quot;?_);@_)"/>
    <numFmt numFmtId="180" formatCode="\£\ * _(#,##0.00_);[Red]\£\ * \(#,##0.00\);\£\ * _(&quot;-&quot;?_);@_)"/>
    <numFmt numFmtId="181" formatCode="[$GBP]\ * _(#,##0_);[Red][$GBP]\ * \(#,##0\);[$GBP]\ * _(&quot;-&quot;?_);@_)"/>
    <numFmt numFmtId="182" formatCode="[$GBP]\ * _(#,##0.00_);[Red][$GBP]\ * \(#,##0.00\);[$GBP]\ * _(&quot;-&quot;?_);@_)"/>
    <numFmt numFmtId="183" formatCode="mmm\ yy_)"/>
    <numFmt numFmtId="184" formatCode="yyyy_)"/>
    <numFmt numFmtId="185" formatCode="0.0%"/>
    <numFmt numFmtId="186" formatCode="0.0%;[Red]\-0.0%"/>
    <numFmt numFmtId="187" formatCode="0%;[Red]\-0%"/>
    <numFmt numFmtId="188" formatCode="#,##0.00_ ;[Red]\-#,##0.00\ "/>
    <numFmt numFmtId="189" formatCode="_-[$€-2]* #,##0.00_-;\-[$€-2]* #,##0.00_-;_-[$€-2]* &quot;-&quot;??_-"/>
    <numFmt numFmtId="193" formatCode="#,##0.0_);[Red]\-#,##0.0_);0.0_);@_)"/>
    <numFmt numFmtId="194" formatCode="#,##0.0%;[Red]\-#,##0.0%;0.0%;@_)"/>
    <numFmt numFmtId="195" formatCode="#,##0.000_);[Red]\-#,##0.000_);0.000_);@_)"/>
  </numFmts>
  <fonts count="27" x14ac:knownFonts="1">
    <font>
      <sz val="9"/>
      <name val="Arial"/>
      <family val="2"/>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b/>
      <sz val="12"/>
      <name val="Arial"/>
      <family val="2"/>
    </font>
    <font>
      <sz val="9"/>
      <name val="Arial"/>
      <family val="2"/>
    </font>
    <font>
      <b/>
      <sz val="18"/>
      <name val="Arial"/>
      <family val="2"/>
    </font>
    <font>
      <b/>
      <sz val="14"/>
      <name val="Arial"/>
      <family val="2"/>
    </font>
    <font>
      <b/>
      <sz val="9"/>
      <name val="Arial"/>
      <family val="2"/>
    </font>
    <font>
      <b/>
      <sz val="22"/>
      <name val="Arial"/>
      <family val="2"/>
    </font>
    <font>
      <sz val="8"/>
      <name val="Arial"/>
      <family val="2"/>
    </font>
    <font>
      <i/>
      <sz val="9"/>
      <color indexed="55"/>
      <name val="Arial"/>
      <family val="2"/>
    </font>
    <font>
      <u/>
      <sz val="9"/>
      <name val="Arial"/>
      <family val="2"/>
    </font>
    <font>
      <u/>
      <sz val="8"/>
      <name val="Arial"/>
      <family val="2"/>
    </font>
    <font>
      <i/>
      <sz val="9"/>
      <color indexed="16"/>
      <name val="Arial"/>
      <family val="2"/>
    </font>
    <font>
      <sz val="14"/>
      <color indexed="10"/>
      <name val="Arial"/>
      <family val="2"/>
    </font>
    <font>
      <sz val="14"/>
      <name val="Arial"/>
      <family val="2"/>
    </font>
    <font>
      <sz val="10"/>
      <name val="Arial"/>
      <family val="2"/>
    </font>
    <font>
      <b/>
      <sz val="11"/>
      <name val="Arial"/>
      <family val="2"/>
    </font>
    <font>
      <b/>
      <sz val="10"/>
      <name val="Arial"/>
      <family val="2"/>
    </font>
    <font>
      <sz val="9"/>
      <color indexed="10"/>
      <name val="Arial"/>
      <family val="2"/>
    </font>
    <font>
      <sz val="9"/>
      <color rgb="FFFF0000"/>
      <name val="Arial"/>
      <family val="2"/>
    </font>
    <font>
      <sz val="9"/>
      <color rgb="FF000000"/>
      <name val="Tahoma"/>
      <family val="2"/>
    </font>
    <font>
      <u/>
      <sz val="9"/>
      <color theme="10"/>
      <name val="Arial"/>
      <family val="2"/>
    </font>
    <font>
      <sz val="9"/>
      <color theme="1"/>
      <name val="Arial"/>
      <family val="2"/>
      <scheme val="minor"/>
    </font>
    <font>
      <i/>
      <sz val="9"/>
      <name val="Arial"/>
      <family val="2"/>
    </font>
  </fonts>
  <fills count="17">
    <fill>
      <patternFill patternType="none"/>
    </fill>
    <fill>
      <patternFill patternType="gray125"/>
    </fill>
    <fill>
      <patternFill patternType="solid">
        <fgColor indexed="41"/>
        <bgColor indexed="64"/>
      </patternFill>
    </fill>
    <fill>
      <patternFill patternType="solid">
        <fgColor indexed="13"/>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solid">
        <fgColor indexed="51"/>
        <bgColor indexed="64"/>
      </patternFill>
    </fill>
    <fill>
      <patternFill patternType="solid">
        <fgColor indexed="22"/>
        <bgColor indexed="64"/>
      </patternFill>
    </fill>
    <fill>
      <patternFill patternType="solid">
        <fgColor rgb="FFFFFF00"/>
        <bgColor indexed="64"/>
      </patternFill>
    </fill>
    <fill>
      <patternFill patternType="solid">
        <fgColor theme="6" tint="0.59999389629810485"/>
        <bgColor indexed="65"/>
      </patternFill>
    </fill>
    <fill>
      <patternFill patternType="solid">
        <fgColor theme="3" tint="0.89999084444715716"/>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2" tint="0.59999389629810485"/>
        <bgColor indexed="64"/>
      </patternFill>
    </fill>
    <fill>
      <patternFill patternType="solid">
        <fgColor theme="0" tint="-0.249977111117893"/>
        <bgColor indexed="64"/>
      </patternFill>
    </fill>
  </fills>
  <borders count="19">
    <border>
      <left/>
      <right/>
      <top/>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right/>
      <top style="medium">
        <color indexed="41"/>
      </top>
      <bottom style="medium">
        <color indexed="41"/>
      </bottom>
      <diagonal/>
    </border>
    <border>
      <left/>
      <right/>
      <top style="medium">
        <color indexed="41"/>
      </top>
      <bottom/>
      <diagonal/>
    </border>
    <border>
      <left/>
      <right/>
      <top style="thin">
        <color indexed="8"/>
      </top>
      <bottom/>
      <diagonal/>
    </border>
    <border>
      <left/>
      <right/>
      <top/>
      <bottom style="thin">
        <color indexed="23"/>
      </bottom>
      <diagonal/>
    </border>
    <border>
      <left style="dotted">
        <color indexed="57"/>
      </left>
      <right style="dotted">
        <color indexed="57"/>
      </right>
      <top style="dotted">
        <color indexed="57"/>
      </top>
      <bottom/>
      <diagonal/>
    </border>
    <border>
      <left/>
      <right/>
      <top style="thick">
        <color theme="8" tint="0.59996337778862885"/>
      </top>
      <bottom/>
      <diagonal/>
    </border>
    <border>
      <left style="dotted">
        <color indexed="57"/>
      </left>
      <right style="dotted">
        <color indexed="57"/>
      </right>
      <top style="thick">
        <color theme="8" tint="0.59996337778862885"/>
      </top>
      <bottom style="dotted">
        <color indexed="57"/>
      </bottom>
      <diagonal/>
    </border>
    <border>
      <left style="thin">
        <color indexed="57"/>
      </left>
      <right style="thin">
        <color indexed="57"/>
      </right>
      <top style="thick">
        <color theme="8" tint="0.59996337778862885"/>
      </top>
      <bottom style="thin">
        <color indexed="57"/>
      </bottom>
      <diagonal/>
    </border>
    <border>
      <left style="thick">
        <color theme="8" tint="0.59996337778862885"/>
      </left>
      <right style="dotted">
        <color indexed="57"/>
      </right>
      <top style="dotted">
        <color indexed="57"/>
      </top>
      <bottom style="dotted">
        <color indexed="57"/>
      </bottom>
      <diagonal/>
    </border>
    <border>
      <left style="thin">
        <color indexed="57"/>
      </left>
      <right/>
      <top style="thin">
        <color indexed="57"/>
      </top>
      <bottom style="thin">
        <color indexed="57"/>
      </bottom>
      <diagonal/>
    </border>
    <border>
      <left style="dotted">
        <color indexed="57"/>
      </left>
      <right/>
      <top style="dotted">
        <color indexed="57"/>
      </top>
      <bottom/>
      <diagonal/>
    </border>
    <border>
      <left style="thin">
        <color indexed="57"/>
      </left>
      <right/>
      <top style="thick">
        <color theme="8" tint="0.59996337778862885"/>
      </top>
      <bottom style="thin">
        <color indexed="57"/>
      </bottom>
      <diagonal/>
    </border>
    <border>
      <left style="thick">
        <color theme="8" tint="0.59996337778862885"/>
      </left>
      <right style="dotted">
        <color indexed="57"/>
      </right>
      <top style="dotted">
        <color indexed="57"/>
      </top>
      <bottom/>
      <diagonal/>
    </border>
    <border>
      <left style="thick">
        <color theme="8" tint="0.59996337778862885"/>
      </left>
      <right/>
      <top style="thick">
        <color theme="8" tint="0.59996337778862885"/>
      </top>
      <bottom/>
      <diagonal/>
    </border>
    <border>
      <left style="thin">
        <color indexed="57"/>
      </left>
      <right style="thin">
        <color indexed="57"/>
      </right>
      <top/>
      <bottom style="thin">
        <color indexed="57"/>
      </bottom>
      <diagonal/>
    </border>
  </borders>
  <cellStyleXfs count="79">
    <xf numFmtId="0" fontId="0" fillId="0" borderId="0">
      <alignment vertical="center"/>
    </xf>
    <xf numFmtId="0" fontId="6" fillId="0" borderId="0" applyNumberFormat="0" applyAlignment="0">
      <alignment vertical="center"/>
    </xf>
    <xf numFmtId="165" fontId="12" fillId="0" borderId="0" applyNumberFormat="0" applyAlignment="0">
      <alignment vertical="center"/>
    </xf>
    <xf numFmtId="0" fontId="9" fillId="2" borderId="0" applyNumberFormat="0">
      <alignment horizontal="center" vertical="top" wrapText="1"/>
    </xf>
    <xf numFmtId="0" fontId="9" fillId="2" borderId="0" applyNumberFormat="0">
      <alignment horizontal="left" vertical="top" wrapText="1"/>
    </xf>
    <xf numFmtId="0" fontId="9" fillId="2" borderId="0" applyNumberFormat="0">
      <alignment horizontal="centerContinuous" vertical="top"/>
    </xf>
    <xf numFmtId="0" fontId="6" fillId="2" borderId="0" applyNumberFormat="0">
      <alignment horizontal="center" vertical="top" wrapText="1"/>
    </xf>
    <xf numFmtId="164" fontId="6" fillId="0" borderId="0" applyFont="0" applyFill="0" applyBorder="0" applyAlignment="0" applyProtection="0">
      <alignment vertical="center"/>
    </xf>
    <xf numFmtId="169" fontId="6" fillId="0" borderId="0" applyFont="0" applyFill="0" applyBorder="0" applyAlignment="0" applyProtection="0">
      <alignment vertical="center"/>
    </xf>
    <xf numFmtId="170" fontId="6" fillId="0" borderId="0" applyFont="0" applyFill="0" applyBorder="0" applyAlignment="0" applyProtection="0">
      <alignment vertical="center"/>
    </xf>
    <xf numFmtId="175" fontId="6" fillId="0" borderId="0" applyFont="0" applyFill="0" applyBorder="0" applyAlignment="0" applyProtection="0">
      <alignment vertical="center"/>
    </xf>
    <xf numFmtId="176" fontId="6" fillId="0" borderId="0" applyFont="0" applyFill="0" applyBorder="0" applyAlignment="0" applyProtection="0">
      <alignment vertical="center"/>
    </xf>
    <xf numFmtId="173" fontId="6" fillId="0" borderId="0" applyFont="0" applyFill="0" applyBorder="0" applyAlignment="0" applyProtection="0">
      <alignment vertical="center"/>
    </xf>
    <xf numFmtId="174" fontId="6" fillId="0" borderId="0" applyFont="0" applyFill="0" applyBorder="0" applyAlignment="0" applyProtection="0">
      <alignment vertical="center"/>
    </xf>
    <xf numFmtId="171" fontId="6" fillId="0" borderId="0" applyFont="0" applyFill="0" applyBorder="0" applyAlignment="0" applyProtection="0">
      <alignment vertical="center"/>
    </xf>
    <xf numFmtId="172" fontId="6" fillId="0" borderId="0" applyFont="0" applyFill="0" applyBorder="0" applyAlignment="0" applyProtection="0">
      <alignment vertical="center"/>
    </xf>
    <xf numFmtId="181" fontId="6" fillId="0" borderId="0" applyFont="0" applyFill="0" applyBorder="0" applyAlignment="0" applyProtection="0">
      <alignment vertical="center"/>
    </xf>
    <xf numFmtId="182" fontId="6" fillId="0" borderId="0" applyFont="0" applyFill="0" applyBorder="0" applyAlignment="0" applyProtection="0">
      <alignment vertical="center"/>
    </xf>
    <xf numFmtId="179" fontId="6" fillId="0" borderId="0" applyFont="0" applyFill="0" applyBorder="0" applyAlignment="0" applyProtection="0">
      <alignment vertical="center"/>
    </xf>
    <xf numFmtId="180" fontId="6" fillId="0" borderId="0" applyFont="0" applyFill="0" applyBorder="0" applyAlignment="0" applyProtection="0">
      <alignment vertical="center"/>
    </xf>
    <xf numFmtId="177" fontId="6" fillId="0" borderId="0" applyFont="0" applyFill="0" applyBorder="0" applyAlignment="0" applyProtection="0">
      <alignment vertical="center"/>
    </xf>
    <xf numFmtId="178" fontId="6" fillId="0" borderId="0" applyFont="0" applyFill="0" applyBorder="0" applyAlignment="0" applyProtection="0">
      <alignment vertical="center"/>
    </xf>
    <xf numFmtId="168" fontId="6" fillId="0" borderId="0" applyFont="0" applyFill="0" applyBorder="0" applyAlignment="0" applyProtection="0">
      <alignment vertical="center"/>
    </xf>
    <xf numFmtId="183" fontId="6" fillId="0" borderId="0" applyFont="0" applyFill="0" applyBorder="0" applyAlignment="0" applyProtection="0">
      <alignment vertical="center"/>
    </xf>
    <xf numFmtId="184" fontId="6" fillId="0" borderId="0" applyFont="0" applyFill="0" applyBorder="0" applyAlignment="0" applyProtection="0">
      <alignment vertical="center"/>
    </xf>
    <xf numFmtId="0" fontId="10" fillId="2" borderId="0" applyNumberFormat="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5" fillId="0" borderId="0" applyNumberFormat="0" applyFill="0" applyBorder="0" applyAlignment="0" applyProtection="0">
      <alignment horizontal="left" vertical="center"/>
    </xf>
    <xf numFmtId="0" fontId="9" fillId="0" borderId="0" applyNumberFormat="0" applyFill="0" applyBorder="0" applyAlignment="0" applyProtection="0">
      <alignment vertical="center"/>
    </xf>
    <xf numFmtId="0" fontId="6" fillId="3" borderId="0" applyNumberFormat="0" applyFont="0" applyBorder="0" applyAlignment="0" applyProtection="0">
      <alignment vertical="center"/>
    </xf>
    <xf numFmtId="0" fontId="6" fillId="0" borderId="1" applyNumberFormat="0" applyAlignment="0">
      <alignment vertical="center"/>
    </xf>
    <xf numFmtId="0" fontId="6" fillId="0" borderId="2" applyNumberFormat="0" applyAlignment="0">
      <alignment vertical="center"/>
      <protection locked="0"/>
    </xf>
    <xf numFmtId="164" fontId="6" fillId="4" borderId="2" applyNumberFormat="0" applyAlignment="0">
      <alignment vertical="center"/>
      <protection locked="0"/>
    </xf>
    <xf numFmtId="0" fontId="6" fillId="5" borderId="0" applyNumberFormat="0" applyAlignment="0">
      <alignment vertical="center"/>
    </xf>
    <xf numFmtId="0" fontId="6" fillId="6" borderId="0" applyNumberFormat="0" applyAlignment="0">
      <alignment vertical="center"/>
    </xf>
    <xf numFmtId="0" fontId="6" fillId="0" borderId="3" applyNumberFormat="0" applyAlignment="0">
      <alignment vertical="center"/>
      <protection locked="0"/>
    </xf>
    <xf numFmtId="0" fontId="15" fillId="0" borderId="0" applyNumberFormat="0" applyAlignment="0">
      <alignment vertical="center"/>
    </xf>
    <xf numFmtId="0" fontId="11" fillId="0" borderId="0" applyNumberFormat="0" applyFill="0" applyBorder="0" applyAlignment="0" applyProtection="0">
      <alignment vertical="center"/>
    </xf>
    <xf numFmtId="164" fontId="6" fillId="0" borderId="0" applyFont="0" applyFill="0" applyBorder="0" applyAlignment="0" applyProtection="0">
      <alignment vertical="center"/>
    </xf>
    <xf numFmtId="165" fontId="6" fillId="0" borderId="0" applyFont="0" applyFill="0" applyBorder="0" applyAlignment="0" applyProtection="0">
      <alignment vertical="center"/>
    </xf>
    <xf numFmtId="0" fontId="6" fillId="7" borderId="0" applyNumberFormat="0" applyFont="0" applyBorder="0" applyAlignment="0" applyProtection="0">
      <alignment vertical="center"/>
    </xf>
    <xf numFmtId="166" fontId="6" fillId="0" borderId="0" applyFont="0" applyFill="0" applyBorder="0" applyAlignment="0" applyProtection="0">
      <alignment horizontal="right" vertical="center"/>
    </xf>
    <xf numFmtId="167" fontId="6" fillId="0" borderId="0" applyFont="0" applyFill="0" applyBorder="0" applyAlignment="0" applyProtection="0">
      <alignment vertical="center"/>
    </xf>
    <xf numFmtId="0" fontId="9" fillId="0" borderId="0" applyNumberFormat="0" applyFill="0" applyBorder="0">
      <alignment horizontal="left" vertical="center" wrapText="1"/>
    </xf>
    <xf numFmtId="0" fontId="6" fillId="0" borderId="0" applyNumberFormat="0" applyFill="0" applyBorder="0">
      <alignment horizontal="left" vertical="center" wrapText="1" indent="1"/>
    </xf>
    <xf numFmtId="164" fontId="9" fillId="0" borderId="4" applyNumberFormat="0" applyFill="0" applyAlignment="0" applyProtection="0">
      <alignment vertical="center"/>
    </xf>
    <xf numFmtId="164" fontId="6" fillId="0" borderId="5" applyNumberFormat="0" applyFont="0" applyFill="0" applyAlignment="0" applyProtection="0">
      <alignment vertical="center"/>
    </xf>
    <xf numFmtId="0" fontId="6" fillId="8" borderId="0" applyNumberFormat="0" applyFont="0" applyBorder="0" applyAlignment="0" applyProtection="0">
      <alignment vertical="center"/>
    </xf>
    <xf numFmtId="0" fontId="6" fillId="0" borderId="0" applyNumberFormat="0" applyFont="0" applyFill="0" applyAlignment="0" applyProtection="0">
      <alignment vertical="center"/>
    </xf>
    <xf numFmtId="164" fontId="6" fillId="0" borderId="0" applyNumberFormat="0" applyFont="0" applyBorder="0" applyAlignment="0" applyProtection="0">
      <alignment vertical="center"/>
    </xf>
    <xf numFmtId="49" fontId="6" fillId="0" borderId="0" applyFont="0" applyFill="0" applyBorder="0" applyAlignment="0" applyProtection="0">
      <alignment horizontal="center" vertical="center"/>
    </xf>
    <xf numFmtId="164" fontId="9" fillId="0" borderId="0" applyNumberFormat="0" applyFill="0" applyBorder="0" applyAlignment="0" applyProtection="0">
      <alignment vertical="center"/>
    </xf>
    <xf numFmtId="164" fontId="9" fillId="2" borderId="0" applyNumberFormat="0" applyAlignment="0" applyProtection="0">
      <alignment vertical="center"/>
    </xf>
    <xf numFmtId="0" fontId="6" fillId="0" borderId="0" applyNumberFormat="0" applyFont="0" applyBorder="0" applyAlignment="0" applyProtection="0">
      <alignment vertical="center"/>
    </xf>
    <xf numFmtId="0" fontId="6" fillId="0" borderId="0" applyNumberFormat="0" applyFont="0" applyAlignment="0" applyProtection="0">
      <alignment vertical="center"/>
    </xf>
    <xf numFmtId="9" fontId="6" fillId="0" borderId="0" applyFont="0" applyFill="0" applyBorder="0" applyAlignment="0" applyProtection="0"/>
    <xf numFmtId="0" fontId="6" fillId="0" borderId="0">
      <alignment vertical="center"/>
    </xf>
    <xf numFmtId="0" fontId="24" fillId="0" borderId="0" applyNumberFormat="0" applyFill="0" applyBorder="0" applyAlignment="0" applyProtection="0">
      <alignment vertical="center"/>
    </xf>
    <xf numFmtId="169" fontId="6" fillId="0" borderId="0">
      <alignment vertical="center"/>
    </xf>
    <xf numFmtId="189" fontId="4" fillId="0" borderId="0"/>
    <xf numFmtId="0" fontId="4" fillId="0" borderId="0"/>
    <xf numFmtId="43" fontId="4" fillId="0" borderId="0" applyFont="0" applyFill="0" applyBorder="0" applyAlignment="0" applyProtection="0"/>
    <xf numFmtId="0" fontId="3" fillId="10" borderId="0" applyNumberFormat="0" applyBorder="0" applyAlignment="0" applyProtection="0"/>
    <xf numFmtId="189" fontId="2" fillId="0" borderId="0"/>
    <xf numFmtId="0" fontId="2" fillId="0" borderId="0"/>
    <xf numFmtId="43" fontId="2" fillId="0" borderId="0" applyFont="0" applyFill="0" applyBorder="0" applyAlignment="0" applyProtection="0"/>
    <xf numFmtId="0" fontId="6" fillId="0" borderId="3" applyNumberFormat="0" applyAlignment="0">
      <alignment vertical="center"/>
      <protection locked="0"/>
    </xf>
    <xf numFmtId="3" fontId="6" fillId="0" borderId="0" applyBorder="0"/>
    <xf numFmtId="0" fontId="6" fillId="0" borderId="0" applyNumberFormat="0" applyAlignment="0">
      <alignment vertical="center"/>
    </xf>
    <xf numFmtId="0" fontId="11" fillId="0" borderId="0" applyNumberFormat="0" applyFill="0" applyBorder="0" applyAlignment="0" applyProtection="0">
      <alignment vertical="center"/>
    </xf>
    <xf numFmtId="0" fontId="6" fillId="7" borderId="0" applyNumberFormat="0" applyFont="0" applyBorder="0" applyAlignment="0" applyProtection="0">
      <alignment vertical="center"/>
    </xf>
    <xf numFmtId="164" fontId="9" fillId="0" borderId="0" applyNumberFormat="0" applyFill="0" applyBorder="0" applyAlignment="0" applyProtection="0">
      <alignment vertical="center"/>
    </xf>
    <xf numFmtId="189" fontId="1" fillId="0" borderId="0"/>
    <xf numFmtId="0" fontId="1" fillId="0" borderId="0"/>
    <xf numFmtId="43" fontId="1" fillId="0" borderId="0" applyFont="0" applyFill="0" applyBorder="0" applyAlignment="0" applyProtection="0"/>
    <xf numFmtId="189" fontId="1" fillId="0" borderId="0"/>
    <xf numFmtId="0" fontId="1" fillId="0" borderId="0"/>
    <xf numFmtId="43" fontId="1" fillId="0" borderId="0" applyFont="0" applyFill="0" applyBorder="0" applyAlignment="0" applyProtection="0"/>
  </cellStyleXfs>
  <cellXfs count="207">
    <xf numFmtId="0" fontId="0" fillId="0" borderId="0" xfId="0">
      <alignment vertical="center"/>
    </xf>
    <xf numFmtId="0" fontId="9" fillId="2" borderId="0" xfId="3">
      <alignment horizontal="center" vertical="top" wrapText="1"/>
    </xf>
    <xf numFmtId="0" fontId="0" fillId="0" borderId="0" xfId="0" applyFill="1">
      <alignment vertical="center"/>
    </xf>
    <xf numFmtId="164" fontId="0" fillId="0" borderId="0" xfId="39" applyFont="1">
      <alignment vertical="center"/>
    </xf>
    <xf numFmtId="0" fontId="6" fillId="0" borderId="0" xfId="45">
      <alignment horizontal="left" vertical="center" wrapText="1" indent="1"/>
    </xf>
    <xf numFmtId="0" fontId="9" fillId="0" borderId="0" xfId="44">
      <alignment horizontal="left" vertical="center" wrapText="1"/>
    </xf>
    <xf numFmtId="0" fontId="9" fillId="2" borderId="0" xfId="53" applyNumberFormat="1" applyAlignment="1">
      <alignment horizontal="left" vertical="center" wrapText="1"/>
    </xf>
    <xf numFmtId="0" fontId="9" fillId="0" borderId="4" xfId="46" applyNumberFormat="1" applyAlignment="1">
      <alignment horizontal="left" vertical="center" wrapText="1" indent="1"/>
    </xf>
    <xf numFmtId="0" fontId="8" fillId="0" borderId="0" xfId="27">
      <alignment vertical="center"/>
    </xf>
    <xf numFmtId="164" fontId="6" fillId="0" borderId="3" xfId="36" applyNumberFormat="1">
      <alignment vertical="center"/>
      <protection locked="0"/>
    </xf>
    <xf numFmtId="164" fontId="6" fillId="0" borderId="1" xfId="31" applyNumberFormat="1">
      <alignment vertical="center"/>
    </xf>
    <xf numFmtId="164" fontId="6" fillId="0" borderId="2" xfId="32" applyNumberFormat="1">
      <alignment vertical="center"/>
      <protection locked="0"/>
    </xf>
    <xf numFmtId="164" fontId="6" fillId="5" borderId="0" xfId="34" applyNumberFormat="1">
      <alignment vertical="center"/>
    </xf>
    <xf numFmtId="164" fontId="6" fillId="0" borderId="0" xfId="1" applyNumberFormat="1">
      <alignment vertical="center"/>
    </xf>
    <xf numFmtId="164" fontId="6" fillId="7" borderId="0" xfId="41" applyNumberFormat="1">
      <alignment vertical="center"/>
    </xf>
    <xf numFmtId="164" fontId="6" fillId="3" borderId="0" xfId="30" applyNumberFormat="1">
      <alignment vertical="center"/>
    </xf>
    <xf numFmtId="165" fontId="0" fillId="0" borderId="0" xfId="40" applyFont="1">
      <alignment vertical="center"/>
    </xf>
    <xf numFmtId="169" fontId="0" fillId="0" borderId="0" xfId="8" applyFont="1">
      <alignment vertical="center"/>
    </xf>
    <xf numFmtId="170" fontId="0" fillId="0" borderId="0" xfId="9" applyFont="1">
      <alignment vertical="center"/>
    </xf>
    <xf numFmtId="171" fontId="0" fillId="0" borderId="0" xfId="14" applyFont="1">
      <alignment vertical="center"/>
    </xf>
    <xf numFmtId="172" fontId="0" fillId="0" borderId="0" xfId="15" applyFont="1">
      <alignment vertical="center"/>
    </xf>
    <xf numFmtId="173" fontId="0" fillId="0" borderId="0" xfId="12" applyFont="1">
      <alignment vertical="center"/>
    </xf>
    <xf numFmtId="174" fontId="0" fillId="0" borderId="0" xfId="13" applyFont="1">
      <alignment vertical="center"/>
    </xf>
    <xf numFmtId="168" fontId="0" fillId="0" borderId="0" xfId="22" applyFont="1">
      <alignment vertical="center"/>
    </xf>
    <xf numFmtId="0" fontId="11" fillId="0" borderId="0" xfId="38">
      <alignment vertical="center"/>
    </xf>
    <xf numFmtId="175" fontId="0" fillId="0" borderId="0" xfId="10" applyFont="1">
      <alignment vertical="center"/>
    </xf>
    <xf numFmtId="176" fontId="0" fillId="0" borderId="0" xfId="11" applyFont="1">
      <alignment vertical="center"/>
    </xf>
    <xf numFmtId="177" fontId="0" fillId="0" borderId="0" xfId="20" applyFont="1">
      <alignment vertical="center"/>
    </xf>
    <xf numFmtId="178" fontId="0" fillId="0" borderId="0" xfId="21" applyFont="1">
      <alignment vertical="center"/>
    </xf>
    <xf numFmtId="179" fontId="0" fillId="0" borderId="0" xfId="18" applyFont="1">
      <alignment vertical="center"/>
    </xf>
    <xf numFmtId="180" fontId="0" fillId="0" borderId="0" xfId="19" applyFont="1">
      <alignment vertical="center"/>
    </xf>
    <xf numFmtId="181" fontId="0" fillId="0" borderId="0" xfId="16" applyFont="1">
      <alignment vertical="center"/>
    </xf>
    <xf numFmtId="182" fontId="0" fillId="0" borderId="0" xfId="17" applyFont="1">
      <alignment vertical="center"/>
    </xf>
    <xf numFmtId="184" fontId="0" fillId="0" borderId="0" xfId="24" applyFont="1">
      <alignment vertical="center"/>
    </xf>
    <xf numFmtId="0" fontId="9" fillId="0" borderId="0" xfId="29">
      <alignment vertical="center"/>
    </xf>
    <xf numFmtId="0" fontId="5" fillId="0" borderId="0" xfId="28" applyAlignment="1">
      <alignment vertical="center"/>
    </xf>
    <xf numFmtId="0" fontId="9" fillId="0" borderId="4" xfId="46" applyNumberFormat="1">
      <alignment vertical="center"/>
    </xf>
    <xf numFmtId="0" fontId="9" fillId="2" borderId="0" xfId="53" applyNumberFormat="1">
      <alignment vertical="center"/>
    </xf>
    <xf numFmtId="0" fontId="0" fillId="8" borderId="0" xfId="48" applyFont="1">
      <alignment vertical="center"/>
    </xf>
    <xf numFmtId="0" fontId="0" fillId="0" borderId="5" xfId="47" applyNumberFormat="1" applyFont="1">
      <alignment vertical="center"/>
    </xf>
    <xf numFmtId="164" fontId="15" fillId="0" borderId="0" xfId="37" applyNumberFormat="1">
      <alignment vertical="center"/>
    </xf>
    <xf numFmtId="164" fontId="11" fillId="0" borderId="0" xfId="38" applyNumberFormat="1">
      <alignment vertical="center"/>
    </xf>
    <xf numFmtId="0" fontId="7" fillId="0" borderId="0" xfId="26">
      <alignment vertical="center"/>
    </xf>
    <xf numFmtId="0" fontId="15" fillId="0" borderId="0" xfId="37">
      <alignment vertical="center"/>
    </xf>
    <xf numFmtId="0" fontId="0" fillId="3" borderId="0" xfId="30" applyFont="1">
      <alignment vertical="center"/>
    </xf>
    <xf numFmtId="0" fontId="9" fillId="3" borderId="0" xfId="29" applyFill="1">
      <alignment vertical="center"/>
    </xf>
    <xf numFmtId="0" fontId="11" fillId="0" borderId="0" xfId="38" applyFont="1">
      <alignment vertical="center"/>
    </xf>
    <xf numFmtId="164" fontId="0" fillId="8" borderId="0" xfId="48" applyNumberFormat="1" applyFont="1">
      <alignment vertical="center"/>
    </xf>
    <xf numFmtId="166" fontId="0" fillId="8" borderId="0" xfId="48" applyNumberFormat="1" applyFont="1">
      <alignment vertical="center"/>
    </xf>
    <xf numFmtId="166" fontId="0" fillId="0" borderId="0" xfId="50" applyNumberFormat="1" applyFont="1">
      <alignment vertical="center"/>
    </xf>
    <xf numFmtId="167" fontId="0" fillId="0" borderId="0" xfId="50" applyNumberFormat="1" applyFont="1">
      <alignment vertical="center"/>
    </xf>
    <xf numFmtId="0" fontId="0" fillId="0" borderId="0" xfId="54" applyFont="1">
      <alignment vertical="center"/>
    </xf>
    <xf numFmtId="164" fontId="6" fillId="0" borderId="0" xfId="54" applyNumberFormat="1">
      <alignment vertical="center"/>
    </xf>
    <xf numFmtId="0" fontId="0" fillId="0" borderId="0" xfId="50" applyNumberFormat="1" applyFont="1">
      <alignment vertical="center"/>
    </xf>
    <xf numFmtId="164" fontId="6" fillId="4" borderId="2" xfId="33">
      <alignment vertical="center"/>
      <protection locked="0"/>
    </xf>
    <xf numFmtId="0" fontId="9" fillId="0" borderId="0" xfId="44" applyAlignment="1">
      <alignment horizontal="left" vertical="center" wrapText="1"/>
    </xf>
    <xf numFmtId="0" fontId="0" fillId="0" borderId="0" xfId="0" applyBorder="1">
      <alignment vertical="center"/>
    </xf>
    <xf numFmtId="164" fontId="9" fillId="2" borderId="0" xfId="53">
      <alignment vertical="center"/>
    </xf>
    <xf numFmtId="0" fontId="8" fillId="0" borderId="0" xfId="27" applyFill="1" applyAlignment="1">
      <alignment horizontal="left"/>
    </xf>
    <xf numFmtId="0" fontId="9" fillId="0" borderId="0" xfId="44" applyAlignment="1">
      <alignment horizontal="left" vertical="center" wrapText="1" indent="1"/>
    </xf>
    <xf numFmtId="0" fontId="9" fillId="8" borderId="5" xfId="48" applyFont="1" applyBorder="1">
      <alignment vertical="center"/>
    </xf>
    <xf numFmtId="164" fontId="9" fillId="7" borderId="0" xfId="41" applyNumberFormat="1" applyFont="1">
      <alignment vertical="center"/>
    </xf>
    <xf numFmtId="0" fontId="9" fillId="7" borderId="0" xfId="41" applyFont="1" applyAlignment="1">
      <alignment horizontal="left" vertical="center" wrapText="1"/>
    </xf>
    <xf numFmtId="49" fontId="0" fillId="0" borderId="0" xfId="51" applyFont="1" applyAlignment="1">
      <alignment vertical="center"/>
    </xf>
    <xf numFmtId="164" fontId="6" fillId="6" borderId="0" xfId="35" applyNumberFormat="1" applyFill="1">
      <alignment vertical="center"/>
    </xf>
    <xf numFmtId="165" fontId="12" fillId="0" borderId="0" xfId="2">
      <alignment vertical="center"/>
    </xf>
    <xf numFmtId="0" fontId="9" fillId="2" borderId="0" xfId="4">
      <alignment horizontal="left" vertical="top" wrapText="1"/>
    </xf>
    <xf numFmtId="0" fontId="6" fillId="2" borderId="0" xfId="6">
      <alignment horizontal="center" vertical="top" wrapText="1"/>
    </xf>
    <xf numFmtId="164" fontId="6" fillId="6" borderId="0" xfId="35" applyNumberFormat="1">
      <alignment vertical="center"/>
    </xf>
    <xf numFmtId="164" fontId="9" fillId="0" borderId="0" xfId="52">
      <alignment vertical="center"/>
    </xf>
    <xf numFmtId="0" fontId="9" fillId="2" borderId="0" xfId="5">
      <alignment horizontal="centerContinuous" vertical="top"/>
    </xf>
    <xf numFmtId="183" fontId="0" fillId="0" borderId="0" xfId="23" applyFont="1">
      <alignment vertical="center"/>
    </xf>
    <xf numFmtId="0" fontId="9" fillId="7" borderId="0" xfId="41" applyFont="1">
      <alignment vertical="center"/>
    </xf>
    <xf numFmtId="49" fontId="6" fillId="0" borderId="0" xfId="51" applyFont="1" applyAlignment="1">
      <alignment vertical="center"/>
    </xf>
    <xf numFmtId="0" fontId="0" fillId="0" borderId="0" xfId="0" applyAlignment="1">
      <alignment horizontal="center" vertical="center"/>
    </xf>
    <xf numFmtId="0" fontId="10" fillId="0" borderId="0" xfId="25" applyFill="1" applyAlignment="1">
      <alignment horizontal="center" vertical="center"/>
    </xf>
    <xf numFmtId="38" fontId="10" fillId="0" borderId="0" xfId="25" applyNumberFormat="1" applyFill="1" applyBorder="1" applyAlignment="1">
      <alignment horizontal="center" vertical="center"/>
    </xf>
    <xf numFmtId="38" fontId="10" fillId="0" borderId="0" xfId="25" applyNumberFormat="1" applyFill="1" applyBorder="1">
      <alignment vertical="center"/>
    </xf>
    <xf numFmtId="0" fontId="10" fillId="0" borderId="0" xfId="25" applyFill="1" applyBorder="1">
      <alignment vertical="center"/>
    </xf>
    <xf numFmtId="0" fontId="10" fillId="0" borderId="0" xfId="25" applyFill="1">
      <alignment vertical="center"/>
    </xf>
    <xf numFmtId="0" fontId="0" fillId="0" borderId="6" xfId="0" applyBorder="1">
      <alignment vertical="center"/>
    </xf>
    <xf numFmtId="170" fontId="0" fillId="0" borderId="0" xfId="9" applyFont="1" applyAlignment="1">
      <alignment vertical="center"/>
    </xf>
    <xf numFmtId="0" fontId="10" fillId="0" borderId="0" xfId="25" applyFont="1" applyFill="1">
      <alignment vertical="center"/>
    </xf>
    <xf numFmtId="0" fontId="0" fillId="0" borderId="0" xfId="0" applyNumberFormat="1" applyAlignment="1">
      <alignment vertical="center"/>
    </xf>
    <xf numFmtId="0" fontId="9" fillId="0" borderId="0" xfId="29" applyNumberFormat="1" applyFont="1">
      <alignment vertical="center"/>
    </xf>
    <xf numFmtId="0" fontId="9" fillId="2" borderId="0" xfId="3" applyNumberFormat="1">
      <alignment horizontal="center" vertical="top" wrapText="1"/>
    </xf>
    <xf numFmtId="164" fontId="8" fillId="8" borderId="7" xfId="7" applyFont="1" applyFill="1" applyBorder="1">
      <alignment vertical="center"/>
    </xf>
    <xf numFmtId="0" fontId="8" fillId="8" borderId="7" xfId="0" applyFont="1" applyFill="1" applyBorder="1">
      <alignment vertical="center"/>
    </xf>
    <xf numFmtId="0" fontId="16" fillId="8" borderId="7" xfId="0" applyFont="1" applyFill="1" applyBorder="1">
      <alignment vertical="center"/>
    </xf>
    <xf numFmtId="164" fontId="0" fillId="0" borderId="0" xfId="7" applyFont="1" applyAlignment="1">
      <alignment vertical="center"/>
    </xf>
    <xf numFmtId="0" fontId="0" fillId="0" borderId="0" xfId="0" applyAlignment="1">
      <alignment vertical="center"/>
    </xf>
    <xf numFmtId="0" fontId="17" fillId="8" borderId="7" xfId="0" applyFont="1" applyFill="1" applyBorder="1" applyAlignment="1"/>
    <xf numFmtId="0" fontId="6" fillId="0" borderId="0" xfId="57" applyFont="1">
      <alignment vertical="center"/>
    </xf>
    <xf numFmtId="0" fontId="20" fillId="0" borderId="0" xfId="28" applyFont="1" applyAlignment="1">
      <alignment vertical="center"/>
    </xf>
    <xf numFmtId="0" fontId="18" fillId="0" borderId="0" xfId="0" applyFont="1">
      <alignment vertical="center"/>
    </xf>
    <xf numFmtId="0" fontId="18" fillId="0" borderId="0" xfId="0" applyFont="1" applyAlignment="1">
      <alignment vertical="center"/>
    </xf>
    <xf numFmtId="9" fontId="0" fillId="0" borderId="0" xfId="56" applyFont="1" applyAlignment="1">
      <alignment vertical="center"/>
    </xf>
    <xf numFmtId="185" fontId="6" fillId="5" borderId="0" xfId="34" applyNumberFormat="1">
      <alignment vertical="center"/>
    </xf>
    <xf numFmtId="0" fontId="6" fillId="4" borderId="2" xfId="33" applyNumberFormat="1">
      <alignment vertical="center"/>
      <protection locked="0"/>
    </xf>
    <xf numFmtId="164" fontId="0" fillId="0" borderId="0" xfId="7" applyFont="1">
      <alignment vertical="center"/>
    </xf>
    <xf numFmtId="0" fontId="9" fillId="0" borderId="0" xfId="0" applyFont="1">
      <alignment vertical="center"/>
    </xf>
    <xf numFmtId="0" fontId="20" fillId="0" borderId="0" xfId="0" applyFont="1">
      <alignment vertical="center"/>
    </xf>
    <xf numFmtId="0" fontId="19" fillId="0" borderId="0" xfId="0" applyFont="1">
      <alignment vertical="center"/>
    </xf>
    <xf numFmtId="2" fontId="0" fillId="0" borderId="0" xfId="0" applyNumberFormat="1">
      <alignment vertical="center"/>
    </xf>
    <xf numFmtId="0" fontId="22" fillId="0" borderId="0" xfId="0" applyFont="1">
      <alignment vertical="center"/>
    </xf>
    <xf numFmtId="0" fontId="23" fillId="0" borderId="0" xfId="0" applyFont="1">
      <alignment vertical="center"/>
    </xf>
    <xf numFmtId="185" fontId="6" fillId="4" borderId="2" xfId="56" applyNumberFormat="1" applyFill="1" applyBorder="1" applyAlignment="1" applyProtection="1">
      <alignment vertical="center"/>
      <protection locked="0"/>
    </xf>
    <xf numFmtId="164" fontId="6" fillId="4" borderId="2" xfId="7" applyFill="1" applyBorder="1" applyProtection="1">
      <alignment vertical="center"/>
      <protection locked="0"/>
    </xf>
    <xf numFmtId="186" fontId="6" fillId="5" borderId="0" xfId="34" applyNumberFormat="1" applyAlignment="1"/>
    <xf numFmtId="164" fontId="12" fillId="0" borderId="0" xfId="7" applyFont="1">
      <alignment vertical="center"/>
    </xf>
    <xf numFmtId="0" fontId="9" fillId="0" borderId="0" xfId="0" applyFont="1" applyAlignment="1">
      <alignment vertical="center"/>
    </xf>
    <xf numFmtId="165" fontId="6" fillId="0" borderId="0" xfId="1" applyNumberFormat="1">
      <alignment vertical="center"/>
    </xf>
    <xf numFmtId="9" fontId="21" fillId="0" borderId="0" xfId="56" applyFont="1" applyAlignment="1">
      <alignment vertical="center"/>
    </xf>
    <xf numFmtId="165" fontId="0" fillId="0" borderId="0" xfId="7" applyNumberFormat="1" applyFont="1">
      <alignment vertical="center"/>
    </xf>
    <xf numFmtId="10" fontId="6" fillId="4" borderId="2" xfId="56" applyNumberFormat="1" applyFill="1" applyBorder="1" applyAlignment="1" applyProtection="1">
      <alignment vertical="center"/>
      <protection locked="0"/>
    </xf>
    <xf numFmtId="10" fontId="6" fillId="5" borderId="0" xfId="56" applyNumberFormat="1" applyFill="1" applyAlignment="1"/>
    <xf numFmtId="164" fontId="6" fillId="11" borderId="1" xfId="31" applyNumberFormat="1" applyFill="1">
      <alignment vertical="center"/>
    </xf>
    <xf numFmtId="165" fontId="6" fillId="9" borderId="2" xfId="32" applyNumberFormat="1" applyFill="1" applyAlignment="1">
      <protection locked="0"/>
    </xf>
    <xf numFmtId="164" fontId="25" fillId="10" borderId="0" xfId="63" applyNumberFormat="1" applyFont="1" applyAlignment="1">
      <alignment vertical="center"/>
    </xf>
    <xf numFmtId="165" fontId="6" fillId="9" borderId="2" xfId="32" applyNumberFormat="1" applyFill="1">
      <alignment vertical="center"/>
      <protection locked="0"/>
    </xf>
    <xf numFmtId="185" fontId="6" fillId="9" borderId="2" xfId="32" applyNumberFormat="1" applyFill="1">
      <alignment vertical="center"/>
      <protection locked="0"/>
    </xf>
    <xf numFmtId="164" fontId="6" fillId="12" borderId="1" xfId="31" applyNumberFormat="1" applyFill="1">
      <alignment vertical="center"/>
    </xf>
    <xf numFmtId="165" fontId="6" fillId="0" borderId="1" xfId="31" applyNumberFormat="1" applyAlignment="1"/>
    <xf numFmtId="164" fontId="6" fillId="4" borderId="2" xfId="39" applyFill="1" applyBorder="1" applyAlignment="1" applyProtection="1">
      <alignment vertical="center"/>
      <protection locked="0"/>
    </xf>
    <xf numFmtId="165" fontId="6" fillId="0" borderId="1" xfId="31" applyNumberFormat="1">
      <alignment vertical="center"/>
    </xf>
    <xf numFmtId="164" fontId="6" fillId="13" borderId="1" xfId="31" applyNumberFormat="1" applyFill="1">
      <alignment vertical="center"/>
    </xf>
    <xf numFmtId="188" fontId="0" fillId="7" borderId="0" xfId="41" applyNumberFormat="1" applyFont="1">
      <alignment vertical="center"/>
    </xf>
    <xf numFmtId="0" fontId="9" fillId="11" borderId="0" xfId="0" applyFont="1" applyFill="1">
      <alignment vertical="center"/>
    </xf>
    <xf numFmtId="165" fontId="9" fillId="7" borderId="0" xfId="39" applyNumberFormat="1" applyFont="1" applyFill="1">
      <alignment vertical="center"/>
    </xf>
    <xf numFmtId="165" fontId="6" fillId="5" borderId="0" xfId="39" applyNumberFormat="1" applyFill="1">
      <alignment vertical="center"/>
    </xf>
    <xf numFmtId="0" fontId="18" fillId="0" borderId="0" xfId="28" applyFont="1" applyAlignment="1">
      <alignment vertical="center"/>
    </xf>
    <xf numFmtId="0" fontId="0" fillId="0" borderId="0" xfId="0" applyFont="1" applyAlignment="1">
      <alignment vertical="center"/>
    </xf>
    <xf numFmtId="186" fontId="6" fillId="0" borderId="2" xfId="32" applyNumberFormat="1" applyAlignment="1">
      <protection locked="0"/>
    </xf>
    <xf numFmtId="186" fontId="6" fillId="9" borderId="2" xfId="32" applyNumberFormat="1" applyFill="1" applyAlignment="1">
      <protection locked="0"/>
    </xf>
    <xf numFmtId="0" fontId="24" fillId="0" borderId="0" xfId="58">
      <alignment vertical="center"/>
    </xf>
    <xf numFmtId="164" fontId="6" fillId="0" borderId="2" xfId="39" applyBorder="1" applyProtection="1">
      <alignment vertical="center"/>
      <protection locked="0"/>
    </xf>
    <xf numFmtId="165" fontId="6" fillId="0" borderId="1" xfId="39" applyNumberFormat="1" applyBorder="1">
      <alignment vertical="center"/>
    </xf>
    <xf numFmtId="165" fontId="6" fillId="0" borderId="2" xfId="39" applyNumberFormat="1" applyBorder="1" applyProtection="1">
      <alignment vertical="center"/>
      <protection locked="0"/>
    </xf>
    <xf numFmtId="165" fontId="6" fillId="9" borderId="1" xfId="31" applyNumberFormat="1" applyFill="1">
      <alignment vertical="center"/>
    </xf>
    <xf numFmtId="166" fontId="6" fillId="0" borderId="2" xfId="42" applyBorder="1" applyAlignment="1" applyProtection="1">
      <alignment vertical="center"/>
      <protection locked="0"/>
    </xf>
    <xf numFmtId="10" fontId="6" fillId="0" borderId="2" xfId="32" applyNumberFormat="1">
      <alignment vertical="center"/>
      <protection locked="0"/>
    </xf>
    <xf numFmtId="166" fontId="6" fillId="4" borderId="2" xfId="56" applyNumberFormat="1" applyFill="1" applyBorder="1" applyAlignment="1" applyProtection="1">
      <alignment vertical="center"/>
      <protection locked="0"/>
    </xf>
    <xf numFmtId="166" fontId="0" fillId="15" borderId="0" xfId="42" applyFont="1" applyFill="1" applyAlignment="1">
      <alignment vertical="center"/>
    </xf>
    <xf numFmtId="166" fontId="6" fillId="0" borderId="1" xfId="31" applyNumberFormat="1" applyAlignment="1">
      <alignment vertical="center"/>
    </xf>
    <xf numFmtId="166" fontId="6" fillId="0" borderId="8" xfId="42" applyBorder="1" applyAlignment="1">
      <alignment vertical="center"/>
    </xf>
    <xf numFmtId="166" fontId="6" fillId="0" borderId="10" xfId="42" applyNumberFormat="1" applyBorder="1" applyAlignment="1">
      <alignment vertical="center"/>
    </xf>
    <xf numFmtId="166" fontId="6" fillId="4" borderId="11" xfId="56" applyNumberFormat="1" applyFill="1" applyBorder="1" applyAlignment="1" applyProtection="1">
      <alignment vertical="center"/>
      <protection locked="0"/>
    </xf>
    <xf numFmtId="166" fontId="6" fillId="4" borderId="13" xfId="56" applyNumberFormat="1" applyFill="1" applyBorder="1" applyAlignment="1" applyProtection="1">
      <alignment vertical="center"/>
      <protection locked="0"/>
    </xf>
    <xf numFmtId="166" fontId="6" fillId="0" borderId="14" xfId="42" applyBorder="1" applyAlignment="1">
      <alignment vertical="center"/>
    </xf>
    <xf numFmtId="166" fontId="6" fillId="4" borderId="15" xfId="56" applyNumberFormat="1" applyFill="1" applyBorder="1" applyAlignment="1" applyProtection="1">
      <alignment vertical="center"/>
      <protection locked="0"/>
    </xf>
    <xf numFmtId="166" fontId="6" fillId="0" borderId="12" xfId="31" applyNumberFormat="1" applyBorder="1">
      <alignment vertical="center"/>
    </xf>
    <xf numFmtId="166" fontId="6" fillId="0" borderId="16" xfId="31" applyNumberFormat="1" applyBorder="1">
      <alignment vertical="center"/>
    </xf>
    <xf numFmtId="0" fontId="6" fillId="2" borderId="0" xfId="3" applyNumberFormat="1" applyFont="1" applyAlignment="1">
      <alignment horizontal="left" vertical="top" wrapText="1"/>
    </xf>
    <xf numFmtId="0" fontId="6" fillId="2" borderId="0" xfId="3" applyNumberFormat="1" applyFont="1">
      <alignment horizontal="center" vertical="top" wrapText="1"/>
    </xf>
    <xf numFmtId="0" fontId="9" fillId="0" borderId="9" xfId="0" applyFont="1" applyBorder="1">
      <alignment vertical="center"/>
    </xf>
    <xf numFmtId="166" fontId="12" fillId="0" borderId="17" xfId="2" applyNumberFormat="1" applyBorder="1">
      <alignment vertical="center"/>
    </xf>
    <xf numFmtId="0" fontId="9" fillId="0" borderId="0" xfId="0" applyFont="1" applyAlignment="1">
      <alignment horizontal="center" vertical="center"/>
    </xf>
    <xf numFmtId="0" fontId="0" fillId="0" borderId="0" xfId="0" applyAlignment="1">
      <alignment horizontal="left" vertical="center" indent="1"/>
    </xf>
    <xf numFmtId="167" fontId="6" fillId="0" borderId="1" xfId="31" applyNumberFormat="1" applyAlignment="1">
      <alignment vertical="center"/>
    </xf>
    <xf numFmtId="167" fontId="6" fillId="5" borderId="0" xfId="34" applyNumberFormat="1" applyAlignment="1">
      <alignment vertical="center"/>
    </xf>
    <xf numFmtId="164" fontId="6" fillId="0" borderId="1" xfId="39" applyBorder="1">
      <alignment vertical="center"/>
    </xf>
    <xf numFmtId="164" fontId="6" fillId="14" borderId="1" xfId="39" applyFill="1" applyBorder="1">
      <alignment vertical="center"/>
    </xf>
    <xf numFmtId="10" fontId="6" fillId="5" borderId="0" xfId="34" applyNumberFormat="1">
      <alignment vertical="center"/>
    </xf>
    <xf numFmtId="166" fontId="6" fillId="0" borderId="3" xfId="42" applyBorder="1" applyAlignment="1" applyProtection="1">
      <alignment vertical="center"/>
      <protection locked="0"/>
    </xf>
    <xf numFmtId="188" fontId="9" fillId="7" borderId="0" xfId="41" applyNumberFormat="1" applyFont="1">
      <alignment vertical="center"/>
    </xf>
    <xf numFmtId="0" fontId="22" fillId="0" borderId="0" xfId="0" quotePrefix="1" applyFont="1" applyAlignment="1">
      <alignment horizontal="left" vertical="center" indent="1"/>
    </xf>
    <xf numFmtId="0" fontId="22" fillId="0" borderId="0" xfId="0" quotePrefix="1" applyFont="1" applyAlignment="1">
      <alignment horizontal="left" vertical="center"/>
    </xf>
    <xf numFmtId="0" fontId="0" fillId="0" borderId="0" xfId="0" applyAlignment="1">
      <alignment horizontal="left" vertical="center" indent="2"/>
    </xf>
    <xf numFmtId="167" fontId="6" fillId="0" borderId="1" xfId="42" applyNumberFormat="1" applyBorder="1" applyAlignment="1">
      <alignment vertical="center"/>
    </xf>
    <xf numFmtId="164" fontId="6" fillId="5" borderId="0" xfId="39" applyFill="1">
      <alignment vertical="center"/>
    </xf>
    <xf numFmtId="164" fontId="6" fillId="0" borderId="2" xfId="39" applyBorder="1" applyAlignment="1" applyProtection="1">
      <alignment vertical="center"/>
      <protection locked="0"/>
    </xf>
    <xf numFmtId="164" fontId="6" fillId="9" borderId="2" xfId="32" applyNumberFormat="1" applyFill="1" applyAlignment="1">
      <alignment vertical="center"/>
      <protection locked="0"/>
    </xf>
    <xf numFmtId="0" fontId="0" fillId="16" borderId="0" xfId="0" applyFill="1">
      <alignment vertical="center"/>
    </xf>
    <xf numFmtId="167" fontId="6" fillId="0" borderId="2" xfId="32" applyNumberFormat="1" applyAlignment="1">
      <alignment vertical="center"/>
      <protection locked="0"/>
    </xf>
    <xf numFmtId="164" fontId="6" fillId="4" borderId="2" xfId="39" applyFill="1" applyBorder="1" applyProtection="1">
      <alignment vertical="center"/>
      <protection locked="0"/>
    </xf>
    <xf numFmtId="165" fontId="6" fillId="0" borderId="1" xfId="39" applyNumberFormat="1" applyBorder="1" applyAlignment="1">
      <alignment vertical="center"/>
    </xf>
    <xf numFmtId="186" fontId="6" fillId="5" borderId="0" xfId="34" applyNumberFormat="1">
      <alignment vertical="center"/>
    </xf>
    <xf numFmtId="165" fontId="6" fillId="5" borderId="0" xfId="39" applyNumberFormat="1" applyFill="1" applyAlignment="1">
      <alignment vertical="center"/>
    </xf>
    <xf numFmtId="164" fontId="6" fillId="9" borderId="2" xfId="32" applyNumberFormat="1" applyFill="1">
      <alignment vertical="center"/>
      <protection locked="0"/>
    </xf>
    <xf numFmtId="0" fontId="26" fillId="0" borderId="0" xfId="0" applyFont="1" applyAlignment="1">
      <alignment vertical="center"/>
    </xf>
    <xf numFmtId="164" fontId="6" fillId="0" borderId="8" xfId="31" applyNumberFormat="1" applyBorder="1">
      <alignment vertical="center"/>
    </xf>
    <xf numFmtId="164" fontId="6" fillId="15" borderId="0" xfId="31" applyNumberFormat="1" applyFill="1" applyBorder="1">
      <alignment vertical="center"/>
    </xf>
    <xf numFmtId="164" fontId="6" fillId="15" borderId="0" xfId="1" applyNumberFormat="1" applyFill="1" applyBorder="1">
      <alignment vertical="center"/>
    </xf>
    <xf numFmtId="186" fontId="6" fillId="3" borderId="18" xfId="33" applyNumberFormat="1" applyFont="1" applyFill="1" applyBorder="1" applyAlignment="1">
      <protection locked="0"/>
    </xf>
    <xf numFmtId="164" fontId="6" fillId="15" borderId="0" xfId="32" applyNumberFormat="1" applyFill="1" applyBorder="1">
      <alignment vertical="center"/>
      <protection locked="0"/>
    </xf>
    <xf numFmtId="0" fontId="6" fillId="5" borderId="0" xfId="34" applyNumberFormat="1" applyAlignment="1">
      <alignment vertical="center"/>
    </xf>
    <xf numFmtId="164" fontId="6" fillId="0" borderId="0" xfId="39" applyBorder="1">
      <alignment vertical="center"/>
    </xf>
    <xf numFmtId="164" fontId="6" fillId="15" borderId="1" xfId="31" applyNumberFormat="1" applyFill="1">
      <alignment vertical="center"/>
    </xf>
    <xf numFmtId="165" fontId="6" fillId="15" borderId="1" xfId="31" applyNumberFormat="1" applyFill="1">
      <alignment vertical="center"/>
    </xf>
    <xf numFmtId="0" fontId="5" fillId="0" borderId="0" xfId="0" applyNumberFormat="1" applyFont="1" applyAlignment="1">
      <alignment vertical="center"/>
    </xf>
    <xf numFmtId="187" fontId="6" fillId="5" borderId="0" xfId="34" applyNumberFormat="1" applyAlignment="1">
      <alignment horizontal="center"/>
    </xf>
    <xf numFmtId="10" fontId="6" fillId="0" borderId="3" xfId="67" applyNumberFormat="1">
      <alignment vertical="center"/>
      <protection locked="0"/>
    </xf>
    <xf numFmtId="167" fontId="0" fillId="0" borderId="0" xfId="42" applyNumberFormat="1" applyFont="1" applyAlignment="1">
      <alignment vertical="center"/>
    </xf>
    <xf numFmtId="0" fontId="15" fillId="0" borderId="0" xfId="37" applyFill="1" applyBorder="1">
      <alignment vertical="center"/>
    </xf>
    <xf numFmtId="193" fontId="6" fillId="0" borderId="3" xfId="39" applyNumberFormat="1" applyBorder="1" applyProtection="1">
      <alignment vertical="center"/>
      <protection locked="0"/>
    </xf>
    <xf numFmtId="0" fontId="6" fillId="2" borderId="0" xfId="3" applyNumberFormat="1" applyFont="1" applyAlignment="1">
      <alignment horizontal="left" vertical="top"/>
    </xf>
    <xf numFmtId="0" fontId="22" fillId="0" borderId="0" xfId="38" applyFont="1">
      <alignment vertical="center"/>
    </xf>
    <xf numFmtId="9" fontId="15" fillId="0" borderId="0" xfId="37" applyNumberFormat="1" applyAlignment="1">
      <alignment vertical="center"/>
    </xf>
    <xf numFmtId="166" fontId="0" fillId="0" borderId="0" xfId="42" applyFont="1" applyAlignment="1">
      <alignment vertical="center"/>
    </xf>
    <xf numFmtId="194" fontId="6" fillId="0" borderId="1" xfId="42" applyNumberFormat="1" applyBorder="1" applyAlignment="1">
      <alignment vertical="center"/>
    </xf>
    <xf numFmtId="194" fontId="6" fillId="12" borderId="1" xfId="42" applyNumberFormat="1" applyFill="1" applyBorder="1" applyAlignment="1">
      <alignment vertical="center"/>
    </xf>
    <xf numFmtId="195" fontId="0" fillId="0" borderId="0" xfId="39" applyNumberFormat="1" applyFont="1">
      <alignment vertical="center"/>
    </xf>
    <xf numFmtId="165" fontId="0" fillId="0" borderId="0" xfId="0" applyNumberFormat="1">
      <alignment vertical="center"/>
    </xf>
    <xf numFmtId="165" fontId="0" fillId="0" borderId="0" xfId="39" applyNumberFormat="1" applyFont="1">
      <alignment vertical="center"/>
    </xf>
    <xf numFmtId="195" fontId="0" fillId="0" borderId="0" xfId="39" applyNumberFormat="1" applyFont="1">
      <alignment vertical="center"/>
    </xf>
    <xf numFmtId="195" fontId="0" fillId="0" borderId="0" xfId="39" applyNumberFormat="1" applyFont="1" applyAlignment="1">
      <alignment vertical="center"/>
    </xf>
    <xf numFmtId="0" fontId="22" fillId="0" borderId="0" xfId="0" applyFont="1" applyAlignment="1">
      <alignment horizontal="left" vertical="center" wrapText="1"/>
    </xf>
  </cellXfs>
  <cellStyles count="79">
    <cellStyle name="_x000a_shell=progma" xfId="57"/>
    <cellStyle name="40% - Énfasis3" xfId="63" builtinId="39"/>
    <cellStyle name="Calculation 2" xfId="69"/>
    <cellStyle name="Cálculo" xfId="1" builtinId="22" customBuiltin="1"/>
    <cellStyle name="Checksum" xfId="2"/>
    <cellStyle name="Column label" xfId="3"/>
    <cellStyle name="Column label (left aligned)" xfId="4"/>
    <cellStyle name="Column label (no wrap)" xfId="5"/>
    <cellStyle name="Column label (not bold)" xfId="6"/>
    <cellStyle name="Comma 2" xfId="62"/>
    <cellStyle name="Comma 2 2" xfId="66"/>
    <cellStyle name="Comma 2 2 2" xfId="78"/>
    <cellStyle name="Comma 2 3" xfId="75"/>
    <cellStyle name="Currency (0dp)" xfId="59"/>
    <cellStyle name="Currency (2dp)" xfId="9"/>
    <cellStyle name="Currency Dollar" xfId="10"/>
    <cellStyle name="Currency Dollar (2dp)" xfId="11"/>
    <cellStyle name="Currency EUR" xfId="12"/>
    <cellStyle name="Currency EUR (2dp)" xfId="13"/>
    <cellStyle name="Currency Euro" xfId="14"/>
    <cellStyle name="Currency Euro (2dp)" xfId="15"/>
    <cellStyle name="Currency GBP" xfId="16"/>
    <cellStyle name="Currency GBP (2dp)" xfId="17"/>
    <cellStyle name="Currency Pound" xfId="18"/>
    <cellStyle name="Currency Pound (2dp)" xfId="19"/>
    <cellStyle name="Currency USD" xfId="20"/>
    <cellStyle name="Currency USD (2dp)" xfId="21"/>
    <cellStyle name="Date" xfId="22"/>
    <cellStyle name="Date (Month)" xfId="23"/>
    <cellStyle name="Date (Year)" xfId="24"/>
    <cellStyle name="H0" xfId="25"/>
    <cellStyle name="H1" xfId="26"/>
    <cellStyle name="H2" xfId="27"/>
    <cellStyle name="H3" xfId="28"/>
    <cellStyle name="H4" xfId="29"/>
    <cellStyle name="Highlight" xfId="30"/>
    <cellStyle name="Hipervínculo" xfId="58" builtinId="8"/>
    <cellStyle name="Input calculation" xfId="31"/>
    <cellStyle name="Input data" xfId="32"/>
    <cellStyle name="Input estimate" xfId="33"/>
    <cellStyle name="Input link" xfId="34"/>
    <cellStyle name="Input link (different workbook)" xfId="35"/>
    <cellStyle name="Input parameter" xfId="36"/>
    <cellStyle name="Input parameter 2" xfId="67"/>
    <cellStyle name="Millares" xfId="7" builtinId="3"/>
    <cellStyle name="Moneda" xfId="8" builtinId="4"/>
    <cellStyle name="Name" xfId="37"/>
    <cellStyle name="Normal" xfId="0" builtinId="0"/>
    <cellStyle name="Normal 21" xfId="61"/>
    <cellStyle name="Normal 21 2" xfId="65"/>
    <cellStyle name="Normal 21 2 2" xfId="77"/>
    <cellStyle name="Normal 21 3" xfId="74"/>
    <cellStyle name="Normal 5" xfId="60"/>
    <cellStyle name="Normal 5 2" xfId="64"/>
    <cellStyle name="Normal 5 2 2" xfId="76"/>
    <cellStyle name="Normal 5 3" xfId="73"/>
    <cellStyle name="Notas" xfId="38" builtinId="10" customBuiltin="1"/>
    <cellStyle name="Note 2" xfId="70"/>
    <cellStyle name="Number" xfId="39"/>
    <cellStyle name="Number (2dp)" xfId="40"/>
    <cellStyle name="Number 2" xfId="68"/>
    <cellStyle name="Output 2" xfId="71"/>
    <cellStyle name="Percentage" xfId="42"/>
    <cellStyle name="Percentage (2dp)" xfId="43"/>
    <cellStyle name="Porcentaje" xfId="56" builtinId="5"/>
    <cellStyle name="Row label" xfId="44"/>
    <cellStyle name="Row label (indent)" xfId="45"/>
    <cellStyle name="Salida" xfId="41" builtinId="21" customBuiltin="1"/>
    <cellStyle name="Sub-total row" xfId="46"/>
    <cellStyle name="Table finish row" xfId="47"/>
    <cellStyle name="Table shading" xfId="48"/>
    <cellStyle name="Table unfinish row" xfId="49"/>
    <cellStyle name="Table unshading" xfId="50"/>
    <cellStyle name="Text" xfId="51"/>
    <cellStyle name="Total" xfId="52" builtinId="25" customBuiltin="1"/>
    <cellStyle name="Total 2" xfId="72"/>
    <cellStyle name="Total row" xfId="53"/>
    <cellStyle name="Unhighlight" xfId="54"/>
    <cellStyle name="Untotal row" xfId="55"/>
  </cellStyles>
  <dxfs count="1">
    <dxf>
      <font>
        <b/>
        <i/>
        <condense val="0"/>
        <extend val="0"/>
        <color indexed="13"/>
      </font>
      <fill>
        <patternFill>
          <bgColor indexed="1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8080"/>
      <rgbColor rgb="00BFDCF9"/>
      <rgbColor rgb="00C00000"/>
      <rgbColor rgb="00008000"/>
      <rgbColor rgb="000000C0"/>
      <rgbColor rgb="00808000"/>
      <rgbColor rgb="00FF00FF"/>
      <rgbColor rgb="000060C0"/>
      <rgbColor rgb="00E0E0E0"/>
      <rgbColor rgb="00A0A0A0"/>
      <rgbColor rgb="00DDB9D8"/>
      <rgbColor rgb="00CDDCEF"/>
      <rgbColor rgb="00A6BEDA"/>
      <rgbColor rgb="00F6DCC2"/>
      <rgbColor rgb="00EFC2C1"/>
      <rgbColor rgb="00DBD7DB"/>
      <rgbColor rgb="00C2CAAA"/>
      <rgbColor rgb="00F5EEB9"/>
      <rgbColor rgb="00A670A1"/>
      <rgbColor rgb="0099CEFF"/>
      <rgbColor rgb="0000679A"/>
      <rgbColor rgb="00ECB088"/>
      <rgbColor rgb="00ED7F7F"/>
      <rgbColor rgb="00A79FAF"/>
      <rgbColor rgb="0049BB3D"/>
      <rgbColor rgb="00E3DE15"/>
      <rgbColor rgb="00C0C0FF"/>
      <rgbColor rgb="00CCECFF"/>
      <rgbColor rgb="00D0FFD0"/>
      <rgbColor rgb="00FFFFA0"/>
      <rgbColor rgb="00E0E0FF"/>
      <rgbColor rgb="00FFC0C0"/>
      <rgbColor rgb="00FFC0FF"/>
      <rgbColor rgb="00FFF1C9"/>
      <rgbColor rgb="008080FF"/>
      <rgbColor rgb="000080FF"/>
      <rgbColor rgb="00C0C000"/>
      <rgbColor rgb="00FFE0A0"/>
      <rgbColor rgb="00FF8000"/>
      <rgbColor rgb="00C06000"/>
      <rgbColor rgb="00C000C0"/>
      <rgbColor rgb="00C0C0C0"/>
      <rgbColor rgb="00003A47"/>
      <rgbColor rgb="0000C000"/>
      <rgbColor rgb="00006000"/>
      <rgbColor rgb="00606000"/>
      <rgbColor rgb="00804000"/>
      <rgbColor rgb="00FF80FF"/>
      <rgbColor rgb="00800080"/>
      <rgbColor rgb="00808080"/>
    </indexedColors>
    <mruColors>
      <color rgb="FFFFFFCC"/>
      <color rgb="FF00EA6A"/>
      <color rgb="FF81C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sarabia\c\Mis%20documentos\MIFLEX\99\octubre\prod\REVSOTOCT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POCTprod-pagos99"/>
    </sheetNames>
    <sheetDataSet>
      <sheetData sheetId="0"/>
    </sheetDataSet>
  </externalBook>
</externalLink>
</file>

<file path=xl/theme/theme1.xml><?xml version="1.0" encoding="utf-8"?>
<a:theme xmlns:a="http://schemas.openxmlformats.org/drawingml/2006/main" name="AnalysysMason1">
  <a:themeElements>
    <a:clrScheme name="AnalysysMason1">
      <a:dk1>
        <a:sysClr val="windowText" lastClr="000000"/>
      </a:dk1>
      <a:lt1>
        <a:sysClr val="window" lastClr="FFFFFF"/>
      </a:lt1>
      <a:dk2>
        <a:srgbClr val="003352"/>
      </a:dk2>
      <a:lt2>
        <a:srgbClr val="61586C"/>
      </a:lt2>
      <a:accent1>
        <a:srgbClr val="B8CAD8"/>
      </a:accent1>
      <a:accent2>
        <a:srgbClr val="3F6075"/>
      </a:accent2>
      <a:accent3>
        <a:srgbClr val="7C9637"/>
      </a:accent3>
      <a:accent4>
        <a:srgbClr val="E3CAB3"/>
      </a:accent4>
      <a:accent5>
        <a:srgbClr val="A71930"/>
      </a:accent5>
      <a:accent6>
        <a:srgbClr val="8C8299"/>
      </a:accent6>
      <a:hlink>
        <a:srgbClr val="0000FF"/>
      </a:hlink>
      <a:folHlink>
        <a:srgbClr val="800080"/>
      </a:folHlink>
    </a:clrScheme>
    <a:fontScheme name="Default Design">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chemeClr val="bg2"/>
        </a:solidFill>
        <a:ln w="12700" cap="flat" cmpd="sng" algn="ctr">
          <a:solidFill>
            <a:schemeClr val="bg2"/>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chemeClr val="bg2"/>
                </a:outerShdw>
              </a:effectLst>
            </a14:hiddenEffects>
          </a:ext>
        </a:extLst>
      </a:spPr>
      <a:bodyPr vert="horz" wrap="square" lIns="54000" tIns="46800" rIns="54000" bIns="46800" numCol="1" anchor="ctr" anchorCtr="0" compatLnSpc="1">
        <a:prstTxWarp prst="textNoShape">
          <a:avLst/>
        </a:prstTxWarp>
      </a:bodyPr>
      <a:lstStyle>
        <a:defPPr marL="0" marR="0" indent="0" algn="l" defTabSz="914400" rtl="0" eaLnBrk="1" fontAlgn="base" latinLnBrk="0" hangingPunct="1">
          <a:lnSpc>
            <a:spcPct val="100000"/>
          </a:lnSpc>
          <a:spcBef>
            <a:spcPct val="50000"/>
          </a:spcBef>
          <a:spcAft>
            <a:spcPct val="0"/>
          </a:spcAft>
          <a:buClrTx/>
          <a:buSzTx/>
          <a:buFontTx/>
          <a:buNone/>
          <a:tabLst/>
          <a:defRPr kumimoji="0" lang="en-GB" sz="1600" b="0" i="0" u="none" strike="noStrike" cap="none" normalizeH="0" baseline="0" smtClean="0">
            <a:ln>
              <a:noFill/>
            </a:ln>
            <a:solidFill>
              <a:schemeClr val="bg1"/>
            </a:solidFill>
            <a:effectLst/>
            <a:latin typeface="Arial" charset="0"/>
          </a:defRPr>
        </a:defPPr>
      </a:lstStyle>
    </a:spDef>
    <a:lnDef>
      <a:spPr bwMode="auto">
        <a:xfrm>
          <a:off x="0" y="0"/>
          <a:ext cx="1" cy="1"/>
        </a:xfrm>
        <a:custGeom>
          <a:avLst/>
          <a:gdLst/>
          <a:ahLst/>
          <a:cxnLst/>
          <a:rect l="0" t="0" r="0" b="0"/>
          <a:pathLst/>
        </a:custGeom>
        <a:solidFill>
          <a:schemeClr val="bg2"/>
        </a:solidFill>
        <a:ln w="12700" cap="flat" cmpd="sng" algn="ctr">
          <a:solidFill>
            <a:schemeClr val="bg2"/>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chemeClr val="bg2"/>
                </a:outerShdw>
              </a:effectLst>
            </a14:hiddenEffects>
          </a:ext>
        </a:extLst>
      </a:spPr>
      <a:bodyPr vert="horz" wrap="square" lIns="54000" tIns="46800" rIns="54000" bIns="46800" numCol="1" anchor="ctr" anchorCtr="0" compatLnSpc="1">
        <a:prstTxWarp prst="textNoShape">
          <a:avLst/>
        </a:prstTxWarp>
      </a:bodyPr>
      <a:lstStyle>
        <a:defPPr marL="0" marR="0" indent="0" algn="l" defTabSz="914400" rtl="0" eaLnBrk="1" fontAlgn="base" latinLnBrk="0" hangingPunct="1">
          <a:lnSpc>
            <a:spcPct val="100000"/>
          </a:lnSpc>
          <a:spcBef>
            <a:spcPct val="50000"/>
          </a:spcBef>
          <a:spcAft>
            <a:spcPct val="0"/>
          </a:spcAft>
          <a:buClrTx/>
          <a:buSzTx/>
          <a:buFontTx/>
          <a:buNone/>
          <a:tabLst/>
          <a:defRPr kumimoji="0" lang="en-GB" sz="1600" b="0" i="0" u="none" strike="noStrike" cap="none" normalizeH="0" baseline="0" smtClean="0">
            <a:ln>
              <a:noFill/>
            </a:ln>
            <a:solidFill>
              <a:schemeClr val="bg1"/>
            </a:solidFill>
            <a:effectLst/>
            <a:latin typeface="Arial" charset="0"/>
          </a:defRPr>
        </a:defPPr>
      </a:lstStyle>
    </a:lnDef>
  </a:objectDefaults>
  <a:extraClrSchemeLst>
    <a:extraClrScheme>
      <a:clrScheme name="Default Design 1">
        <a:dk1>
          <a:srgbClr val="000000"/>
        </a:dk1>
        <a:lt1>
          <a:srgbClr val="FFFFFF"/>
        </a:lt1>
        <a:dk2>
          <a:srgbClr val="3333FF"/>
        </a:dk2>
        <a:lt2>
          <a:srgbClr val="00FFFF"/>
        </a:lt2>
        <a:accent1>
          <a:srgbClr val="00CCCC"/>
        </a:accent1>
        <a:accent2>
          <a:srgbClr val="CC99FF"/>
        </a:accent2>
        <a:accent3>
          <a:srgbClr val="ADADFF"/>
        </a:accent3>
        <a:accent4>
          <a:srgbClr val="DADADA"/>
        </a:accent4>
        <a:accent5>
          <a:srgbClr val="AAE2E2"/>
        </a:accent5>
        <a:accent6>
          <a:srgbClr val="B98AE7"/>
        </a:accent6>
        <a:hlink>
          <a:srgbClr val="6600CC"/>
        </a:hlink>
        <a:folHlink>
          <a:srgbClr val="6699FF"/>
        </a:folHlink>
      </a:clrScheme>
      <a:clrMap bg1="dk2" tx1="lt1" bg2="dk1" tx2="lt2" accent1="accent1" accent2="accent2" accent3="accent3" accent4="accent4" accent5="accent5" accent6="accent6" hlink="hlink" folHlink="folHlink"/>
    </a:extraClrScheme>
    <a:extraClrScheme>
      <a:clrScheme name="Default Design 2">
        <a:dk1>
          <a:srgbClr val="000000"/>
        </a:dk1>
        <a:lt1>
          <a:srgbClr val="CCECFF"/>
        </a:lt1>
        <a:dk2>
          <a:srgbClr val="330099"/>
        </a:dk2>
        <a:lt2>
          <a:srgbClr val="0099CC"/>
        </a:lt2>
        <a:accent1>
          <a:srgbClr val="009999"/>
        </a:accent1>
        <a:accent2>
          <a:srgbClr val="FF99CC"/>
        </a:accent2>
        <a:accent3>
          <a:srgbClr val="E2F4FF"/>
        </a:accent3>
        <a:accent4>
          <a:srgbClr val="000000"/>
        </a:accent4>
        <a:accent5>
          <a:srgbClr val="AACACA"/>
        </a:accent5>
        <a:accent6>
          <a:srgbClr val="E78AB9"/>
        </a:accent6>
        <a:hlink>
          <a:srgbClr val="6600CC"/>
        </a:hlink>
        <a:folHlink>
          <a:srgbClr val="3366FF"/>
        </a:folHlink>
      </a:clrScheme>
      <a:clrMap bg1="lt1" tx1="dk1" bg2="lt2" tx2="dk2" accent1="accent1" accent2="accent2" accent3="accent3" accent4="accent4" accent5="accent5" accent6="accent6" hlink="hlink" folHlink="folHlink"/>
    </a:extraClrScheme>
    <a:extraClrScheme>
      <a:clrScheme name="Default Design 3">
        <a:dk1>
          <a:srgbClr val="000000"/>
        </a:dk1>
        <a:lt1>
          <a:srgbClr val="FFFFFF"/>
        </a:lt1>
        <a:dk2>
          <a:srgbClr val="000000"/>
        </a:dk2>
        <a:lt2>
          <a:srgbClr val="CBCBCB"/>
        </a:lt2>
        <a:accent1>
          <a:srgbClr val="B2B2B2"/>
        </a:accent1>
        <a:accent2>
          <a:srgbClr val="868686"/>
        </a:accent2>
        <a:accent3>
          <a:srgbClr val="FFFFFF"/>
        </a:accent3>
        <a:accent4>
          <a:srgbClr val="000000"/>
        </a:accent4>
        <a:accent5>
          <a:srgbClr val="D5D5D5"/>
        </a:accent5>
        <a:accent6>
          <a:srgbClr val="797979"/>
        </a:accent6>
        <a:hlink>
          <a:srgbClr val="5F5F5F"/>
        </a:hlink>
        <a:folHlink>
          <a:srgbClr val="DDDDDD"/>
        </a:folHlink>
      </a:clrScheme>
      <a:clrMap bg1="lt1" tx1="dk1" bg2="lt2" tx2="dk2" accent1="accent1" accent2="accent2" accent3="accent3" accent4="accent4" accent5="accent5" accent6="accent6" hlink="hlink" folHlink="folHlink"/>
    </a:extraClrScheme>
    <a:extraClrScheme>
      <a:clrScheme name="Default Design 4">
        <a:dk1>
          <a:srgbClr val="B5C7D9"/>
        </a:dk1>
        <a:lt1>
          <a:srgbClr val="FFE6CC"/>
        </a:lt1>
        <a:dk2>
          <a:srgbClr val="45688B"/>
        </a:dk2>
        <a:lt2>
          <a:srgbClr val="FFE6CC"/>
        </a:lt2>
        <a:accent1>
          <a:srgbClr val="7A9BBC"/>
        </a:accent1>
        <a:accent2>
          <a:srgbClr val="FF0000"/>
        </a:accent2>
        <a:accent3>
          <a:srgbClr val="B0B9C4"/>
        </a:accent3>
        <a:accent4>
          <a:srgbClr val="DAC4AE"/>
        </a:accent4>
        <a:accent5>
          <a:srgbClr val="BECBDA"/>
        </a:accent5>
        <a:accent6>
          <a:srgbClr val="E70000"/>
        </a:accent6>
        <a:hlink>
          <a:srgbClr val="FF9797"/>
        </a:hlink>
        <a:folHlink>
          <a:srgbClr val="6699FF"/>
        </a:folHlink>
      </a:clrScheme>
      <a:clrMap bg1="dk2" tx1="lt1" bg2="dk1" tx2="lt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www.dineroenimagen.com/2017-01-02/81887" TargetMode="External"/><Relationship Id="rId3" Type="http://schemas.openxmlformats.org/officeDocument/2006/relationships/hyperlink" Target="https://articulo.mercadolibre.com.mx/MLM-566428754-caja-de-papel-bond-xerox-tamano-carta-envio-gratis--_JM?quantity=1" TargetMode="External"/><Relationship Id="rId7" Type="http://schemas.openxmlformats.org/officeDocument/2006/relationships/hyperlink" Target="http://www.banxico.org.mx/sistemas-de-pago/servicios/tarifas-y-comisiones/tasas-de-descuento-que-pagan-los-comercios-por-ace/tasas-de-descuento-para-tarjetas-de-credito-por-gi/tasas-descuento-por-giro-cred.html" TargetMode="External"/><Relationship Id="rId2" Type="http://schemas.openxmlformats.org/officeDocument/2006/relationships/hyperlink" Target="https://www.cyberpuerta.mx/Impresion-Copiado/Papeles-para-Impresoras/Papel/Xerox-Papel-Bond-Ecologico-75g-m-5000-Hojas-de-Tamano-Carta-Blanco.html?nosto=shop_api_detail1_2" TargetMode="External"/><Relationship Id="rId1" Type="http://schemas.openxmlformats.org/officeDocument/2006/relationships/hyperlink" Target="https://www.officemax.com.mx/papel-copiadora-92-5000-hojas-omx/p" TargetMode="External"/><Relationship Id="rId6" Type="http://schemas.openxmlformats.org/officeDocument/2006/relationships/hyperlink" Target="https://www.abasteo.mx/Esselte-Sobre-Correspondencia-73213-Paquete-de-500-Piezas-Tamano-Oficio-Blanco.html" TargetMode="External"/><Relationship Id="rId5" Type="http://schemas.openxmlformats.org/officeDocument/2006/relationships/hyperlink" Target="https://pedidos.com/articulos/ESS-SOB-73221/sobre-correspondencia-ampad-73221-de-papel-color-blanco-carta-solapa-engomada-1-paquete-con-500-sobres.htm" TargetMode="External"/><Relationship Id="rId10" Type="http://schemas.openxmlformats.org/officeDocument/2006/relationships/printerSettings" Target="../printerSettings/printerSettings6.bin"/><Relationship Id="rId4" Type="http://schemas.openxmlformats.org/officeDocument/2006/relationships/hyperlink" Target="https://www.costco.com.mx/Negocios-y-Papeleria/Papel-para-Oficina/Papel/Xerox-pallet-papel-tamano-carta-40-cajas/p/646188" TargetMode="External"/><Relationship Id="rId9" Type="http://schemas.openxmlformats.org/officeDocument/2006/relationships/hyperlink" Target="https://www.costco.com.mx/Negocios-y-Papeleria/Papel-para-Oficina/Folders-y-Sobres/Ampad-sobre-para-correspondencia-10-cierre-engomado/p/647319"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reamble1">
    <tabColor rgb="FFFF0000"/>
    <outlinePr summaryBelow="0"/>
    <pageSetUpPr autoPageBreaks="0"/>
  </sheetPr>
  <dimension ref="A1:E19"/>
  <sheetViews>
    <sheetView showGridLines="0" defaultGridColor="0" colorId="22" zoomScale="80" zoomScaleNormal="80" zoomScaleSheetLayoutView="75" workbookViewId="0">
      <pane ySplit="7" topLeftCell="A8" activePane="bottomLeft" state="frozen"/>
      <selection pane="bottomLeft" activeCell="A8" sqref="A8:XFD15"/>
    </sheetView>
  </sheetViews>
  <sheetFormatPr baseColWidth="10" defaultColWidth="0" defaultRowHeight="12" zeroHeight="1" x14ac:dyDescent="0.2"/>
  <cols>
    <col min="1" max="4" width="16.7109375" style="63" customWidth="1"/>
    <col min="5" max="5" width="62.7109375" style="63" customWidth="1"/>
    <col min="6" max="16384" width="12.7109375" hidden="1"/>
  </cols>
  <sheetData>
    <row r="1" spans="1:5" s="76" customFormat="1" ht="33.75" customHeight="1" x14ac:dyDescent="0.2">
      <c r="C1" s="77" t="str">
        <f>Workbook.Title</f>
        <v>Modelo de facturación y cobranza</v>
      </c>
    </row>
    <row r="2" spans="1:5" s="80" customFormat="1" ht="12" customHeight="1" x14ac:dyDescent="0.2"/>
    <row r="3" spans="1:5" s="2" customFormat="1" ht="18" x14ac:dyDescent="0.25">
      <c r="A3" s="58" t="s">
        <v>187</v>
      </c>
      <c r="C3"/>
    </row>
    <row r="4" spans="1:5" ht="6" customHeight="1" x14ac:dyDescent="0.2">
      <c r="A4"/>
      <c r="B4"/>
      <c r="C4"/>
      <c r="D4"/>
      <c r="E4"/>
    </row>
    <row r="5" spans="1:5" x14ac:dyDescent="0.2">
      <c r="A5" s="59" t="s">
        <v>188</v>
      </c>
      <c r="B5" s="73" t="s">
        <v>186</v>
      </c>
      <c r="C5"/>
      <c r="D5"/>
      <c r="E5"/>
    </row>
    <row r="6" spans="1:5" x14ac:dyDescent="0.2">
      <c r="A6" s="59" t="s">
        <v>189</v>
      </c>
      <c r="B6" s="73" t="s">
        <v>190</v>
      </c>
      <c r="C6"/>
      <c r="D6"/>
      <c r="E6"/>
    </row>
    <row r="7" spans="1:5" x14ac:dyDescent="0.2">
      <c r="A7"/>
      <c r="B7"/>
      <c r="C7"/>
      <c r="D7"/>
      <c r="E7"/>
    </row>
    <row r="8" spans="1:5" hidden="1" x14ac:dyDescent="0.2"/>
    <row r="9" spans="1:5" hidden="1" x14ac:dyDescent="0.2"/>
    <row r="10" spans="1:5" hidden="1" x14ac:dyDescent="0.2">
      <c r="B10" s="81"/>
    </row>
    <row r="11" spans="1:5" hidden="1" x14ac:dyDescent="0.2"/>
    <row r="12" spans="1:5" x14ac:dyDescent="0.2"/>
    <row r="13" spans="1:5" x14ac:dyDescent="0.2"/>
    <row r="14" spans="1:5" x14ac:dyDescent="0.2"/>
    <row r="15" spans="1:5" x14ac:dyDescent="0.2"/>
    <row r="16" spans="1:5" x14ac:dyDescent="0.2"/>
    <row r="17" x14ac:dyDescent="0.2"/>
    <row r="18" x14ac:dyDescent="0.2"/>
    <row r="19" x14ac:dyDescent="0.2"/>
  </sheetData>
  <phoneticPr fontId="0" type="noConversion"/>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reamble3">
    <tabColor rgb="FFFF0000"/>
    <outlinePr summaryBelow="0"/>
    <pageSetUpPr autoPageBreaks="0" fitToPage="1"/>
  </sheetPr>
  <dimension ref="A1:M141"/>
  <sheetViews>
    <sheetView showGridLines="0" defaultGridColor="0" colorId="22" zoomScale="80" zoomScaleNormal="80" workbookViewId="0">
      <pane ySplit="1" topLeftCell="A2" activePane="bottomLeft" state="frozen"/>
      <selection pane="bottomLeft"/>
    </sheetView>
  </sheetViews>
  <sheetFormatPr baseColWidth="10" defaultColWidth="12.7109375" defaultRowHeight="12" x14ac:dyDescent="0.2"/>
  <cols>
    <col min="1" max="1" width="2.7109375" customWidth="1"/>
    <col min="2" max="2" width="26.7109375" customWidth="1"/>
  </cols>
  <sheetData>
    <row r="1" spans="1:13" s="74" customFormat="1" ht="33.75" customHeight="1" x14ac:dyDescent="0.2">
      <c r="C1" s="78" t="s">
        <v>31</v>
      </c>
    </row>
    <row r="2" spans="1:13" s="56" customFormat="1" ht="12" customHeight="1" x14ac:dyDescent="0.2"/>
    <row r="3" spans="1:13" x14ac:dyDescent="0.2">
      <c r="A3" s="24" t="s">
        <v>100</v>
      </c>
    </row>
    <row r="4" spans="1:13" x14ac:dyDescent="0.2">
      <c r="A4" s="46" t="s">
        <v>97</v>
      </c>
    </row>
    <row r="6" spans="1:13" ht="18" x14ac:dyDescent="0.2">
      <c r="A6" s="8" t="s">
        <v>87</v>
      </c>
    </row>
    <row r="7" spans="1:13" x14ac:dyDescent="0.2">
      <c r="A7" s="45" t="s">
        <v>88</v>
      </c>
      <c r="B7" s="44"/>
      <c r="C7" s="44"/>
      <c r="D7" s="44"/>
      <c r="E7" s="44"/>
    </row>
    <row r="8" spans="1:13" x14ac:dyDescent="0.2">
      <c r="A8" s="24" t="s">
        <v>42</v>
      </c>
    </row>
    <row r="10" spans="1:13" x14ac:dyDescent="0.2">
      <c r="B10" s="55" t="s">
        <v>22</v>
      </c>
      <c r="C10" s="9">
        <v>100</v>
      </c>
      <c r="D10" s="24" t="s">
        <v>1</v>
      </c>
      <c r="E10" t="s">
        <v>54</v>
      </c>
    </row>
    <row r="12" spans="1:13" x14ac:dyDescent="0.2">
      <c r="B12" s="5" t="s">
        <v>22</v>
      </c>
      <c r="C12" s="9">
        <v>250</v>
      </c>
      <c r="D12" s="24" t="s">
        <v>1</v>
      </c>
      <c r="E12" s="51" t="s">
        <v>72</v>
      </c>
      <c r="F12" s="51"/>
      <c r="G12" s="51"/>
      <c r="H12" s="51"/>
      <c r="I12" s="51"/>
      <c r="J12" s="51"/>
      <c r="K12" s="51"/>
    </row>
    <row r="13" spans="1:13" hidden="1" x14ac:dyDescent="0.2">
      <c r="B13" s="4" t="s">
        <v>74</v>
      </c>
      <c r="C13" s="3">
        <v>100</v>
      </c>
    </row>
    <row r="14" spans="1:13" hidden="1" x14ac:dyDescent="0.2">
      <c r="B14" s="4" t="s">
        <v>75</v>
      </c>
      <c r="C14" s="3">
        <v>300</v>
      </c>
    </row>
    <row r="16" spans="1:13" x14ac:dyDescent="0.2">
      <c r="B16" s="5" t="s">
        <v>22</v>
      </c>
      <c r="C16" s="9">
        <v>300</v>
      </c>
      <c r="D16" s="24" t="s">
        <v>1</v>
      </c>
      <c r="E16" s="51" t="s">
        <v>76</v>
      </c>
      <c r="F16" s="51"/>
      <c r="G16" s="51"/>
      <c r="H16" s="51"/>
      <c r="I16" s="51"/>
      <c r="J16" s="51"/>
      <c r="K16" s="51"/>
      <c r="L16" s="51"/>
      <c r="M16" s="51"/>
    </row>
    <row r="17" spans="1:5" hidden="1" x14ac:dyDescent="0.2">
      <c r="B17" s="4" t="s">
        <v>73</v>
      </c>
      <c r="C17" s="3">
        <v>100</v>
      </c>
    </row>
    <row r="18" spans="1:5" hidden="1" x14ac:dyDescent="0.2">
      <c r="C18" s="3">
        <v>200</v>
      </c>
    </row>
    <row r="19" spans="1:5" hidden="1" x14ac:dyDescent="0.2">
      <c r="C19" s="3">
        <v>300</v>
      </c>
    </row>
    <row r="21" spans="1:5" x14ac:dyDescent="0.2">
      <c r="B21" s="5" t="s">
        <v>23</v>
      </c>
      <c r="C21" s="11">
        <v>100</v>
      </c>
      <c r="D21" s="24" t="s">
        <v>1</v>
      </c>
      <c r="E21" t="s">
        <v>53</v>
      </c>
    </row>
    <row r="23" spans="1:5" x14ac:dyDescent="0.2">
      <c r="B23" s="5" t="s">
        <v>82</v>
      </c>
      <c r="C23" s="54">
        <v>100</v>
      </c>
      <c r="D23" s="24" t="s">
        <v>1</v>
      </c>
      <c r="E23" t="s">
        <v>83</v>
      </c>
    </row>
    <row r="25" spans="1:5" x14ac:dyDescent="0.2">
      <c r="B25" s="5" t="s">
        <v>24</v>
      </c>
      <c r="C25" s="10">
        <v>100</v>
      </c>
      <c r="D25" s="24" t="s">
        <v>2</v>
      </c>
      <c r="E25" t="s">
        <v>57</v>
      </c>
    </row>
    <row r="27" spans="1:5" x14ac:dyDescent="0.2">
      <c r="B27" s="5" t="s">
        <v>25</v>
      </c>
      <c r="C27" s="12">
        <v>100</v>
      </c>
      <c r="D27" s="24" t="s">
        <v>2</v>
      </c>
      <c r="E27" t="s">
        <v>109</v>
      </c>
    </row>
    <row r="29" spans="1:5" x14ac:dyDescent="0.2">
      <c r="B29" s="5" t="s">
        <v>106</v>
      </c>
      <c r="C29" s="64">
        <v>100</v>
      </c>
      <c r="D29" s="24" t="s">
        <v>2</v>
      </c>
      <c r="E29" t="s">
        <v>107</v>
      </c>
    </row>
    <row r="31" spans="1:5" ht="18" x14ac:dyDescent="0.2">
      <c r="A31" s="8" t="s">
        <v>89</v>
      </c>
    </row>
    <row r="32" spans="1:5" x14ac:dyDescent="0.2">
      <c r="A32" s="45" t="s">
        <v>90</v>
      </c>
      <c r="B32" s="44"/>
      <c r="C32" s="44"/>
      <c r="D32" s="44"/>
      <c r="E32" s="44"/>
    </row>
    <row r="33" spans="1:11" x14ac:dyDescent="0.2">
      <c r="A33" s="24" t="s">
        <v>48</v>
      </c>
    </row>
    <row r="35" spans="1:11" x14ac:dyDescent="0.2">
      <c r="B35" s="5" t="s">
        <v>3</v>
      </c>
      <c r="C35" s="13">
        <v>100</v>
      </c>
      <c r="D35" s="24" t="s">
        <v>2</v>
      </c>
      <c r="E35" t="s">
        <v>52</v>
      </c>
    </row>
    <row r="36" spans="1:11" x14ac:dyDescent="0.2">
      <c r="C36" s="13"/>
    </row>
    <row r="37" spans="1:11" x14ac:dyDescent="0.2">
      <c r="B37" s="5" t="s">
        <v>96</v>
      </c>
      <c r="C37" s="69">
        <v>123.45</v>
      </c>
      <c r="E37" t="s">
        <v>56</v>
      </c>
    </row>
    <row r="39" spans="1:11" x14ac:dyDescent="0.2">
      <c r="B39" s="5" t="s">
        <v>108</v>
      </c>
      <c r="C39" s="65">
        <v>0</v>
      </c>
      <c r="D39" s="24" t="s">
        <v>2</v>
      </c>
      <c r="E39" t="s">
        <v>55</v>
      </c>
      <c r="F39" s="51"/>
      <c r="G39" s="51"/>
      <c r="H39" s="51"/>
      <c r="I39" s="51"/>
      <c r="J39" s="51"/>
      <c r="K39" s="51"/>
    </row>
    <row r="41" spans="1:11" x14ac:dyDescent="0.2">
      <c r="B41" s="5" t="s">
        <v>108</v>
      </c>
      <c r="C41" s="65">
        <v>0.1</v>
      </c>
      <c r="D41" s="24" t="s">
        <v>2</v>
      </c>
      <c r="E41" s="51" t="s">
        <v>86</v>
      </c>
      <c r="F41" s="51"/>
      <c r="G41" s="51"/>
      <c r="H41" s="51"/>
      <c r="I41" s="51"/>
      <c r="J41" s="51"/>
      <c r="K41" s="51"/>
    </row>
    <row r="43" spans="1:11" x14ac:dyDescent="0.2">
      <c r="B43" s="5" t="s">
        <v>4</v>
      </c>
      <c r="C43" s="14">
        <v>100</v>
      </c>
      <c r="E43" t="s">
        <v>13</v>
      </c>
    </row>
    <row r="45" spans="1:11" x14ac:dyDescent="0.2">
      <c r="B45" s="5" t="s">
        <v>32</v>
      </c>
      <c r="C45" s="40" t="s">
        <v>32</v>
      </c>
      <c r="D45" s="24" t="s">
        <v>2</v>
      </c>
      <c r="E45" t="s">
        <v>61</v>
      </c>
    </row>
    <row r="47" spans="1:11" x14ac:dyDescent="0.2">
      <c r="B47" s="5" t="s">
        <v>33</v>
      </c>
      <c r="C47" s="41" t="s">
        <v>33</v>
      </c>
      <c r="E47" t="s">
        <v>91</v>
      </c>
    </row>
    <row r="49" spans="1:10" x14ac:dyDescent="0.2">
      <c r="B49" s="5" t="s">
        <v>5</v>
      </c>
      <c r="C49" s="15">
        <v>100</v>
      </c>
      <c r="E49" t="s">
        <v>6</v>
      </c>
    </row>
    <row r="50" spans="1:10" x14ac:dyDescent="0.2">
      <c r="B50" s="5"/>
    </row>
    <row r="51" spans="1:10" x14ac:dyDescent="0.2">
      <c r="B51" s="5" t="s">
        <v>77</v>
      </c>
      <c r="C51" s="52">
        <v>100</v>
      </c>
      <c r="E51" t="s">
        <v>78</v>
      </c>
    </row>
    <row r="53" spans="1:10" ht="18" x14ac:dyDescent="0.2">
      <c r="A53" s="8" t="s">
        <v>44</v>
      </c>
    </row>
    <row r="54" spans="1:10" x14ac:dyDescent="0.2">
      <c r="A54" s="45" t="s">
        <v>50</v>
      </c>
      <c r="B54" s="44"/>
      <c r="C54" s="44"/>
      <c r="D54" s="44"/>
      <c r="E54" s="44"/>
    </row>
    <row r="55" spans="1:10" x14ac:dyDescent="0.2">
      <c r="A55" s="24" t="s">
        <v>79</v>
      </c>
    </row>
    <row r="56" spans="1:10" x14ac:dyDescent="0.2">
      <c r="A56" s="24" t="s">
        <v>81</v>
      </c>
    </row>
    <row r="58" spans="1:10" ht="24" x14ac:dyDescent="0.2">
      <c r="B58" s="1"/>
      <c r="C58" s="1" t="s">
        <v>8</v>
      </c>
      <c r="D58" s="1" t="s">
        <v>16</v>
      </c>
      <c r="E58" s="1" t="s">
        <v>10</v>
      </c>
      <c r="F58" s="1" t="s">
        <v>11</v>
      </c>
      <c r="G58" s="1" t="s">
        <v>9</v>
      </c>
      <c r="H58" s="1" t="s">
        <v>17</v>
      </c>
      <c r="I58" s="1" t="s">
        <v>14</v>
      </c>
      <c r="J58" s="1" t="s">
        <v>15</v>
      </c>
    </row>
    <row r="59" spans="1:10" x14ac:dyDescent="0.2">
      <c r="B59" s="5" t="s">
        <v>58</v>
      </c>
      <c r="C59" s="3">
        <v>1234.56</v>
      </c>
      <c r="D59" s="16">
        <v>123.45</v>
      </c>
      <c r="E59" s="49">
        <v>0.1234</v>
      </c>
      <c r="F59" s="50">
        <v>0.1234</v>
      </c>
      <c r="G59" s="17">
        <v>1234.56</v>
      </c>
      <c r="H59" s="18">
        <v>123.45</v>
      </c>
      <c r="I59" s="47">
        <v>1234.56</v>
      </c>
      <c r="J59" s="48">
        <v>0.1234</v>
      </c>
    </row>
    <row r="60" spans="1:10" x14ac:dyDescent="0.2">
      <c r="B60" s="5" t="s">
        <v>59</v>
      </c>
      <c r="C60" s="3">
        <v>-1234.56</v>
      </c>
      <c r="D60" s="16">
        <v>-123.45</v>
      </c>
      <c r="E60" s="49">
        <v>-0.1234</v>
      </c>
      <c r="F60" s="50">
        <v>-0.1234</v>
      </c>
      <c r="G60" s="17">
        <v>-1234.56</v>
      </c>
      <c r="H60" s="18">
        <v>-123.45</v>
      </c>
      <c r="I60" s="47">
        <v>-1234.56</v>
      </c>
      <c r="J60" s="48">
        <v>-0.1234</v>
      </c>
    </row>
    <row r="61" spans="1:10" x14ac:dyDescent="0.2">
      <c r="B61" s="5" t="s">
        <v>60</v>
      </c>
      <c r="C61" s="3">
        <v>0</v>
      </c>
      <c r="D61" s="16">
        <v>0</v>
      </c>
      <c r="E61" s="49">
        <v>0</v>
      </c>
      <c r="F61" s="50">
        <v>0</v>
      </c>
      <c r="G61" s="17">
        <v>0</v>
      </c>
      <c r="H61" s="18">
        <v>0</v>
      </c>
      <c r="I61" s="47">
        <v>0</v>
      </c>
      <c r="J61" s="48">
        <v>0</v>
      </c>
    </row>
    <row r="62" spans="1:10" ht="12.75" thickBot="1" x14ac:dyDescent="0.25">
      <c r="B62" s="5" t="s">
        <v>7</v>
      </c>
      <c r="C62" s="3" t="s">
        <v>7</v>
      </c>
      <c r="D62" s="16" t="s">
        <v>7</v>
      </c>
      <c r="E62" s="49" t="s">
        <v>7</v>
      </c>
      <c r="F62" s="50" t="s">
        <v>7</v>
      </c>
      <c r="G62" s="17" t="s">
        <v>7</v>
      </c>
      <c r="H62" s="18" t="s">
        <v>7</v>
      </c>
      <c r="I62" s="47" t="s">
        <v>7</v>
      </c>
      <c r="J62" s="48" t="s">
        <v>7</v>
      </c>
    </row>
    <row r="63" spans="1:10" x14ac:dyDescent="0.2">
      <c r="B63" s="39"/>
      <c r="C63" s="39"/>
      <c r="D63" s="39"/>
      <c r="E63" s="39"/>
      <c r="F63" s="39"/>
      <c r="G63" s="39"/>
      <c r="H63" s="39"/>
      <c r="I63" s="39"/>
      <c r="J63" s="39"/>
    </row>
    <row r="64" spans="1:10" ht="24" x14ac:dyDescent="0.2">
      <c r="B64" s="1"/>
      <c r="C64" s="1" t="s">
        <v>64</v>
      </c>
      <c r="D64" s="1" t="s">
        <v>65</v>
      </c>
      <c r="E64" s="1" t="s">
        <v>62</v>
      </c>
      <c r="F64" s="1" t="s">
        <v>63</v>
      </c>
    </row>
    <row r="65" spans="2:6" x14ac:dyDescent="0.2">
      <c r="B65" s="5" t="s">
        <v>58</v>
      </c>
      <c r="C65" s="21">
        <v>1234.56</v>
      </c>
      <c r="D65" s="22">
        <v>123.45</v>
      </c>
      <c r="E65" s="19">
        <v>1234.56</v>
      </c>
      <c r="F65" s="20">
        <v>123.45</v>
      </c>
    </row>
    <row r="66" spans="2:6" x14ac:dyDescent="0.2">
      <c r="B66" s="5" t="s">
        <v>59</v>
      </c>
      <c r="C66" s="21">
        <v>-1234.56</v>
      </c>
      <c r="D66" s="22">
        <v>-123.45</v>
      </c>
      <c r="E66" s="19">
        <v>-1234.56</v>
      </c>
      <c r="F66" s="20">
        <v>-123.45</v>
      </c>
    </row>
    <row r="67" spans="2:6" x14ac:dyDescent="0.2">
      <c r="B67" s="5" t="s">
        <v>60</v>
      </c>
      <c r="C67" s="21">
        <v>0</v>
      </c>
      <c r="D67" s="22">
        <v>0</v>
      </c>
      <c r="E67" s="19">
        <v>0</v>
      </c>
      <c r="F67" s="20">
        <v>0</v>
      </c>
    </row>
    <row r="68" spans="2:6" ht="12.75" thickBot="1" x14ac:dyDescent="0.25">
      <c r="B68" s="5" t="s">
        <v>7</v>
      </c>
      <c r="C68" s="21" t="s">
        <v>7</v>
      </c>
      <c r="D68" s="22" t="s">
        <v>7</v>
      </c>
      <c r="E68" s="19" t="s">
        <v>7</v>
      </c>
      <c r="F68" s="20" t="s">
        <v>7</v>
      </c>
    </row>
    <row r="69" spans="2:6" x14ac:dyDescent="0.2">
      <c r="B69" s="39"/>
      <c r="C69" s="39"/>
      <c r="D69" s="39"/>
      <c r="E69" s="39"/>
      <c r="F69" s="39"/>
    </row>
    <row r="70" spans="2:6" ht="24" x14ac:dyDescent="0.2">
      <c r="B70" s="1"/>
      <c r="C70" s="1" t="s">
        <v>66</v>
      </c>
      <c r="D70" s="1" t="s">
        <v>67</v>
      </c>
      <c r="E70" s="1" t="s">
        <v>19</v>
      </c>
      <c r="F70" s="1" t="s">
        <v>18</v>
      </c>
    </row>
    <row r="71" spans="2:6" x14ac:dyDescent="0.2">
      <c r="B71" s="5" t="s">
        <v>58</v>
      </c>
      <c r="C71" s="27">
        <v>1234.56</v>
      </c>
      <c r="D71" s="28">
        <v>123.45</v>
      </c>
      <c r="E71" s="25">
        <v>1234.56</v>
      </c>
      <c r="F71" s="26">
        <v>123.45</v>
      </c>
    </row>
    <row r="72" spans="2:6" x14ac:dyDescent="0.2">
      <c r="B72" s="5" t="s">
        <v>59</v>
      </c>
      <c r="C72" s="27">
        <v>-1234.56</v>
      </c>
      <c r="D72" s="28">
        <v>-123.45</v>
      </c>
      <c r="E72" s="25">
        <v>-1234.56</v>
      </c>
      <c r="F72" s="26">
        <v>-123.45</v>
      </c>
    </row>
    <row r="73" spans="2:6" x14ac:dyDescent="0.2">
      <c r="B73" s="5" t="s">
        <v>60</v>
      </c>
      <c r="C73" s="27">
        <v>0</v>
      </c>
      <c r="D73" s="28">
        <v>0</v>
      </c>
      <c r="E73" s="25">
        <v>0</v>
      </c>
      <c r="F73" s="26">
        <v>0</v>
      </c>
    </row>
    <row r="74" spans="2:6" ht="12.75" thickBot="1" x14ac:dyDescent="0.25">
      <c r="B74" s="5" t="s">
        <v>7</v>
      </c>
      <c r="C74" s="27" t="s">
        <v>7</v>
      </c>
      <c r="D74" s="28" t="s">
        <v>7</v>
      </c>
      <c r="E74" s="25" t="s">
        <v>7</v>
      </c>
      <c r="F74" s="26" t="s">
        <v>7</v>
      </c>
    </row>
    <row r="75" spans="2:6" x14ac:dyDescent="0.2">
      <c r="B75" s="39"/>
      <c r="C75" s="39"/>
      <c r="D75" s="39"/>
      <c r="E75" s="39"/>
      <c r="F75" s="39"/>
    </row>
    <row r="76" spans="2:6" ht="24" x14ac:dyDescent="0.2">
      <c r="B76" s="1"/>
      <c r="C76" s="1" t="s">
        <v>68</v>
      </c>
      <c r="D76" s="1" t="s">
        <v>69</v>
      </c>
      <c r="E76" s="1" t="s">
        <v>21</v>
      </c>
      <c r="F76" s="1" t="s">
        <v>20</v>
      </c>
    </row>
    <row r="77" spans="2:6" x14ac:dyDescent="0.2">
      <c r="B77" s="5" t="s">
        <v>58</v>
      </c>
      <c r="C77" s="31">
        <v>1234.56</v>
      </c>
      <c r="D77" s="32">
        <v>123.45</v>
      </c>
      <c r="E77" s="29">
        <v>1234.56</v>
      </c>
      <c r="F77" s="30">
        <v>123.45</v>
      </c>
    </row>
    <row r="78" spans="2:6" x14ac:dyDescent="0.2">
      <c r="B78" s="5" t="s">
        <v>59</v>
      </c>
      <c r="C78" s="31">
        <v>-1234.56</v>
      </c>
      <c r="D78" s="32">
        <v>-123.45</v>
      </c>
      <c r="E78" s="29">
        <v>-1234.56</v>
      </c>
      <c r="F78" s="30">
        <v>-123.45</v>
      </c>
    </row>
    <row r="79" spans="2:6" x14ac:dyDescent="0.2">
      <c r="B79" s="5" t="s">
        <v>60</v>
      </c>
      <c r="C79" s="31">
        <v>0</v>
      </c>
      <c r="D79" s="32">
        <v>0</v>
      </c>
      <c r="E79" s="29">
        <v>0</v>
      </c>
      <c r="F79" s="30">
        <v>0</v>
      </c>
    </row>
    <row r="80" spans="2:6" ht="12.75" thickBot="1" x14ac:dyDescent="0.25">
      <c r="B80" s="5" t="s">
        <v>7</v>
      </c>
      <c r="C80" s="31" t="s">
        <v>7</v>
      </c>
      <c r="D80" s="32" t="s">
        <v>7</v>
      </c>
      <c r="E80" s="29" t="s">
        <v>7</v>
      </c>
      <c r="F80" s="30" t="s">
        <v>7</v>
      </c>
    </row>
    <row r="81" spans="1:6" x14ac:dyDescent="0.2">
      <c r="B81" s="39"/>
      <c r="C81" s="39"/>
      <c r="D81" s="39"/>
      <c r="E81" s="39"/>
      <c r="F81" s="39"/>
    </row>
    <row r="82" spans="1:6" ht="24" x14ac:dyDescent="0.2">
      <c r="B82" s="1"/>
      <c r="C82" s="1" t="s">
        <v>12</v>
      </c>
      <c r="D82" s="1" t="s">
        <v>70</v>
      </c>
      <c r="E82" s="1" t="s">
        <v>71</v>
      </c>
    </row>
    <row r="83" spans="1:6" ht="12.75" thickBot="1" x14ac:dyDescent="0.25">
      <c r="B83" s="5" t="s">
        <v>12</v>
      </c>
      <c r="C83" s="23">
        <v>37591</v>
      </c>
      <c r="D83" s="71">
        <v>37591</v>
      </c>
      <c r="E83" s="33">
        <v>37591</v>
      </c>
    </row>
    <row r="84" spans="1:6" x14ac:dyDescent="0.2">
      <c r="B84" s="39"/>
      <c r="C84" s="39"/>
      <c r="D84" s="39"/>
      <c r="E84" s="39"/>
    </row>
    <row r="85" spans="1:6" ht="18" x14ac:dyDescent="0.2">
      <c r="A85" s="8" t="s">
        <v>85</v>
      </c>
    </row>
    <row r="86" spans="1:6" x14ac:dyDescent="0.2">
      <c r="A86" s="45" t="s">
        <v>84</v>
      </c>
      <c r="B86" s="44"/>
      <c r="C86" s="44"/>
      <c r="D86" s="44"/>
      <c r="E86" s="44"/>
    </row>
    <row r="87" spans="1:6" x14ac:dyDescent="0.2">
      <c r="A87" s="24" t="s">
        <v>43</v>
      </c>
    </row>
    <row r="89" spans="1:6" ht="23.25" x14ac:dyDescent="0.2">
      <c r="B89" s="42" t="s">
        <v>34</v>
      </c>
      <c r="C89" s="42" t="s">
        <v>46</v>
      </c>
      <c r="E89" t="s">
        <v>38</v>
      </c>
    </row>
    <row r="91" spans="1:6" ht="18" x14ac:dyDescent="0.2">
      <c r="B91" s="8" t="s">
        <v>35</v>
      </c>
      <c r="C91" s="8" t="s">
        <v>46</v>
      </c>
      <c r="E91" t="s">
        <v>39</v>
      </c>
    </row>
    <row r="93" spans="1:6" ht="15.75" x14ac:dyDescent="0.2">
      <c r="B93" s="35" t="s">
        <v>36</v>
      </c>
      <c r="C93" s="35" t="s">
        <v>46</v>
      </c>
      <c r="E93" t="s">
        <v>40</v>
      </c>
    </row>
    <row r="95" spans="1:6" x14ac:dyDescent="0.2">
      <c r="B95" s="34" t="s">
        <v>37</v>
      </c>
      <c r="C95" s="34" t="s">
        <v>46</v>
      </c>
      <c r="E95" t="s">
        <v>41</v>
      </c>
    </row>
    <row r="97" spans="1:7" ht="18" x14ac:dyDescent="0.2">
      <c r="A97" s="8" t="s">
        <v>45</v>
      </c>
    </row>
    <row r="98" spans="1:7" x14ac:dyDescent="0.2">
      <c r="A98" s="45" t="s">
        <v>51</v>
      </c>
      <c r="B98" s="44"/>
      <c r="C98" s="44"/>
      <c r="D98" s="44"/>
      <c r="E98" s="44"/>
    </row>
    <row r="99" spans="1:7" x14ac:dyDescent="0.2">
      <c r="A99" s="24" t="s">
        <v>48</v>
      </c>
    </row>
    <row r="101" spans="1:7" ht="15.75" x14ac:dyDescent="0.2">
      <c r="A101" s="35" t="s">
        <v>98</v>
      </c>
    </row>
    <row r="102" spans="1:7" x14ac:dyDescent="0.2">
      <c r="B102" s="66" t="s">
        <v>110</v>
      </c>
      <c r="C102" s="1" t="s">
        <v>105</v>
      </c>
      <c r="D102" s="1" t="s">
        <v>105</v>
      </c>
      <c r="E102" s="1" t="s">
        <v>105</v>
      </c>
      <c r="F102" s="1" t="s">
        <v>105</v>
      </c>
    </row>
    <row r="103" spans="1:7" x14ac:dyDescent="0.2">
      <c r="B103" s="5" t="s">
        <v>26</v>
      </c>
    </row>
    <row r="104" spans="1:7" x14ac:dyDescent="0.2">
      <c r="B104" s="5" t="s">
        <v>26</v>
      </c>
    </row>
    <row r="105" spans="1:7" ht="12.75" thickBot="1" x14ac:dyDescent="0.25">
      <c r="B105" s="5" t="s">
        <v>26</v>
      </c>
    </row>
    <row r="106" spans="1:7" x14ac:dyDescent="0.2">
      <c r="B106" s="39" t="s">
        <v>30</v>
      </c>
      <c r="C106" s="39"/>
      <c r="D106" s="39"/>
      <c r="E106" s="39"/>
      <c r="F106" s="39"/>
    </row>
    <row r="108" spans="1:7" ht="15.75" x14ac:dyDescent="0.2">
      <c r="A108" s="35" t="s">
        <v>99</v>
      </c>
    </row>
    <row r="109" spans="1:7" x14ac:dyDescent="0.2">
      <c r="B109" s="66"/>
      <c r="C109" s="70"/>
      <c r="D109" s="70" t="s">
        <v>119</v>
      </c>
      <c r="E109" s="70"/>
      <c r="F109" s="70" t="s">
        <v>119</v>
      </c>
      <c r="G109" s="70"/>
    </row>
    <row r="110" spans="1:7" ht="24" x14ac:dyDescent="0.2">
      <c r="B110" s="66" t="s">
        <v>110</v>
      </c>
      <c r="C110" s="67" t="s">
        <v>111</v>
      </c>
      <c r="D110" s="1" t="s">
        <v>105</v>
      </c>
      <c r="E110" s="1" t="s">
        <v>105</v>
      </c>
      <c r="F110" s="1" t="s">
        <v>105</v>
      </c>
      <c r="G110" s="1" t="s">
        <v>105</v>
      </c>
    </row>
    <row r="111" spans="1:7" x14ac:dyDescent="0.2">
      <c r="B111" s="5" t="s">
        <v>26</v>
      </c>
      <c r="D111" s="53" t="s">
        <v>80</v>
      </c>
      <c r="E111" s="53"/>
      <c r="F111" s="38" t="s">
        <v>47</v>
      </c>
      <c r="G111" s="38"/>
    </row>
    <row r="112" spans="1:7" ht="12.75" thickBot="1" x14ac:dyDescent="0.25">
      <c r="B112" s="4" t="s">
        <v>27</v>
      </c>
      <c r="D112" s="53"/>
      <c r="E112" s="53"/>
      <c r="F112" s="38"/>
      <c r="G112" s="38"/>
    </row>
    <row r="113" spans="1:9" ht="12.75" thickBot="1" x14ac:dyDescent="0.25">
      <c r="B113" s="7" t="s">
        <v>29</v>
      </c>
      <c r="C113" s="36"/>
      <c r="D113" s="36"/>
      <c r="E113" s="36"/>
      <c r="F113" s="60"/>
      <c r="G113" s="60"/>
    </row>
    <row r="114" spans="1:9" x14ac:dyDescent="0.2">
      <c r="B114" s="6" t="s">
        <v>28</v>
      </c>
      <c r="C114" s="37"/>
      <c r="D114" s="37"/>
      <c r="E114" s="37"/>
      <c r="F114" s="37"/>
      <c r="G114" s="37"/>
    </row>
    <row r="117" spans="1:9" ht="23.25" x14ac:dyDescent="0.2">
      <c r="A117" s="42" t="s">
        <v>49</v>
      </c>
    </row>
    <row r="118" spans="1:9" x14ac:dyDescent="0.2">
      <c r="A118" s="24" t="s">
        <v>103</v>
      </c>
    </row>
    <row r="120" spans="1:9" ht="15.75" x14ac:dyDescent="0.2">
      <c r="A120" s="35" t="s">
        <v>95</v>
      </c>
    </row>
    <row r="121" spans="1:9" x14ac:dyDescent="0.2">
      <c r="B121" s="66" t="s">
        <v>113</v>
      </c>
      <c r="C121" s="67" t="s">
        <v>114</v>
      </c>
      <c r="D121" s="67" t="s">
        <v>0</v>
      </c>
      <c r="E121" s="1">
        <v>2000</v>
      </c>
      <c r="F121" s="1">
        <v>2001</v>
      </c>
      <c r="G121" s="1">
        <v>2002</v>
      </c>
      <c r="H121" s="1">
        <v>2003</v>
      </c>
      <c r="I121" s="43" t="s">
        <v>112</v>
      </c>
    </row>
    <row r="122" spans="1:9" x14ac:dyDescent="0.2">
      <c r="B122" s="5" t="s">
        <v>94</v>
      </c>
      <c r="C122" t="s">
        <v>115</v>
      </c>
      <c r="D122" s="24" t="s">
        <v>118</v>
      </c>
      <c r="E122" s="11">
        <v>1000000</v>
      </c>
      <c r="F122" s="10">
        <f t="shared" ref="F122:G124" si="0">E122+($H122-$E122)/3</f>
        <v>1000000</v>
      </c>
      <c r="G122" s="10">
        <f t="shared" si="0"/>
        <v>1000000</v>
      </c>
      <c r="H122" s="9">
        <v>1000000</v>
      </c>
    </row>
    <row r="123" spans="1:9" x14ac:dyDescent="0.2">
      <c r="B123" s="5" t="s">
        <v>92</v>
      </c>
      <c r="C123" t="s">
        <v>115</v>
      </c>
      <c r="D123" s="24" t="s">
        <v>118</v>
      </c>
      <c r="E123" s="11">
        <v>100000</v>
      </c>
      <c r="F123" s="10">
        <f t="shared" si="0"/>
        <v>133333.33333333334</v>
      </c>
      <c r="G123" s="10">
        <f t="shared" si="0"/>
        <v>166666.66666666669</v>
      </c>
      <c r="H123" s="9">
        <v>200000</v>
      </c>
    </row>
    <row r="124" spans="1:9" x14ac:dyDescent="0.2">
      <c r="B124" s="5" t="s">
        <v>93</v>
      </c>
      <c r="C124" t="s">
        <v>115</v>
      </c>
      <c r="D124" s="24" t="s">
        <v>118</v>
      </c>
      <c r="E124" s="54">
        <v>50000</v>
      </c>
      <c r="F124" s="10">
        <f t="shared" si="0"/>
        <v>100000</v>
      </c>
      <c r="G124" s="10">
        <f t="shared" si="0"/>
        <v>150000</v>
      </c>
      <c r="H124" s="9">
        <v>200000</v>
      </c>
    </row>
    <row r="125" spans="1:9" x14ac:dyDescent="0.2">
      <c r="B125" s="6" t="s">
        <v>96</v>
      </c>
      <c r="C125" s="37" t="s">
        <v>115</v>
      </c>
      <c r="D125" s="37"/>
      <c r="E125" s="57">
        <f>SUM(E122:E124)</f>
        <v>1150000</v>
      </c>
      <c r="F125" s="57">
        <f>SUM(F122:F124)</f>
        <v>1233333.3333333333</v>
      </c>
      <c r="G125" s="57">
        <f>SUM(G122:G124)</f>
        <v>1316666.6666666667</v>
      </c>
      <c r="H125" s="57">
        <f>SUM(H122:H124)</f>
        <v>1400000</v>
      </c>
    </row>
    <row r="126" spans="1:9" x14ac:dyDescent="0.2">
      <c r="B126" s="56"/>
      <c r="D126" s="56"/>
      <c r="E126" s="56"/>
      <c r="F126" s="56"/>
      <c r="G126" s="56"/>
    </row>
    <row r="127" spans="1:9" ht="15.75" x14ac:dyDescent="0.2">
      <c r="A127" s="35" t="s">
        <v>95</v>
      </c>
    </row>
    <row r="128" spans="1:9" x14ac:dyDescent="0.2">
      <c r="B128" s="66" t="s">
        <v>113</v>
      </c>
      <c r="C128" s="67" t="s">
        <v>114</v>
      </c>
      <c r="D128" s="67" t="s">
        <v>0</v>
      </c>
      <c r="E128" s="1">
        <v>2000</v>
      </c>
      <c r="F128" s="1">
        <v>2001</v>
      </c>
      <c r="G128" s="1">
        <v>2002</v>
      </c>
      <c r="H128" s="1">
        <v>2003</v>
      </c>
    </row>
    <row r="129" spans="1:9" x14ac:dyDescent="0.2">
      <c r="B129" s="5" t="s">
        <v>94</v>
      </c>
      <c r="C129" t="s">
        <v>115</v>
      </c>
      <c r="D129" s="24" t="s">
        <v>116</v>
      </c>
      <c r="E129" s="12">
        <f t="array" ref="E129:H131">$E$122:$H$124</f>
        <v>1000000</v>
      </c>
      <c r="F129" s="12">
        <v>1000000</v>
      </c>
      <c r="G129" s="12">
        <v>1000000</v>
      </c>
      <c r="H129" s="12">
        <v>1000000</v>
      </c>
    </row>
    <row r="130" spans="1:9" x14ac:dyDescent="0.2">
      <c r="B130" s="5" t="s">
        <v>92</v>
      </c>
      <c r="C130" t="s">
        <v>115</v>
      </c>
      <c r="D130" s="24" t="s">
        <v>116</v>
      </c>
      <c r="E130" s="12">
        <v>100000</v>
      </c>
      <c r="F130" s="12">
        <v>133333.33333333334</v>
      </c>
      <c r="G130" s="12">
        <v>166666.66666666669</v>
      </c>
      <c r="H130" s="12">
        <v>200000</v>
      </c>
    </row>
    <row r="131" spans="1:9" x14ac:dyDescent="0.2">
      <c r="B131" s="5" t="s">
        <v>93</v>
      </c>
      <c r="C131" t="s">
        <v>115</v>
      </c>
      <c r="D131" s="24" t="s">
        <v>117</v>
      </c>
      <c r="E131" s="68">
        <v>50000</v>
      </c>
      <c r="F131" s="68">
        <v>100000</v>
      </c>
      <c r="G131" s="68">
        <v>150000</v>
      </c>
      <c r="H131" s="68">
        <v>200000</v>
      </c>
    </row>
    <row r="132" spans="1:9" x14ac:dyDescent="0.2">
      <c r="B132" s="6" t="s">
        <v>96</v>
      </c>
      <c r="C132" s="37" t="s">
        <v>115</v>
      </c>
      <c r="D132" s="37"/>
      <c r="E132" s="57">
        <f>SUM(E129:E131)</f>
        <v>1150000</v>
      </c>
      <c r="F132" s="57">
        <f>SUM(F129:F131)</f>
        <v>1233333.3333333333</v>
      </c>
      <c r="G132" s="57">
        <f>SUM(G129:G131)</f>
        <v>1316666.6666666667</v>
      </c>
      <c r="H132" s="57">
        <f>SUM(H129:H131)</f>
        <v>1400000</v>
      </c>
    </row>
    <row r="133" spans="1:9" x14ac:dyDescent="0.2">
      <c r="B133" s="56"/>
      <c r="C133" s="56"/>
      <c r="D133" s="56"/>
      <c r="E133" s="56"/>
      <c r="F133" s="56"/>
      <c r="G133" s="56"/>
    </row>
    <row r="135" spans="1:9" ht="15.75" x14ac:dyDescent="0.2">
      <c r="A135" s="35" t="s">
        <v>101</v>
      </c>
    </row>
    <row r="136" spans="1:9" x14ac:dyDescent="0.2">
      <c r="B136" s="66" t="s">
        <v>113</v>
      </c>
      <c r="C136" s="67" t="s">
        <v>114</v>
      </c>
      <c r="D136" s="67" t="s">
        <v>0</v>
      </c>
      <c r="E136" s="1">
        <v>2000</v>
      </c>
      <c r="F136" s="1">
        <v>2001</v>
      </c>
      <c r="G136" s="1">
        <v>2002</v>
      </c>
      <c r="H136" s="1">
        <v>2003</v>
      </c>
    </row>
    <row r="137" spans="1:9" x14ac:dyDescent="0.2">
      <c r="B137" s="5" t="s">
        <v>94</v>
      </c>
      <c r="C137" t="s">
        <v>115</v>
      </c>
      <c r="D137" s="24"/>
      <c r="E137" s="3"/>
      <c r="F137" s="13">
        <f t="shared" ref="F137:H139" si="1">(F129+E129)/2</f>
        <v>1000000</v>
      </c>
      <c r="G137" s="13">
        <f t="shared" si="1"/>
        <v>1000000</v>
      </c>
      <c r="H137" s="13">
        <f t="shared" si="1"/>
        <v>1000000</v>
      </c>
    </row>
    <row r="138" spans="1:9" x14ac:dyDescent="0.2">
      <c r="B138" s="5" t="s">
        <v>92</v>
      </c>
      <c r="C138" t="s">
        <v>115</v>
      </c>
      <c r="D138" s="24"/>
      <c r="E138" s="3"/>
      <c r="F138" s="13">
        <f t="shared" si="1"/>
        <v>116666.66666666667</v>
      </c>
      <c r="G138" s="13">
        <f t="shared" si="1"/>
        <v>150000</v>
      </c>
      <c r="H138" s="13">
        <f t="shared" si="1"/>
        <v>183333.33333333334</v>
      </c>
    </row>
    <row r="139" spans="1:9" x14ac:dyDescent="0.2">
      <c r="B139" s="5" t="s">
        <v>93</v>
      </c>
      <c r="C139" t="s">
        <v>115</v>
      </c>
      <c r="D139" s="24"/>
      <c r="E139" s="3"/>
      <c r="F139" s="13">
        <f t="shared" si="1"/>
        <v>75000</v>
      </c>
      <c r="G139" s="13">
        <f t="shared" si="1"/>
        <v>125000</v>
      </c>
      <c r="H139" s="13">
        <f t="shared" si="1"/>
        <v>175000</v>
      </c>
    </row>
    <row r="140" spans="1:9" x14ac:dyDescent="0.2">
      <c r="B140" s="62" t="s">
        <v>96</v>
      </c>
      <c r="C140" s="72" t="s">
        <v>115</v>
      </c>
      <c r="D140" s="72"/>
      <c r="E140" s="61"/>
      <c r="F140" s="61">
        <f>SUM(F137:F139)</f>
        <v>1191666.6666666667</v>
      </c>
      <c r="G140" s="61">
        <f>SUM(G137:G139)</f>
        <v>1275000</v>
      </c>
      <c r="H140" s="61">
        <f>SUM(H137:H139)</f>
        <v>1358333.3333333333</v>
      </c>
      <c r="I140" s="43" t="s">
        <v>102</v>
      </c>
    </row>
    <row r="141" spans="1:9" x14ac:dyDescent="0.2">
      <c r="B141" s="56"/>
      <c r="C141" s="56"/>
      <c r="D141" s="56"/>
      <c r="E141" s="56"/>
      <c r="F141" s="56"/>
    </row>
  </sheetData>
  <phoneticPr fontId="0" type="noConversion"/>
  <conditionalFormatting sqref="C41">
    <cfRule type="cellIs" dxfId="0" priority="1" stopIfTrue="1" operator="notEqual">
      <formula>0</formula>
    </cfRule>
  </conditionalFormatting>
  <dataValidations disablePrompts="1" count="2">
    <dataValidation type="list" showInputMessage="1" showErrorMessage="1" errorTitle="Input Parameter" error="Please select value from list" promptTitle="Input Parameter" prompt="Select from list" sqref="C16">
      <formula1>$C$17:$C$19</formula1>
    </dataValidation>
    <dataValidation type="decimal" showInputMessage="1" showErrorMessage="1" errorTitle="Input Parameter" error="Value must lie between 100 and 300" promptTitle="Input Parameter" prompt="Value must lie between 100 and 300" sqref="C12">
      <formula1>C13</formula1>
      <formula2>C14</formula2>
    </dataValidation>
  </dataValidations>
  <pageMargins left="0.74803149606299213" right="0.74803149606299213" top="0.51181102362204722" bottom="0.51181102362204722" header="0.51181102362204722" footer="0.35433070866141736"/>
  <pageSetup paperSize="9" fitToHeight="0" orientation="landscape" horizontalDpi="4294967292" verticalDpi="4294967292" r:id="rId1"/>
  <headerFooter alignWithMargins="0">
    <oddFooter xml:space="preserve">&amp;L&amp;F : &amp;A&amp;CPrinted at &amp;T on &amp;D&amp;RCommercial in confidence © Analysys Mason </oddFooter>
  </headerFooter>
  <rowBreaks count="3" manualBreakCount="3">
    <brk id="52" max="16383" man="1"/>
    <brk id="84" max="16383" man="1"/>
    <brk id="11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EA6A"/>
    <pageSetUpPr autoPageBreaks="0"/>
  </sheetPr>
  <dimension ref="A1:I10"/>
  <sheetViews>
    <sheetView showGridLines="0" defaultGridColor="0" colorId="22" zoomScale="80" zoomScaleNormal="80" workbookViewId="0">
      <pane ySplit="1" topLeftCell="A2" activePane="bottomLeft" state="frozen"/>
      <selection pane="bottomLeft" activeCell="G1" sqref="G1:G1048576"/>
    </sheetView>
  </sheetViews>
  <sheetFormatPr baseColWidth="10" defaultColWidth="0" defaultRowHeight="12" zeroHeight="1" x14ac:dyDescent="0.2"/>
  <cols>
    <col min="1" max="1" width="6.7109375" customWidth="1"/>
    <col min="2" max="7" width="12.7109375" customWidth="1"/>
    <col min="8" max="8" width="12.7109375" hidden="1" customWidth="1"/>
    <col min="10" max="16384" width="12.7109375" hidden="1"/>
  </cols>
  <sheetData>
    <row r="1" spans="2:7" s="78" customFormat="1" ht="33.75" customHeight="1" x14ac:dyDescent="0.2">
      <c r="D1" s="82" t="s">
        <v>192</v>
      </c>
    </row>
    <row r="2" spans="2:7" x14ac:dyDescent="0.2"/>
    <row r="3" spans="2:7" x14ac:dyDescent="0.2"/>
    <row r="4" spans="2:7" x14ac:dyDescent="0.2">
      <c r="B4" s="127"/>
      <c r="C4" s="127"/>
      <c r="D4" s="127"/>
      <c r="E4" s="127" t="s">
        <v>193</v>
      </c>
      <c r="F4" s="127">
        <v>2019</v>
      </c>
    </row>
    <row r="5" spans="2:7" ht="12.75" x14ac:dyDescent="0.2">
      <c r="B5" s="130" t="s">
        <v>313</v>
      </c>
      <c r="C5" s="43"/>
      <c r="D5" s="43"/>
      <c r="E5" s="92" t="s">
        <v>142</v>
      </c>
      <c r="F5" s="129">
        <f ca="1">'Costos anualizados'!T128</f>
        <v>3.2378604410276846</v>
      </c>
      <c r="G5" s="198"/>
    </row>
    <row r="6" spans="2:7" ht="12.75" x14ac:dyDescent="0.2">
      <c r="B6" s="130" t="s">
        <v>314</v>
      </c>
      <c r="E6" t="s">
        <v>142</v>
      </c>
      <c r="F6" s="129">
        <f>'Costos anualizados'!S130</f>
        <v>2.274823</v>
      </c>
      <c r="G6" s="198"/>
    </row>
    <row r="7" spans="2:7" ht="12.75" x14ac:dyDescent="0.2">
      <c r="B7" s="130" t="s">
        <v>181</v>
      </c>
      <c r="E7" t="s">
        <v>142</v>
      </c>
      <c r="F7" s="129">
        <f>'Costos anualizados'!S132</f>
        <v>4.3668726687848505</v>
      </c>
      <c r="G7" s="198"/>
    </row>
    <row r="8" spans="2:7" x14ac:dyDescent="0.2">
      <c r="G8" s="198"/>
    </row>
    <row r="9" spans="2:7" x14ac:dyDescent="0.2">
      <c r="B9" s="100" t="s">
        <v>161</v>
      </c>
      <c r="E9" t="s">
        <v>142</v>
      </c>
      <c r="F9" s="128">
        <f ca="1">'Costos anualizados'!S134</f>
        <v>9.8441111836950572</v>
      </c>
      <c r="G9" s="198"/>
    </row>
    <row r="10" spans="2:7" x14ac:dyDescent="0.2"/>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81CFFF"/>
    <pageSetUpPr autoPageBreaks="0"/>
  </sheetPr>
  <dimension ref="A1:G4"/>
  <sheetViews>
    <sheetView showGridLines="0" defaultGridColor="0" colorId="22" zoomScale="80" zoomScaleNormal="80" workbookViewId="0">
      <pane ySplit="1" topLeftCell="A2" activePane="bottomLeft" state="frozen"/>
      <selection pane="bottomLeft"/>
    </sheetView>
  </sheetViews>
  <sheetFormatPr baseColWidth="10" defaultColWidth="0" defaultRowHeight="12" customHeight="1" zeroHeight="1" x14ac:dyDescent="0.2"/>
  <cols>
    <col min="1" max="1" width="6.7109375" customWidth="1"/>
    <col min="2" max="7" width="12.7109375" customWidth="1"/>
    <col min="8" max="16384" width="12.7109375" hidden="1"/>
  </cols>
  <sheetData>
    <row r="1" spans="3:4" s="78" customFormat="1" ht="33.75" customHeight="1" x14ac:dyDescent="0.2">
      <c r="D1" s="82" t="s">
        <v>312</v>
      </c>
    </row>
    <row r="2" spans="3:4" hidden="1" x14ac:dyDescent="0.2"/>
    <row r="3" spans="3:4" hidden="1" x14ac:dyDescent="0.2"/>
    <row r="4" spans="3:4" hidden="1" x14ac:dyDescent="0.2">
      <c r="C4" s="104"/>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tint="0.89999084444715716"/>
    <pageSetUpPr autoPageBreaks="0"/>
  </sheetPr>
  <dimension ref="A1:EW32"/>
  <sheetViews>
    <sheetView showGridLines="0" defaultGridColor="0" colorId="22" zoomScale="80" zoomScaleNormal="80" workbookViewId="0">
      <pane xSplit="8" ySplit="4" topLeftCell="I5" activePane="bottomRight" state="frozen"/>
      <selection activeCell="J37" sqref="J37"/>
      <selection pane="topRight" activeCell="J37" sqref="J37"/>
      <selection pane="bottomLeft" activeCell="J37" sqref="J37"/>
      <selection pane="bottomRight" activeCell="P46" sqref="P46"/>
    </sheetView>
  </sheetViews>
  <sheetFormatPr baseColWidth="10" defaultColWidth="12.7109375" defaultRowHeight="12" x14ac:dyDescent="0.2"/>
  <cols>
    <col min="1" max="1" width="6.7109375" customWidth="1"/>
    <col min="2" max="2" width="5" customWidth="1"/>
  </cols>
  <sheetData>
    <row r="1" spans="1:153" s="75" customFormat="1" ht="33.75" customHeight="1" x14ac:dyDescent="0.2">
      <c r="A1" s="75" t="s">
        <v>104</v>
      </c>
      <c r="D1" s="79" t="s">
        <v>128</v>
      </c>
    </row>
    <row r="4" spans="1:153" s="83" customFormat="1" x14ac:dyDescent="0.2">
      <c r="D4" s="84"/>
      <c r="E4" s="85" t="s">
        <v>129</v>
      </c>
      <c r="F4" s="85" t="s">
        <v>123</v>
      </c>
      <c r="G4" s="85" t="s">
        <v>124</v>
      </c>
      <c r="I4"/>
      <c r="J4" s="85">
        <v>2010</v>
      </c>
      <c r="K4" s="85">
        <f>J4+1</f>
        <v>2011</v>
      </c>
      <c r="L4" s="85">
        <f t="shared" ref="L4:BG4" si="0">K4+1</f>
        <v>2012</v>
      </c>
      <c r="M4" s="85">
        <f t="shared" si="0"/>
        <v>2013</v>
      </c>
      <c r="N4" s="85">
        <f t="shared" si="0"/>
        <v>2014</v>
      </c>
      <c r="O4" s="85">
        <f t="shared" si="0"/>
        <v>2015</v>
      </c>
      <c r="P4" s="85">
        <f t="shared" si="0"/>
        <v>2016</v>
      </c>
      <c r="Q4" s="85">
        <f t="shared" si="0"/>
        <v>2017</v>
      </c>
      <c r="R4" s="85">
        <f t="shared" si="0"/>
        <v>2018</v>
      </c>
      <c r="S4" s="85">
        <f t="shared" si="0"/>
        <v>2019</v>
      </c>
      <c r="T4" s="85">
        <f t="shared" si="0"/>
        <v>2020</v>
      </c>
      <c r="U4" s="85">
        <f t="shared" si="0"/>
        <v>2021</v>
      </c>
      <c r="V4" s="85">
        <f t="shared" si="0"/>
        <v>2022</v>
      </c>
      <c r="W4" s="85">
        <f t="shared" si="0"/>
        <v>2023</v>
      </c>
      <c r="X4" s="85">
        <f t="shared" si="0"/>
        <v>2024</v>
      </c>
      <c r="Y4" s="85">
        <f t="shared" si="0"/>
        <v>2025</v>
      </c>
      <c r="Z4" s="85">
        <f t="shared" si="0"/>
        <v>2026</v>
      </c>
      <c r="AA4" s="85">
        <f t="shared" si="0"/>
        <v>2027</v>
      </c>
      <c r="AB4" s="85">
        <f t="shared" si="0"/>
        <v>2028</v>
      </c>
      <c r="AC4" s="85">
        <f t="shared" si="0"/>
        <v>2029</v>
      </c>
      <c r="AD4" s="85">
        <f t="shared" si="0"/>
        <v>2030</v>
      </c>
      <c r="AE4" s="85">
        <f t="shared" si="0"/>
        <v>2031</v>
      </c>
      <c r="AF4" s="85">
        <f t="shared" si="0"/>
        <v>2032</v>
      </c>
      <c r="AG4" s="85">
        <f t="shared" si="0"/>
        <v>2033</v>
      </c>
      <c r="AH4" s="85">
        <f t="shared" si="0"/>
        <v>2034</v>
      </c>
      <c r="AI4" s="85">
        <f t="shared" si="0"/>
        <v>2035</v>
      </c>
      <c r="AJ4" s="85">
        <f t="shared" si="0"/>
        <v>2036</v>
      </c>
      <c r="AK4" s="85">
        <f t="shared" si="0"/>
        <v>2037</v>
      </c>
      <c r="AL4" s="85">
        <f t="shared" si="0"/>
        <v>2038</v>
      </c>
      <c r="AM4" s="85">
        <f t="shared" si="0"/>
        <v>2039</v>
      </c>
      <c r="AN4" s="85">
        <f t="shared" si="0"/>
        <v>2040</v>
      </c>
      <c r="AO4" s="85">
        <f t="shared" si="0"/>
        <v>2041</v>
      </c>
      <c r="AP4" s="85">
        <f t="shared" si="0"/>
        <v>2042</v>
      </c>
      <c r="AQ4" s="85">
        <f t="shared" si="0"/>
        <v>2043</v>
      </c>
      <c r="AR4" s="85">
        <f t="shared" si="0"/>
        <v>2044</v>
      </c>
      <c r="AS4" s="85">
        <f t="shared" si="0"/>
        <v>2045</v>
      </c>
      <c r="AT4" s="85">
        <f t="shared" si="0"/>
        <v>2046</v>
      </c>
      <c r="AU4" s="85">
        <f t="shared" si="0"/>
        <v>2047</v>
      </c>
      <c r="AV4" s="85">
        <f t="shared" si="0"/>
        <v>2048</v>
      </c>
      <c r="AW4" s="85">
        <f t="shared" si="0"/>
        <v>2049</v>
      </c>
      <c r="AX4" s="85">
        <f t="shared" si="0"/>
        <v>2050</v>
      </c>
      <c r="AY4" s="85">
        <f t="shared" si="0"/>
        <v>2051</v>
      </c>
      <c r="AZ4" s="85">
        <f t="shared" si="0"/>
        <v>2052</v>
      </c>
      <c r="BA4" s="85">
        <f t="shared" si="0"/>
        <v>2053</v>
      </c>
      <c r="BB4" s="85">
        <f t="shared" si="0"/>
        <v>2054</v>
      </c>
      <c r="BC4" s="85">
        <f t="shared" si="0"/>
        <v>2055</v>
      </c>
      <c r="BD4" s="85">
        <f t="shared" si="0"/>
        <v>2056</v>
      </c>
      <c r="BE4" s="85">
        <f t="shared" si="0"/>
        <v>2057</v>
      </c>
      <c r="BF4" s="85">
        <f t="shared" si="0"/>
        <v>2058</v>
      </c>
      <c r="BG4" s="85">
        <f t="shared" si="0"/>
        <v>2059</v>
      </c>
    </row>
    <row r="5" spans="1:153" x14ac:dyDescent="0.2">
      <c r="F5" s="90"/>
      <c r="G5" s="90"/>
    </row>
    <row r="6" spans="1:153" ht="18" x14ac:dyDescent="0.25">
      <c r="A6" s="86">
        <v>1</v>
      </c>
      <c r="B6" s="87" t="s">
        <v>140</v>
      </c>
      <c r="C6" s="88"/>
      <c r="D6" s="88"/>
      <c r="E6" s="88"/>
      <c r="F6" s="91"/>
      <c r="G6" s="91"/>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c r="BY6" s="88"/>
      <c r="BZ6" s="88"/>
      <c r="CA6" s="88"/>
      <c r="CB6" s="88"/>
      <c r="CC6" s="88"/>
      <c r="CD6" s="88"/>
      <c r="CE6" s="88"/>
      <c r="CF6" s="88"/>
      <c r="CG6" s="88"/>
      <c r="CH6" s="88"/>
      <c r="CI6" s="88"/>
      <c r="CJ6" s="88"/>
      <c r="CK6" s="88"/>
      <c r="CL6" s="88"/>
      <c r="CM6" s="88"/>
      <c r="CN6" s="88"/>
      <c r="CO6" s="88"/>
      <c r="CP6" s="88"/>
      <c r="CQ6" s="88"/>
      <c r="CR6" s="88"/>
      <c r="CS6" s="88"/>
      <c r="CT6" s="88"/>
      <c r="CU6" s="88"/>
      <c r="CV6" s="88"/>
      <c r="CW6" s="88"/>
      <c r="CX6" s="88"/>
      <c r="CY6" s="88"/>
      <c r="CZ6" s="88"/>
      <c r="DA6" s="88"/>
      <c r="DB6" s="88"/>
      <c r="DC6" s="88"/>
      <c r="DD6" s="88"/>
      <c r="DE6" s="88"/>
      <c r="DF6" s="88"/>
      <c r="DG6" s="88"/>
      <c r="DH6" s="88"/>
      <c r="DI6" s="88"/>
      <c r="DJ6" s="88"/>
      <c r="DK6" s="88"/>
      <c r="DL6" s="88"/>
      <c r="DM6" s="88"/>
      <c r="DN6" s="88"/>
      <c r="DO6" s="88"/>
      <c r="DP6" s="88"/>
      <c r="DQ6" s="88"/>
      <c r="DR6" s="88"/>
      <c r="DS6" s="88"/>
      <c r="DT6" s="88"/>
      <c r="DU6" s="88"/>
      <c r="DV6" s="88"/>
      <c r="DW6" s="88"/>
      <c r="DX6" s="88"/>
      <c r="DY6" s="88"/>
      <c r="DZ6" s="88"/>
      <c r="EA6" s="88"/>
      <c r="EB6" s="88"/>
      <c r="EC6" s="88"/>
      <c r="ED6" s="88"/>
      <c r="EE6" s="88"/>
      <c r="EF6" s="88"/>
      <c r="EG6" s="88"/>
      <c r="EH6" s="88"/>
      <c r="EI6" s="88"/>
      <c r="EJ6" s="88"/>
      <c r="EK6" s="88"/>
      <c r="EL6" s="88"/>
      <c r="EM6" s="88"/>
      <c r="EN6" s="88"/>
      <c r="EO6" s="88"/>
      <c r="EP6" s="88"/>
      <c r="EQ6" s="88"/>
      <c r="ER6" s="88"/>
      <c r="ES6" s="88"/>
      <c r="ET6" s="88"/>
      <c r="EU6" s="88"/>
      <c r="EV6" s="88"/>
      <c r="EW6" s="88"/>
    </row>
    <row r="7" spans="1:153" s="90" customFormat="1" ht="12" customHeight="1" x14ac:dyDescent="0.2">
      <c r="A7" s="89"/>
      <c r="B7" s="89"/>
      <c r="C7" s="89"/>
      <c r="D7" s="89"/>
      <c r="E7" s="89"/>
      <c r="F7" s="89"/>
      <c r="G7" s="89"/>
      <c r="H7" s="89"/>
      <c r="I7" s="89"/>
      <c r="J7" s="89"/>
      <c r="K7" s="89"/>
      <c r="P7" s="196"/>
    </row>
    <row r="8" spans="1:153" s="90" customFormat="1" ht="12.75" x14ac:dyDescent="0.2">
      <c r="A8" s="89"/>
      <c r="B8" s="93" t="s">
        <v>122</v>
      </c>
      <c r="E8" s="90" t="s">
        <v>310</v>
      </c>
      <c r="F8" s="92" t="s">
        <v>125</v>
      </c>
      <c r="G8" s="92" t="s">
        <v>126</v>
      </c>
      <c r="J8" s="11">
        <v>15202560.5</v>
      </c>
      <c r="K8" s="11">
        <v>14699297</v>
      </c>
      <c r="L8" s="11">
        <v>14048310</v>
      </c>
      <c r="M8" s="11">
        <v>13436902</v>
      </c>
      <c r="N8" s="11">
        <v>12884581</v>
      </c>
      <c r="O8" s="11">
        <v>12670849</v>
      </c>
      <c r="P8" s="11">
        <v>12101782.175996959</v>
      </c>
      <c r="Q8" s="11">
        <v>12189735.76</v>
      </c>
      <c r="R8" s="11">
        <v>12229362.182815628</v>
      </c>
      <c r="S8" s="11">
        <v>12321563.560925214</v>
      </c>
      <c r="T8" s="11">
        <v>12409415.206658076</v>
      </c>
      <c r="U8" s="11">
        <v>12491360.388521399</v>
      </c>
      <c r="V8" s="11">
        <v>12565794.325723348</v>
      </c>
      <c r="W8" s="11">
        <v>12632847.649803052</v>
      </c>
      <c r="X8" s="11">
        <v>12693947.004309481</v>
      </c>
      <c r="Y8" s="11">
        <v>12749749.090120519</v>
      </c>
      <c r="Z8" s="11">
        <v>12863558.812907273</v>
      </c>
      <c r="AA8" s="11">
        <v>13034740.637525732</v>
      </c>
      <c r="AB8" s="11">
        <v>13199634.762382183</v>
      </c>
      <c r="AC8" s="11">
        <v>13359449.373483516</v>
      </c>
      <c r="AD8" s="11">
        <v>13516554.046281287</v>
      </c>
      <c r="AE8" s="11">
        <v>13671807.368935175</v>
      </c>
      <c r="AF8" s="11">
        <v>13822483.153101984</v>
      </c>
      <c r="AG8" s="11">
        <v>13966908.71027578</v>
      </c>
      <c r="AH8" s="11">
        <v>14105783.680141127</v>
      </c>
      <c r="AI8" s="11">
        <v>14239651.062656295</v>
      </c>
      <c r="AJ8" s="11">
        <v>14368233.807965228</v>
      </c>
      <c r="AK8" s="11">
        <v>14490910.418650446</v>
      </c>
      <c r="AL8" s="11">
        <v>14607580.286543064</v>
      </c>
      <c r="AM8" s="11">
        <v>14718645.84431861</v>
      </c>
      <c r="AN8" s="11">
        <v>14824393.643222436</v>
      </c>
      <c r="AO8" s="11">
        <v>14924467.514353054</v>
      </c>
      <c r="AP8" s="11">
        <v>15018263.54230308</v>
      </c>
      <c r="AQ8" s="11">
        <v>15105631.658400485</v>
      </c>
      <c r="AR8" s="11">
        <v>15186884.342915608</v>
      </c>
      <c r="AS8" s="11">
        <v>15262297.313734043</v>
      </c>
      <c r="AT8" s="11">
        <v>15331645.379049718</v>
      </c>
      <c r="AU8" s="11">
        <v>15394484.015920505</v>
      </c>
      <c r="AV8" s="11">
        <v>15450729.310207315</v>
      </c>
      <c r="AW8" s="11">
        <v>15500690.367855316</v>
      </c>
      <c r="AX8" s="11">
        <v>15535160.697830526</v>
      </c>
      <c r="AY8" s="11">
        <v>15557188.447507236</v>
      </c>
      <c r="AZ8" s="11">
        <v>15579247.43096165</v>
      </c>
      <c r="BA8" s="11">
        <v>15601337.692481037</v>
      </c>
      <c r="BB8" s="11">
        <v>15623459.276415458</v>
      </c>
      <c r="BC8" s="11">
        <v>15645612.227177866</v>
      </c>
      <c r="BD8" s="11">
        <v>15667796.589244189</v>
      </c>
      <c r="BE8" s="11">
        <v>15690012.407153407</v>
      </c>
      <c r="BF8" s="11">
        <v>15712259.725507669</v>
      </c>
      <c r="BG8" s="11">
        <v>15734538.588972358</v>
      </c>
      <c r="BH8" s="43" t="s">
        <v>286</v>
      </c>
    </row>
    <row r="9" spans="1:153" ht="12.75" x14ac:dyDescent="0.2">
      <c r="B9" s="94"/>
      <c r="F9" s="90"/>
      <c r="G9" s="90"/>
      <c r="L9" s="90"/>
    </row>
    <row r="10" spans="1:153" ht="12.75" x14ac:dyDescent="0.2">
      <c r="B10" s="101" t="s">
        <v>127</v>
      </c>
      <c r="F10" s="92" t="s">
        <v>141</v>
      </c>
      <c r="G10" s="92" t="s">
        <v>135</v>
      </c>
      <c r="J10" s="10">
        <f t="shared" ref="J10:AO10" si="1">J8*J23/1000000</f>
        <v>60783</v>
      </c>
      <c r="K10" s="10">
        <f t="shared" si="1"/>
        <v>56468.19999999999</v>
      </c>
      <c r="L10" s="10">
        <f t="shared" si="1"/>
        <v>52153.400000000009</v>
      </c>
      <c r="M10" s="10">
        <f t="shared" si="1"/>
        <v>47838.6</v>
      </c>
      <c r="N10" s="10">
        <f t="shared" si="1"/>
        <v>45560.110999999997</v>
      </c>
      <c r="O10" s="10">
        <f t="shared" si="1"/>
        <v>37152.643999999993</v>
      </c>
      <c r="P10" s="10">
        <f t="shared" si="1"/>
        <v>33784.550000000003</v>
      </c>
      <c r="Q10" s="10">
        <f t="shared" si="1"/>
        <v>32726.190162200204</v>
      </c>
      <c r="R10" s="10">
        <f t="shared" si="1"/>
        <v>31889.064645898503</v>
      </c>
      <c r="S10" s="10">
        <f t="shared" si="1"/>
        <v>31513.949183517056</v>
      </c>
      <c r="T10" s="10">
        <f t="shared" si="1"/>
        <v>31434.615690484668</v>
      </c>
      <c r="U10" s="10">
        <f t="shared" si="1"/>
        <v>31642.193183594769</v>
      </c>
      <c r="V10" s="10">
        <f t="shared" si="1"/>
        <v>31830.74374551146</v>
      </c>
      <c r="W10" s="10">
        <f t="shared" si="1"/>
        <v>32000.598282418574</v>
      </c>
      <c r="X10" s="10">
        <f t="shared" si="1"/>
        <v>32155.370662571975</v>
      </c>
      <c r="Y10" s="10">
        <f t="shared" si="1"/>
        <v>32296.724392218821</v>
      </c>
      <c r="Z10" s="10">
        <f t="shared" si="1"/>
        <v>32585.018791113842</v>
      </c>
      <c r="AA10" s="10">
        <f t="shared" si="1"/>
        <v>33018.643968486431</v>
      </c>
      <c r="AB10" s="10">
        <f t="shared" si="1"/>
        <v>33436.341608396193</v>
      </c>
      <c r="AC10" s="10">
        <f t="shared" si="1"/>
        <v>33841.172198559638</v>
      </c>
      <c r="AD10" s="10">
        <f t="shared" si="1"/>
        <v>34239.138172808576</v>
      </c>
      <c r="AE10" s="10">
        <f t="shared" si="1"/>
        <v>34632.41444336783</v>
      </c>
      <c r="AF10" s="10">
        <f t="shared" si="1"/>
        <v>35014.09523092056</v>
      </c>
      <c r="AG10" s="10">
        <f t="shared" si="1"/>
        <v>35379.943404266116</v>
      </c>
      <c r="AH10" s="10">
        <f t="shared" si="1"/>
        <v>35731.731239070978</v>
      </c>
      <c r="AI10" s="10">
        <f t="shared" si="1"/>
        <v>36070.834222795595</v>
      </c>
      <c r="AJ10" s="10">
        <f t="shared" si="1"/>
        <v>36396.550553170709</v>
      </c>
      <c r="AK10" s="10">
        <f t="shared" si="1"/>
        <v>36707.305898759601</v>
      </c>
      <c r="AL10" s="10">
        <f t="shared" si="1"/>
        <v>37002.845406366396</v>
      </c>
      <c r="AM10" s="10">
        <f t="shared" si="1"/>
        <v>37284.188488774533</v>
      </c>
      <c r="AN10" s="10">
        <f t="shared" si="1"/>
        <v>37552.061016472129</v>
      </c>
      <c r="AO10" s="10">
        <f t="shared" si="1"/>
        <v>37805.56076865724</v>
      </c>
      <c r="AP10" s="10">
        <f t="shared" ref="AP10:BG10" si="2">AP8*AP23/1000000</f>
        <v>38043.157951344881</v>
      </c>
      <c r="AQ10" s="10">
        <f t="shared" si="2"/>
        <v>38264.472421639184</v>
      </c>
      <c r="AR10" s="10">
        <f t="shared" si="2"/>
        <v>38470.295731522681</v>
      </c>
      <c r="AS10" s="10">
        <f t="shared" si="2"/>
        <v>38661.326309215285</v>
      </c>
      <c r="AT10" s="10">
        <f t="shared" si="2"/>
        <v>38836.993715436591</v>
      </c>
      <c r="AU10" s="10">
        <f t="shared" si="2"/>
        <v>38996.171917443025</v>
      </c>
      <c r="AV10" s="10">
        <f t="shared" si="2"/>
        <v>39138.648350124189</v>
      </c>
      <c r="AW10" s="10">
        <f t="shared" si="2"/>
        <v>39265.206017870893</v>
      </c>
      <c r="AX10" s="10">
        <f t="shared" si="2"/>
        <v>39352.523716364332</v>
      </c>
      <c r="AY10" s="10">
        <f t="shared" si="2"/>
        <v>39408.322787801808</v>
      </c>
      <c r="AZ10" s="10">
        <f t="shared" si="2"/>
        <v>39464.200978342189</v>
      </c>
      <c r="BA10" s="10">
        <f t="shared" si="2"/>
        <v>39520.158400170709</v>
      </c>
      <c r="BB10" s="10">
        <f t="shared" si="2"/>
        <v>39576.195165631674</v>
      </c>
      <c r="BC10" s="10">
        <f t="shared" si="2"/>
        <v>39632.311387228721</v>
      </c>
      <c r="BD10" s="10">
        <f t="shared" si="2"/>
        <v>39688.507177624968</v>
      </c>
      <c r="BE10" s="10">
        <f t="shared" si="2"/>
        <v>39744.782649643297</v>
      </c>
      <c r="BF10" s="10">
        <f t="shared" si="2"/>
        <v>39801.137916266569</v>
      </c>
      <c r="BG10" s="10">
        <f t="shared" si="2"/>
        <v>39857.573090637838</v>
      </c>
    </row>
    <row r="11" spans="1:153" ht="12.75" x14ac:dyDescent="0.2">
      <c r="B11" s="101"/>
      <c r="F11" s="92"/>
      <c r="G11" s="92"/>
      <c r="L11" s="90"/>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row>
    <row r="12" spans="1:153" ht="12.75" x14ac:dyDescent="0.2">
      <c r="B12" s="101" t="s">
        <v>184</v>
      </c>
      <c r="F12" s="92"/>
      <c r="G12" s="92" t="s">
        <v>142</v>
      </c>
      <c r="J12" s="10">
        <f>J10*1000000/J8/Actividades!$F$3</f>
        <v>333.1840054180347</v>
      </c>
      <c r="K12" s="10">
        <f>K10*1000000/K8/Actividades!$F$3</f>
        <v>320.12982208151402</v>
      </c>
      <c r="L12" s="10">
        <f>L10*1000000/L8/Actividades!$F$3</f>
        <v>309.36935949353818</v>
      </c>
      <c r="M12" s="10">
        <f>M10*1000000/M8/Actividades!$F$3</f>
        <v>296.68669161983917</v>
      </c>
      <c r="N12" s="10">
        <f>N10*1000000/N8/Actividades!$F$3</f>
        <v>294.66817094530796</v>
      </c>
      <c r="O12" s="10">
        <f>O10*1000000/O8/Actividades!$F$3</f>
        <v>244.34461074129021</v>
      </c>
      <c r="P12" s="10">
        <f>P10*1000000/P8/Actividades!$F$3</f>
        <v>232.64169902601415</v>
      </c>
      <c r="Q12" s="10">
        <f>Q10*1000000/Q8/Actividades!$F$3</f>
        <v>223.72777943766383</v>
      </c>
      <c r="R12" s="10">
        <f>R10*1000000/R8/Actividades!$F$3</f>
        <v>217.29849963549313</v>
      </c>
      <c r="S12" s="10">
        <f>S10*1000000/S8/Actividades!$F$3</f>
        <v>213.13548552295572</v>
      </c>
      <c r="T12" s="10">
        <f>T10*1000000/T8/Actividades!$F$3</f>
        <v>211.09385606945523</v>
      </c>
      <c r="U12" s="10">
        <f>U10*1000000/U8/Actividades!$F$3</f>
        <v>211.09385606945523</v>
      </c>
      <c r="V12" s="10">
        <f>V10*1000000/V8/Actividades!$F$3</f>
        <v>211.09385606945523</v>
      </c>
      <c r="W12" s="10">
        <f>W10*1000000/W8/Actividades!$F$3</f>
        <v>211.09385606945523</v>
      </c>
      <c r="X12" s="10">
        <f>X10*1000000/X8/Actividades!$F$3</f>
        <v>211.09385606945523</v>
      </c>
      <c r="Y12" s="10">
        <f>Y10*1000000/Y8/Actividades!$F$3</f>
        <v>211.09385606945523</v>
      </c>
      <c r="Z12" s="10">
        <f>Z10*1000000/Z8/Actividades!$F$3</f>
        <v>211.09385606945523</v>
      </c>
      <c r="AA12" s="10">
        <f>AA10*1000000/AA8/Actividades!$F$3</f>
        <v>211.09385606945523</v>
      </c>
      <c r="AB12" s="10">
        <f>AB10*1000000/AB8/Actividades!$F$3</f>
        <v>211.09385606945526</v>
      </c>
      <c r="AC12" s="10">
        <f>AC10*1000000/AC8/Actividades!$F$3</f>
        <v>211.09385606945523</v>
      </c>
      <c r="AD12" s="10">
        <f>AD10*1000000/AD8/Actividades!$F$3</f>
        <v>211.09385606945523</v>
      </c>
      <c r="AE12" s="10">
        <f>AE10*1000000/AE8/Actividades!$F$3</f>
        <v>211.09385606945523</v>
      </c>
      <c r="AF12" s="10">
        <f>AF10*1000000/AF8/Actividades!$F$3</f>
        <v>211.09385606945523</v>
      </c>
      <c r="AG12" s="10">
        <f>AG10*1000000/AG8/Actividades!$F$3</f>
        <v>211.09385606945523</v>
      </c>
      <c r="AH12" s="10">
        <f>AH10*1000000/AH8/Actividades!$F$3</f>
        <v>211.09385606945523</v>
      </c>
      <c r="AI12" s="10">
        <f>AI10*1000000/AI8/Actividades!$F$3</f>
        <v>211.09385606945523</v>
      </c>
      <c r="AJ12" s="10">
        <f>AJ10*1000000/AJ8/Actividades!$F$3</f>
        <v>211.09385606945523</v>
      </c>
      <c r="AK12" s="10">
        <f>AK10*1000000/AK8/Actividades!$F$3</f>
        <v>211.09385606945523</v>
      </c>
      <c r="AL12" s="10">
        <f>AL10*1000000/AL8/Actividades!$F$3</f>
        <v>211.09385606945523</v>
      </c>
      <c r="AM12" s="10">
        <f>AM10*1000000/AM8/Actividades!$F$3</f>
        <v>211.09385606945523</v>
      </c>
      <c r="AN12" s="10">
        <f>AN10*1000000/AN8/Actividades!$F$3</f>
        <v>211.09385606945523</v>
      </c>
      <c r="AO12" s="10">
        <f>AO10*1000000/AO8/Actividades!$F$3</f>
        <v>211.09385606945523</v>
      </c>
      <c r="AP12" s="10">
        <f>AP10*1000000/AP8/Actividades!$F$3</f>
        <v>211.09385606945523</v>
      </c>
      <c r="AQ12" s="10">
        <f>AQ10*1000000/AQ8/Actividades!$F$3</f>
        <v>211.09385606945523</v>
      </c>
      <c r="AR12" s="10">
        <f>AR10*1000000/AR8/Actividades!$F$3</f>
        <v>211.09385606945523</v>
      </c>
      <c r="AS12" s="10">
        <f>AS10*1000000/AS8/Actividades!$F$3</f>
        <v>211.09385606945523</v>
      </c>
      <c r="AT12" s="10">
        <f>AT10*1000000/AT8/Actividades!$F$3</f>
        <v>211.09385606945523</v>
      </c>
      <c r="AU12" s="10">
        <f>AU10*1000000/AU8/Actividades!$F$3</f>
        <v>211.09385606945523</v>
      </c>
      <c r="AV12" s="10">
        <f>AV10*1000000/AV8/Actividades!$F$3</f>
        <v>211.09385606945523</v>
      </c>
      <c r="AW12" s="10">
        <f>AW10*1000000/AW8/Actividades!$F$3</f>
        <v>211.09385606945523</v>
      </c>
      <c r="AX12" s="10">
        <f>AX10*1000000/AX8/Actividades!$F$3</f>
        <v>211.09385606945523</v>
      </c>
      <c r="AY12" s="10">
        <f>AY10*1000000/AY8/Actividades!$F$3</f>
        <v>211.09385606945523</v>
      </c>
      <c r="AZ12" s="10">
        <f>AZ10*1000000/AZ8/Actividades!$F$3</f>
        <v>211.09385606945523</v>
      </c>
      <c r="BA12" s="10">
        <f>BA10*1000000/BA8/Actividades!$F$3</f>
        <v>211.09385606945523</v>
      </c>
      <c r="BB12" s="10">
        <f>BB10*1000000/BB8/Actividades!$F$3</f>
        <v>211.09385606945523</v>
      </c>
      <c r="BC12" s="10">
        <f>BC10*1000000/BC8/Actividades!$F$3</f>
        <v>211.09385606945523</v>
      </c>
      <c r="BD12" s="10">
        <f>BD10*1000000/BD8/Actividades!$F$3</f>
        <v>211.09385606945523</v>
      </c>
      <c r="BE12" s="10">
        <f>BE10*1000000/BE8/Actividades!$F$3</f>
        <v>211.09385606945523</v>
      </c>
      <c r="BF12" s="10">
        <f>BF10*1000000/BF8/Actividades!$F$3</f>
        <v>211.09385606945523</v>
      </c>
      <c r="BG12" s="10">
        <f>BG10*1000000/BG8/Actividades!$F$3</f>
        <v>211.09385606945523</v>
      </c>
      <c r="BH12" s="43" t="s">
        <v>194</v>
      </c>
    </row>
    <row r="13" spans="1:153" ht="12.75" x14ac:dyDescent="0.2">
      <c r="B13" s="94"/>
      <c r="F13" s="90"/>
      <c r="G13" s="90"/>
    </row>
    <row r="14" spans="1:153" ht="18" x14ac:dyDescent="0.25">
      <c r="A14" s="86">
        <v>2</v>
      </c>
      <c r="B14" s="87" t="s">
        <v>127</v>
      </c>
      <c r="C14" s="88"/>
      <c r="D14" s="88"/>
      <c r="E14" s="88"/>
      <c r="F14" s="91"/>
      <c r="G14" s="91"/>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c r="BY14" s="88"/>
      <c r="BZ14" s="88"/>
      <c r="CA14" s="88"/>
      <c r="CB14" s="88"/>
      <c r="CC14" s="88"/>
      <c r="CD14" s="88"/>
      <c r="CE14" s="88"/>
      <c r="CF14" s="88"/>
      <c r="CG14" s="88"/>
      <c r="CH14" s="88"/>
      <c r="CI14" s="88"/>
      <c r="CJ14" s="88"/>
      <c r="CK14" s="88"/>
      <c r="CL14" s="88"/>
      <c r="CM14" s="88"/>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88"/>
      <c r="DP14" s="88"/>
      <c r="DQ14" s="88"/>
      <c r="DR14" s="88"/>
      <c r="DS14" s="88"/>
      <c r="DT14" s="88"/>
      <c r="DU14" s="88"/>
      <c r="DV14" s="88"/>
      <c r="DW14" s="88"/>
      <c r="DX14" s="88"/>
      <c r="DY14" s="88"/>
      <c r="DZ14" s="88"/>
      <c r="EA14" s="88"/>
      <c r="EB14" s="88"/>
      <c r="EC14" s="88"/>
      <c r="ED14" s="88"/>
      <c r="EE14" s="88"/>
      <c r="EF14" s="88"/>
      <c r="EG14" s="88"/>
      <c r="EH14" s="88"/>
      <c r="EI14" s="88"/>
      <c r="EJ14" s="88"/>
      <c r="EK14" s="88"/>
      <c r="EL14" s="88"/>
      <c r="EM14" s="88"/>
      <c r="EN14" s="88"/>
      <c r="EO14" s="88"/>
      <c r="EP14" s="88"/>
      <c r="EQ14" s="88"/>
      <c r="ER14" s="88"/>
      <c r="ES14" s="88"/>
      <c r="ET14" s="88"/>
      <c r="EU14" s="88"/>
      <c r="EV14" s="88"/>
      <c r="EW14" s="88"/>
    </row>
    <row r="15" spans="1:153" s="90" customFormat="1" ht="12" customHeight="1" x14ac:dyDescent="0.2">
      <c r="A15" s="89"/>
      <c r="B15" s="95"/>
      <c r="L15" s="43"/>
      <c r="M15" s="43"/>
      <c r="N15" s="43"/>
    </row>
    <row r="16" spans="1:153" s="90" customFormat="1" ht="12.75" x14ac:dyDescent="0.2">
      <c r="A16" s="89"/>
      <c r="B16" s="93" t="s">
        <v>136</v>
      </c>
      <c r="E16" s="90" t="s">
        <v>319</v>
      </c>
      <c r="F16" s="92" t="s">
        <v>191</v>
      </c>
      <c r="G16" s="92" t="s">
        <v>126</v>
      </c>
      <c r="J16" s="12">
        <f t="shared" ref="J16:P16" si="3">J8</f>
        <v>15202560.5</v>
      </c>
      <c r="K16" s="12">
        <f t="shared" si="3"/>
        <v>14699297</v>
      </c>
      <c r="L16" s="12">
        <f t="shared" si="3"/>
        <v>14048310</v>
      </c>
      <c r="M16" s="12">
        <f t="shared" si="3"/>
        <v>13436902</v>
      </c>
      <c r="N16" s="12">
        <f t="shared" si="3"/>
        <v>12884581</v>
      </c>
      <c r="O16" s="12">
        <f t="shared" si="3"/>
        <v>12670849</v>
      </c>
      <c r="P16" s="12">
        <f t="shared" si="3"/>
        <v>12101782.175996959</v>
      </c>
      <c r="Q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row>
    <row r="17" spans="1:153" s="90" customFormat="1" x14ac:dyDescent="0.2">
      <c r="A17" s="89"/>
      <c r="F17" s="92"/>
      <c r="G17" s="92"/>
      <c r="Q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row>
    <row r="18" spans="1:153" s="90" customFormat="1" ht="12.75" x14ac:dyDescent="0.2">
      <c r="A18" s="89"/>
      <c r="B18" s="93" t="s">
        <v>137</v>
      </c>
      <c r="E18" s="90" t="s">
        <v>131</v>
      </c>
      <c r="F18" s="92" t="s">
        <v>125</v>
      </c>
      <c r="G18" s="92" t="s">
        <v>135</v>
      </c>
      <c r="J18" s="10">
        <f t="shared" ref="J18:P18" si="4">SUM(J19:J22)</f>
        <v>60783</v>
      </c>
      <c r="K18" s="10">
        <f t="shared" si="4"/>
        <v>56468.2</v>
      </c>
      <c r="L18" s="10">
        <f t="shared" si="4"/>
        <v>52153.4</v>
      </c>
      <c r="M18" s="10">
        <f t="shared" si="4"/>
        <v>47838.6</v>
      </c>
      <c r="N18" s="10">
        <f t="shared" si="4"/>
        <v>45560.111000000004</v>
      </c>
      <c r="O18" s="10">
        <f t="shared" si="4"/>
        <v>37152.643999999993</v>
      </c>
      <c r="P18" s="10">
        <f t="shared" si="4"/>
        <v>33784.550000000003</v>
      </c>
      <c r="Q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row>
    <row r="19" spans="1:153" s="90" customFormat="1" x14ac:dyDescent="0.2">
      <c r="A19" s="89"/>
      <c r="B19" s="89"/>
      <c r="C19" s="90" t="s">
        <v>132</v>
      </c>
      <c r="F19" s="92"/>
      <c r="G19" s="92" t="s">
        <v>135</v>
      </c>
      <c r="J19" s="171">
        <v>27854.053483603806</v>
      </c>
      <c r="K19" s="121">
        <f t="shared" ref="K19:L22" si="5">J19+($M19-$J19)/($M$4-$J$4)</f>
        <v>26939.412322402539</v>
      </c>
      <c r="L19" s="121">
        <f t="shared" si="5"/>
        <v>26024.771161201272</v>
      </c>
      <c r="M19" s="11">
        <v>25110.13</v>
      </c>
      <c r="N19" s="11">
        <v>23943.86</v>
      </c>
      <c r="O19" s="11">
        <v>23521.262999999999</v>
      </c>
      <c r="P19" s="11">
        <v>23076.73</v>
      </c>
      <c r="Q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row>
    <row r="20" spans="1:153" s="90" customFormat="1" x14ac:dyDescent="0.2">
      <c r="A20" s="89"/>
      <c r="B20" s="89"/>
      <c r="C20" s="90" t="s">
        <v>205</v>
      </c>
      <c r="F20" s="92"/>
      <c r="G20" s="92" t="s">
        <v>135</v>
      </c>
      <c r="J20" s="171">
        <v>12872.946516396194</v>
      </c>
      <c r="K20" s="121">
        <f t="shared" si="5"/>
        <v>12450.238677597463</v>
      </c>
      <c r="L20" s="121">
        <f t="shared" si="5"/>
        <v>12027.530838798732</v>
      </c>
      <c r="M20" s="11">
        <v>11604.823</v>
      </c>
      <c r="N20" s="11">
        <v>11359.027</v>
      </c>
      <c r="O20" s="11">
        <v>12242.641</v>
      </c>
      <c r="P20" s="11">
        <v>9503.3430000000008</v>
      </c>
      <c r="Q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row>
    <row r="21" spans="1:153" s="90" customFormat="1" ht="12.75" x14ac:dyDescent="0.2">
      <c r="A21" s="89"/>
      <c r="B21" s="93"/>
      <c r="C21" s="90" t="s">
        <v>133</v>
      </c>
      <c r="F21" s="92"/>
      <c r="G21" s="92" t="s">
        <v>135</v>
      </c>
      <c r="J21" s="11">
        <v>14650</v>
      </c>
      <c r="K21" s="121">
        <f t="shared" si="5"/>
        <v>12835.553</v>
      </c>
      <c r="L21" s="121">
        <f t="shared" si="5"/>
        <v>11021.106</v>
      </c>
      <c r="M21" s="11">
        <v>9206.6589999999997</v>
      </c>
      <c r="N21" s="11">
        <v>8653.6610000000001</v>
      </c>
      <c r="O21" s="11">
        <v>0</v>
      </c>
      <c r="P21" s="11">
        <v>0</v>
      </c>
      <c r="Q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row>
    <row r="22" spans="1:153" s="90" customFormat="1" ht="12.75" x14ac:dyDescent="0.2">
      <c r="A22" s="89"/>
      <c r="B22" s="93"/>
      <c r="C22" s="90" t="s">
        <v>134</v>
      </c>
      <c r="F22" s="92"/>
      <c r="G22" s="92" t="s">
        <v>135</v>
      </c>
      <c r="J22" s="11">
        <v>5406</v>
      </c>
      <c r="K22" s="121">
        <f>J22+($M22-$J22)/($M$4-$J$4)</f>
        <v>4242.9960000000001</v>
      </c>
      <c r="L22" s="121">
        <f t="shared" si="5"/>
        <v>3079.9920000000002</v>
      </c>
      <c r="M22" s="11">
        <v>1916.9880000000001</v>
      </c>
      <c r="N22" s="11">
        <v>1603.5630000000001</v>
      </c>
      <c r="O22" s="11">
        <v>1388.74</v>
      </c>
      <c r="P22" s="11">
        <v>1204.4770000000001</v>
      </c>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row>
    <row r="23" spans="1:153" s="90" customFormat="1" ht="12.75" x14ac:dyDescent="0.2">
      <c r="A23" s="89"/>
      <c r="B23" s="93" t="s">
        <v>130</v>
      </c>
      <c r="F23" s="92"/>
      <c r="G23" s="92" t="s">
        <v>142</v>
      </c>
      <c r="J23" s="10">
        <f t="shared" ref="J23:P23" si="6">J18/J16*1000000</f>
        <v>3998.2080650164162</v>
      </c>
      <c r="K23" s="10">
        <f t="shared" si="6"/>
        <v>3841.5578649781683</v>
      </c>
      <c r="L23" s="10">
        <f t="shared" si="6"/>
        <v>3712.432313922458</v>
      </c>
      <c r="M23" s="10">
        <f t="shared" si="6"/>
        <v>3560.24029943807</v>
      </c>
      <c r="N23" s="10">
        <f t="shared" si="6"/>
        <v>3536.0180513436953</v>
      </c>
      <c r="O23" s="10">
        <f t="shared" si="6"/>
        <v>2932.1353288954824</v>
      </c>
      <c r="P23" s="10">
        <f t="shared" si="6"/>
        <v>2791.7003883121697</v>
      </c>
      <c r="Q23" s="121">
        <f t="shared" ref="Q23:BB23" si="7">P23*(1+Q24)</f>
        <v>2684.733353251966</v>
      </c>
      <c r="R23" s="121">
        <f t="shared" si="7"/>
        <v>2607.5819956259174</v>
      </c>
      <c r="S23" s="121">
        <f t="shared" si="7"/>
        <v>2557.6258262754686</v>
      </c>
      <c r="T23" s="121">
        <f>S23*(1+T24)</f>
        <v>2533.1262728334627</v>
      </c>
      <c r="U23" s="121">
        <f>T23*(1+U24)</f>
        <v>2533.1262728334627</v>
      </c>
      <c r="V23" s="121">
        <f t="shared" si="7"/>
        <v>2533.1262728334627</v>
      </c>
      <c r="W23" s="121">
        <f t="shared" si="7"/>
        <v>2533.1262728334627</v>
      </c>
      <c r="X23" s="121">
        <f t="shared" si="7"/>
        <v>2533.1262728334627</v>
      </c>
      <c r="Y23" s="121">
        <f t="shared" si="7"/>
        <v>2533.1262728334627</v>
      </c>
      <c r="Z23" s="121">
        <f t="shared" si="7"/>
        <v>2533.1262728334627</v>
      </c>
      <c r="AA23" s="121">
        <f t="shared" si="7"/>
        <v>2533.1262728334627</v>
      </c>
      <c r="AB23" s="121">
        <f t="shared" si="7"/>
        <v>2533.1262728334627</v>
      </c>
      <c r="AC23" s="121">
        <f t="shared" si="7"/>
        <v>2533.1262728334627</v>
      </c>
      <c r="AD23" s="121">
        <f t="shared" si="7"/>
        <v>2533.1262728334627</v>
      </c>
      <c r="AE23" s="121">
        <f t="shared" si="7"/>
        <v>2533.1262728334627</v>
      </c>
      <c r="AF23" s="121">
        <f t="shared" si="7"/>
        <v>2533.1262728334627</v>
      </c>
      <c r="AG23" s="121">
        <f t="shared" si="7"/>
        <v>2533.1262728334627</v>
      </c>
      <c r="AH23" s="121">
        <f t="shared" si="7"/>
        <v>2533.1262728334627</v>
      </c>
      <c r="AI23" s="121">
        <f t="shared" si="7"/>
        <v>2533.1262728334627</v>
      </c>
      <c r="AJ23" s="121">
        <f t="shared" si="7"/>
        <v>2533.1262728334627</v>
      </c>
      <c r="AK23" s="121">
        <f t="shared" si="7"/>
        <v>2533.1262728334627</v>
      </c>
      <c r="AL23" s="121">
        <f t="shared" si="7"/>
        <v>2533.1262728334627</v>
      </c>
      <c r="AM23" s="121">
        <f t="shared" si="7"/>
        <v>2533.1262728334627</v>
      </c>
      <c r="AN23" s="121">
        <f t="shared" si="7"/>
        <v>2533.1262728334627</v>
      </c>
      <c r="AO23" s="121">
        <f t="shared" si="7"/>
        <v>2533.1262728334627</v>
      </c>
      <c r="AP23" s="121">
        <f t="shared" si="7"/>
        <v>2533.1262728334627</v>
      </c>
      <c r="AQ23" s="121">
        <f t="shared" si="7"/>
        <v>2533.1262728334627</v>
      </c>
      <c r="AR23" s="121">
        <f t="shared" si="7"/>
        <v>2533.1262728334627</v>
      </c>
      <c r="AS23" s="121">
        <f t="shared" si="7"/>
        <v>2533.1262728334627</v>
      </c>
      <c r="AT23" s="121">
        <f t="shared" si="7"/>
        <v>2533.1262728334627</v>
      </c>
      <c r="AU23" s="121">
        <f t="shared" si="7"/>
        <v>2533.1262728334627</v>
      </c>
      <c r="AV23" s="121">
        <f t="shared" si="7"/>
        <v>2533.1262728334627</v>
      </c>
      <c r="AW23" s="121">
        <f t="shared" si="7"/>
        <v>2533.1262728334627</v>
      </c>
      <c r="AX23" s="121">
        <f t="shared" si="7"/>
        <v>2533.1262728334627</v>
      </c>
      <c r="AY23" s="121">
        <f t="shared" si="7"/>
        <v>2533.1262728334627</v>
      </c>
      <c r="AZ23" s="121">
        <f t="shared" si="7"/>
        <v>2533.1262728334627</v>
      </c>
      <c r="BA23" s="121">
        <f t="shared" si="7"/>
        <v>2533.1262728334627</v>
      </c>
      <c r="BB23" s="121">
        <f t="shared" si="7"/>
        <v>2533.1262728334627</v>
      </c>
      <c r="BC23" s="121">
        <f t="shared" ref="BC23" si="8">BB23*(1+BC24)</f>
        <v>2533.1262728334627</v>
      </c>
      <c r="BD23" s="121">
        <f t="shared" ref="BD23" si="9">BC23*(1+BD24)</f>
        <v>2533.1262728334627</v>
      </c>
      <c r="BE23" s="121">
        <f t="shared" ref="BE23" si="10">BD23*(1+BE24)</f>
        <v>2533.1262728334627</v>
      </c>
      <c r="BF23" s="121">
        <f t="shared" ref="BF23" si="11">BE23*(1+BF24)</f>
        <v>2533.1262728334627</v>
      </c>
      <c r="BG23" s="121">
        <f t="shared" ref="BG23" si="12">BF23*(1+BG24)</f>
        <v>2533.1262728334627</v>
      </c>
    </row>
    <row r="24" spans="1:153" x14ac:dyDescent="0.2">
      <c r="C24" s="90" t="s">
        <v>138</v>
      </c>
      <c r="J24" s="172"/>
      <c r="K24" s="172"/>
      <c r="L24" s="172"/>
      <c r="M24" s="172"/>
      <c r="N24" s="199">
        <f>N23/M23-1</f>
        <v>-6.8035430356198079E-3</v>
      </c>
      <c r="O24" s="199">
        <f>O23/N23-1</f>
        <v>-0.17078044107233448</v>
      </c>
      <c r="P24" s="199">
        <f>P23/O23-1</f>
        <v>-4.7895108796432551E-2</v>
      </c>
      <c r="Q24" s="200">
        <f>P24+($U24-$P24)/($U$4-$P$4)</f>
        <v>-3.8316087037146042E-2</v>
      </c>
      <c r="R24" s="200">
        <f t="shared" ref="R24:T24" si="13">Q24+($U24-$P24)/($U$4-$P$4)</f>
        <v>-2.8737065277859533E-2</v>
      </c>
      <c r="S24" s="200">
        <f t="shared" si="13"/>
        <v>-1.9158043518573024E-2</v>
      </c>
      <c r="T24" s="200">
        <f t="shared" si="13"/>
        <v>-9.5790217592865139E-3</v>
      </c>
      <c r="U24" s="120">
        <v>0</v>
      </c>
      <c r="V24" s="97">
        <f t="shared" ref="V24:BB24" si="14">U24</f>
        <v>0</v>
      </c>
      <c r="W24" s="97">
        <f t="shared" si="14"/>
        <v>0</v>
      </c>
      <c r="X24" s="97">
        <f t="shared" si="14"/>
        <v>0</v>
      </c>
      <c r="Y24" s="97">
        <f t="shared" si="14"/>
        <v>0</v>
      </c>
      <c r="Z24" s="97">
        <f t="shared" si="14"/>
        <v>0</v>
      </c>
      <c r="AA24" s="97">
        <f t="shared" si="14"/>
        <v>0</v>
      </c>
      <c r="AB24" s="97">
        <f t="shared" si="14"/>
        <v>0</v>
      </c>
      <c r="AC24" s="97">
        <f t="shared" si="14"/>
        <v>0</v>
      </c>
      <c r="AD24" s="97">
        <f t="shared" si="14"/>
        <v>0</v>
      </c>
      <c r="AE24" s="97">
        <f t="shared" si="14"/>
        <v>0</v>
      </c>
      <c r="AF24" s="97">
        <f t="shared" si="14"/>
        <v>0</v>
      </c>
      <c r="AG24" s="97">
        <f t="shared" si="14"/>
        <v>0</v>
      </c>
      <c r="AH24" s="97">
        <f t="shared" si="14"/>
        <v>0</v>
      </c>
      <c r="AI24" s="97">
        <f t="shared" si="14"/>
        <v>0</v>
      </c>
      <c r="AJ24" s="97">
        <f t="shared" si="14"/>
        <v>0</v>
      </c>
      <c r="AK24" s="97">
        <f t="shared" si="14"/>
        <v>0</v>
      </c>
      <c r="AL24" s="97">
        <f t="shared" si="14"/>
        <v>0</v>
      </c>
      <c r="AM24" s="97">
        <f t="shared" si="14"/>
        <v>0</v>
      </c>
      <c r="AN24" s="97">
        <f t="shared" si="14"/>
        <v>0</v>
      </c>
      <c r="AO24" s="97">
        <f t="shared" si="14"/>
        <v>0</v>
      </c>
      <c r="AP24" s="97">
        <f t="shared" si="14"/>
        <v>0</v>
      </c>
      <c r="AQ24" s="97">
        <f t="shared" si="14"/>
        <v>0</v>
      </c>
      <c r="AR24" s="97">
        <f t="shared" si="14"/>
        <v>0</v>
      </c>
      <c r="AS24" s="97">
        <f t="shared" si="14"/>
        <v>0</v>
      </c>
      <c r="AT24" s="97">
        <f t="shared" si="14"/>
        <v>0</v>
      </c>
      <c r="AU24" s="97">
        <f t="shared" si="14"/>
        <v>0</v>
      </c>
      <c r="AV24" s="97">
        <f t="shared" si="14"/>
        <v>0</v>
      </c>
      <c r="AW24" s="97">
        <f t="shared" si="14"/>
        <v>0</v>
      </c>
      <c r="AX24" s="97">
        <f t="shared" si="14"/>
        <v>0</v>
      </c>
      <c r="AY24" s="97">
        <f t="shared" si="14"/>
        <v>0</v>
      </c>
      <c r="AZ24" s="97">
        <f t="shared" si="14"/>
        <v>0</v>
      </c>
      <c r="BA24" s="97">
        <f t="shared" si="14"/>
        <v>0</v>
      </c>
      <c r="BB24" s="97">
        <f t="shared" si="14"/>
        <v>0</v>
      </c>
      <c r="BC24" s="97">
        <f t="shared" ref="BC24" si="15">BB24</f>
        <v>0</v>
      </c>
      <c r="BD24" s="97">
        <f t="shared" ref="BD24" si="16">BC24</f>
        <v>0</v>
      </c>
      <c r="BE24" s="97">
        <f t="shared" ref="BE24" si="17">BD24</f>
        <v>0</v>
      </c>
      <c r="BF24" s="97">
        <f t="shared" ref="BF24" si="18">BE24</f>
        <v>0</v>
      </c>
      <c r="BG24" s="97">
        <f t="shared" ref="BG24" si="19">BF24</f>
        <v>0</v>
      </c>
    </row>
    <row r="25" spans="1:153" x14ac:dyDescent="0.2">
      <c r="P25" s="196"/>
    </row>
    <row r="26" spans="1:153" ht="18" x14ac:dyDescent="0.25">
      <c r="A26" s="86">
        <v>3</v>
      </c>
      <c r="B26" s="87" t="s">
        <v>172</v>
      </c>
      <c r="C26" s="88"/>
      <c r="D26" s="88"/>
      <c r="E26" s="88"/>
      <c r="F26" s="91"/>
      <c r="G26" s="91"/>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88"/>
      <c r="BC26" s="88"/>
      <c r="BD26" s="88"/>
      <c r="BE26" s="88"/>
      <c r="BF26" s="88"/>
      <c r="BG26" s="88"/>
      <c r="BH26" s="88"/>
      <c r="BI26" s="88"/>
      <c r="BJ26" s="88"/>
      <c r="BK26" s="88"/>
      <c r="BL26" s="88"/>
      <c r="BM26" s="88"/>
      <c r="BN26" s="88"/>
      <c r="BO26" s="88"/>
      <c r="BP26" s="88"/>
      <c r="BQ26" s="88"/>
      <c r="BR26" s="88"/>
      <c r="BS26" s="88"/>
      <c r="BT26" s="88"/>
      <c r="BU26" s="88"/>
      <c r="BV26" s="88"/>
      <c r="BW26" s="88"/>
      <c r="BX26" s="88"/>
      <c r="BY26" s="88"/>
      <c r="BZ26" s="88"/>
      <c r="CA26" s="88"/>
      <c r="CB26" s="88"/>
      <c r="CC26" s="88"/>
      <c r="CD26" s="88"/>
      <c r="CE26" s="88"/>
      <c r="CF26" s="88"/>
      <c r="CG26" s="88"/>
      <c r="CH26" s="88"/>
      <c r="CI26" s="88"/>
      <c r="CJ26" s="88"/>
      <c r="CK26" s="88"/>
      <c r="CL26" s="88"/>
      <c r="CM26" s="88"/>
      <c r="CN26" s="88"/>
      <c r="CO26" s="88"/>
      <c r="CP26" s="88"/>
      <c r="CQ26" s="88"/>
      <c r="CR26" s="88"/>
      <c r="CS26" s="88"/>
      <c r="CT26" s="88"/>
      <c r="CU26" s="88"/>
      <c r="CV26" s="88"/>
      <c r="CW26" s="88"/>
      <c r="CX26" s="88"/>
      <c r="CY26" s="88"/>
      <c r="CZ26" s="88"/>
      <c r="DA26" s="88"/>
      <c r="DB26" s="88"/>
      <c r="DC26" s="88"/>
      <c r="DD26" s="88"/>
      <c r="DE26" s="88"/>
      <c r="DF26" s="88"/>
      <c r="DG26" s="88"/>
      <c r="DH26" s="88"/>
      <c r="DI26" s="88"/>
      <c r="DJ26" s="88"/>
      <c r="DK26" s="88"/>
      <c r="DL26" s="88"/>
      <c r="DM26" s="88"/>
      <c r="DN26" s="88"/>
      <c r="DO26" s="88"/>
      <c r="DP26" s="88"/>
      <c r="DQ26" s="88"/>
      <c r="DR26" s="88"/>
      <c r="DS26" s="88"/>
      <c r="DT26" s="88"/>
      <c r="DU26" s="88"/>
      <c r="DV26" s="88"/>
      <c r="DW26" s="88"/>
      <c r="DX26" s="88"/>
      <c r="DY26" s="88"/>
      <c r="DZ26" s="88"/>
      <c r="EA26" s="88"/>
      <c r="EB26" s="88"/>
      <c r="EC26" s="88"/>
      <c r="ED26" s="88"/>
      <c r="EE26" s="88"/>
      <c r="EF26" s="88"/>
      <c r="EG26" s="88"/>
      <c r="EH26" s="88"/>
      <c r="EI26" s="88"/>
      <c r="EJ26" s="88"/>
      <c r="EK26" s="88"/>
      <c r="EL26" s="88"/>
      <c r="EM26" s="88"/>
      <c r="EN26" s="88"/>
      <c r="EO26" s="88"/>
      <c r="EP26" s="88"/>
      <c r="EQ26" s="88"/>
      <c r="ER26" s="88"/>
      <c r="ES26" s="88"/>
      <c r="ET26" s="88"/>
      <c r="EU26" s="88"/>
      <c r="EV26" s="88"/>
      <c r="EW26" s="88"/>
    </row>
    <row r="27" spans="1:153" s="90" customFormat="1" ht="12" customHeight="1" x14ac:dyDescent="0.2">
      <c r="A27" s="89"/>
    </row>
    <row r="28" spans="1:153" s="96" customFormat="1" x14ac:dyDescent="0.2">
      <c r="A28" s="197"/>
      <c r="B28" s="96" t="s">
        <v>298</v>
      </c>
      <c r="F28" s="96" t="s">
        <v>173</v>
      </c>
      <c r="G28" s="114">
        <v>8.8499999999999995E-2</v>
      </c>
      <c r="H28" s="112"/>
      <c r="I28" s="112"/>
      <c r="J28" s="115">
        <f t="shared" ref="J28:BG28" si="20">$G$28</f>
        <v>8.8499999999999995E-2</v>
      </c>
      <c r="K28" s="115">
        <f t="shared" si="20"/>
        <v>8.8499999999999995E-2</v>
      </c>
      <c r="L28" s="115">
        <f t="shared" si="20"/>
        <v>8.8499999999999995E-2</v>
      </c>
      <c r="M28" s="115">
        <f t="shared" si="20"/>
        <v>8.8499999999999995E-2</v>
      </c>
      <c r="N28" s="115">
        <f t="shared" si="20"/>
        <v>8.8499999999999995E-2</v>
      </c>
      <c r="O28" s="115">
        <f>$G$28</f>
        <v>8.8499999999999995E-2</v>
      </c>
      <c r="P28" s="115">
        <f t="shared" si="20"/>
        <v>8.8499999999999995E-2</v>
      </c>
      <c r="Q28" s="115">
        <f t="shared" si="20"/>
        <v>8.8499999999999995E-2</v>
      </c>
      <c r="R28" s="115">
        <f t="shared" si="20"/>
        <v>8.8499999999999995E-2</v>
      </c>
      <c r="S28" s="115">
        <f t="shared" si="20"/>
        <v>8.8499999999999995E-2</v>
      </c>
      <c r="T28" s="115">
        <f t="shared" si="20"/>
        <v>8.8499999999999995E-2</v>
      </c>
      <c r="U28" s="115">
        <f t="shared" si="20"/>
        <v>8.8499999999999995E-2</v>
      </c>
      <c r="V28" s="115">
        <f t="shared" si="20"/>
        <v>8.8499999999999995E-2</v>
      </c>
      <c r="W28" s="115">
        <f t="shared" si="20"/>
        <v>8.8499999999999995E-2</v>
      </c>
      <c r="X28" s="115">
        <f t="shared" si="20"/>
        <v>8.8499999999999995E-2</v>
      </c>
      <c r="Y28" s="115">
        <f t="shared" si="20"/>
        <v>8.8499999999999995E-2</v>
      </c>
      <c r="Z28" s="115">
        <f t="shared" si="20"/>
        <v>8.8499999999999995E-2</v>
      </c>
      <c r="AA28" s="115">
        <f t="shared" si="20"/>
        <v>8.8499999999999995E-2</v>
      </c>
      <c r="AB28" s="115">
        <f t="shared" si="20"/>
        <v>8.8499999999999995E-2</v>
      </c>
      <c r="AC28" s="115">
        <f t="shared" si="20"/>
        <v>8.8499999999999995E-2</v>
      </c>
      <c r="AD28" s="115">
        <f t="shared" si="20"/>
        <v>8.8499999999999995E-2</v>
      </c>
      <c r="AE28" s="115">
        <f t="shared" si="20"/>
        <v>8.8499999999999995E-2</v>
      </c>
      <c r="AF28" s="115">
        <f t="shared" si="20"/>
        <v>8.8499999999999995E-2</v>
      </c>
      <c r="AG28" s="115">
        <f t="shared" si="20"/>
        <v>8.8499999999999995E-2</v>
      </c>
      <c r="AH28" s="115">
        <f t="shared" si="20"/>
        <v>8.8499999999999995E-2</v>
      </c>
      <c r="AI28" s="115">
        <f t="shared" si="20"/>
        <v>8.8499999999999995E-2</v>
      </c>
      <c r="AJ28" s="115">
        <f t="shared" si="20"/>
        <v>8.8499999999999995E-2</v>
      </c>
      <c r="AK28" s="115">
        <f t="shared" si="20"/>
        <v>8.8499999999999995E-2</v>
      </c>
      <c r="AL28" s="115">
        <f t="shared" si="20"/>
        <v>8.8499999999999995E-2</v>
      </c>
      <c r="AM28" s="115">
        <f t="shared" si="20"/>
        <v>8.8499999999999995E-2</v>
      </c>
      <c r="AN28" s="115">
        <f t="shared" si="20"/>
        <v>8.8499999999999995E-2</v>
      </c>
      <c r="AO28" s="115">
        <f t="shared" si="20"/>
        <v>8.8499999999999995E-2</v>
      </c>
      <c r="AP28" s="115">
        <f t="shared" si="20"/>
        <v>8.8499999999999995E-2</v>
      </c>
      <c r="AQ28" s="115">
        <f t="shared" si="20"/>
        <v>8.8499999999999995E-2</v>
      </c>
      <c r="AR28" s="115">
        <f t="shared" si="20"/>
        <v>8.8499999999999995E-2</v>
      </c>
      <c r="AS28" s="115">
        <f t="shared" si="20"/>
        <v>8.8499999999999995E-2</v>
      </c>
      <c r="AT28" s="115">
        <f t="shared" si="20"/>
        <v>8.8499999999999995E-2</v>
      </c>
      <c r="AU28" s="115">
        <f t="shared" si="20"/>
        <v>8.8499999999999995E-2</v>
      </c>
      <c r="AV28" s="115">
        <f t="shared" si="20"/>
        <v>8.8499999999999995E-2</v>
      </c>
      <c r="AW28" s="115">
        <f t="shared" si="20"/>
        <v>8.8499999999999995E-2</v>
      </c>
      <c r="AX28" s="115">
        <f t="shared" si="20"/>
        <v>8.8499999999999995E-2</v>
      </c>
      <c r="AY28" s="115">
        <f t="shared" si="20"/>
        <v>8.8499999999999995E-2</v>
      </c>
      <c r="AZ28" s="115">
        <f t="shared" si="20"/>
        <v>8.8499999999999995E-2</v>
      </c>
      <c r="BA28" s="115">
        <f t="shared" si="20"/>
        <v>8.8499999999999995E-2</v>
      </c>
      <c r="BB28" s="115">
        <f t="shared" si="20"/>
        <v>8.8499999999999995E-2</v>
      </c>
      <c r="BC28" s="115">
        <f t="shared" si="20"/>
        <v>8.8499999999999995E-2</v>
      </c>
      <c r="BD28" s="115">
        <f t="shared" si="20"/>
        <v>8.8499999999999995E-2</v>
      </c>
      <c r="BE28" s="115">
        <f t="shared" si="20"/>
        <v>8.8499999999999995E-2</v>
      </c>
      <c r="BF28" s="115">
        <f t="shared" si="20"/>
        <v>8.8499999999999995E-2</v>
      </c>
      <c r="BG28" s="115">
        <f t="shared" si="20"/>
        <v>8.8499999999999995E-2</v>
      </c>
    </row>
    <row r="29" spans="1:153" s="99" customFormat="1" x14ac:dyDescent="0.2">
      <c r="B29" s="99" t="s">
        <v>299</v>
      </c>
      <c r="J29" s="122">
        <f>K29/(1+K28)</f>
        <v>0.65442191310222642</v>
      </c>
      <c r="K29" s="122">
        <f>L29/(1+L28)</f>
        <v>0.71233825241177351</v>
      </c>
      <c r="L29" s="122">
        <f>M29/(1+M28)</f>
        <v>0.77538018775021544</v>
      </c>
      <c r="M29" s="122">
        <f>N29/(1+N28)</f>
        <v>0.84400133436610958</v>
      </c>
      <c r="N29" s="122">
        <f>O29/(1+O28)</f>
        <v>0.91869545245751028</v>
      </c>
      <c r="O29" s="117">
        <v>1</v>
      </c>
      <c r="P29" s="122">
        <f t="shared" ref="P29:BB29" si="21">(1+P28)*O29</f>
        <v>1.0885</v>
      </c>
      <c r="Q29" s="122">
        <f t="shared" si="21"/>
        <v>1.1848322500000001</v>
      </c>
      <c r="R29" s="122">
        <f t="shared" si="21"/>
        <v>1.2896899041250003</v>
      </c>
      <c r="S29" s="122">
        <f t="shared" si="21"/>
        <v>1.4038274606400629</v>
      </c>
      <c r="T29" s="122">
        <f t="shared" si="21"/>
        <v>1.5280661909067086</v>
      </c>
      <c r="U29" s="122">
        <f t="shared" si="21"/>
        <v>1.6633000488019523</v>
      </c>
      <c r="V29" s="122">
        <f t="shared" si="21"/>
        <v>1.810502103120925</v>
      </c>
      <c r="W29" s="122">
        <f t="shared" si="21"/>
        <v>1.970731539247127</v>
      </c>
      <c r="X29" s="122">
        <f t="shared" si="21"/>
        <v>2.1451412804704977</v>
      </c>
      <c r="Y29" s="122">
        <f t="shared" si="21"/>
        <v>2.3349862837921367</v>
      </c>
      <c r="Z29" s="122">
        <f t="shared" si="21"/>
        <v>2.5416325699077409</v>
      </c>
      <c r="AA29" s="122">
        <f t="shared" si="21"/>
        <v>2.766567052344576</v>
      </c>
      <c r="AB29" s="122">
        <f t="shared" si="21"/>
        <v>3.0114082364770711</v>
      </c>
      <c r="AC29" s="122">
        <f t="shared" si="21"/>
        <v>3.2779178654052918</v>
      </c>
      <c r="AD29" s="122">
        <f t="shared" si="21"/>
        <v>3.5680135964936603</v>
      </c>
      <c r="AE29" s="122">
        <f t="shared" si="21"/>
        <v>3.8837827997833494</v>
      </c>
      <c r="AF29" s="122">
        <f t="shared" si="21"/>
        <v>4.2274975775641757</v>
      </c>
      <c r="AG29" s="122">
        <f t="shared" si="21"/>
        <v>4.6016311131786054</v>
      </c>
      <c r="AH29" s="122">
        <f t="shared" si="21"/>
        <v>5.0088754666949118</v>
      </c>
      <c r="AI29" s="122">
        <f t="shared" si="21"/>
        <v>5.452160945497412</v>
      </c>
      <c r="AJ29" s="122">
        <f t="shared" si="21"/>
        <v>5.9346771891739332</v>
      </c>
      <c r="AK29" s="122">
        <f t="shared" si="21"/>
        <v>6.4598961204158263</v>
      </c>
      <c r="AL29" s="122">
        <f t="shared" si="21"/>
        <v>7.0315969270726271</v>
      </c>
      <c r="AM29" s="122">
        <f t="shared" si="21"/>
        <v>7.6538932551185548</v>
      </c>
      <c r="AN29" s="122">
        <f t="shared" si="21"/>
        <v>8.3312628081965467</v>
      </c>
      <c r="AO29" s="122">
        <f t="shared" si="21"/>
        <v>9.068579566721942</v>
      </c>
      <c r="AP29" s="122">
        <f t="shared" si="21"/>
        <v>9.8711488583768343</v>
      </c>
      <c r="AQ29" s="122">
        <f t="shared" si="21"/>
        <v>10.744745532343185</v>
      </c>
      <c r="AR29" s="122">
        <f t="shared" si="21"/>
        <v>11.695655511955557</v>
      </c>
      <c r="AS29" s="122">
        <f t="shared" si="21"/>
        <v>12.730721024763625</v>
      </c>
      <c r="AT29" s="122">
        <f t="shared" si="21"/>
        <v>13.857389835455207</v>
      </c>
      <c r="AU29" s="122">
        <f t="shared" si="21"/>
        <v>15.083768835892993</v>
      </c>
      <c r="AV29" s="122">
        <f t="shared" si="21"/>
        <v>16.418682377869523</v>
      </c>
      <c r="AW29" s="122">
        <f t="shared" si="21"/>
        <v>17.871735768310977</v>
      </c>
      <c r="AX29" s="122">
        <f t="shared" si="21"/>
        <v>19.453384383806497</v>
      </c>
      <c r="AY29" s="122">
        <f t="shared" si="21"/>
        <v>21.175008901773374</v>
      </c>
      <c r="AZ29" s="122">
        <f t="shared" si="21"/>
        <v>23.048997189580319</v>
      </c>
      <c r="BA29" s="122">
        <f t="shared" si="21"/>
        <v>25.088833440858178</v>
      </c>
      <c r="BB29" s="122">
        <f t="shared" si="21"/>
        <v>27.309195200374127</v>
      </c>
      <c r="BC29" s="122">
        <f t="shared" ref="BC29" si="22">(1+BC28)*BB29</f>
        <v>29.726058975607238</v>
      </c>
      <c r="BD29" s="122">
        <f t="shared" ref="BD29" si="23">(1+BD28)*BC29</f>
        <v>32.356815194948481</v>
      </c>
      <c r="BE29" s="122">
        <f t="shared" ref="BE29" si="24">(1+BE28)*BD29</f>
        <v>35.220393339701424</v>
      </c>
      <c r="BF29" s="122">
        <f t="shared" ref="BF29" si="25">(1+BF28)*BE29</f>
        <v>38.337398150265003</v>
      </c>
      <c r="BG29" s="122">
        <f t="shared" ref="BG29" si="26">(1+BG28)*BF29</f>
        <v>41.730257886563457</v>
      </c>
    </row>
    <row r="30" spans="1:153" s="99" customFormat="1" x14ac:dyDescent="0.2">
      <c r="B30" s="99" t="s">
        <v>300</v>
      </c>
      <c r="J30" s="122">
        <f t="shared" ref="J30:BB30" si="27">1/J29</f>
        <v>1.5280661909067084</v>
      </c>
      <c r="K30" s="122">
        <f t="shared" si="27"/>
        <v>1.4038274606400627</v>
      </c>
      <c r="L30" s="122">
        <f t="shared" si="27"/>
        <v>1.2896899041250003</v>
      </c>
      <c r="M30" s="122">
        <f t="shared" si="27"/>
        <v>1.1848322500000001</v>
      </c>
      <c r="N30" s="122">
        <f t="shared" si="27"/>
        <v>1.0885</v>
      </c>
      <c r="O30" s="122">
        <f>1/O29</f>
        <v>1</v>
      </c>
      <c r="P30" s="122">
        <f t="shared" si="27"/>
        <v>0.91869545245751028</v>
      </c>
      <c r="Q30" s="122">
        <f t="shared" si="27"/>
        <v>0.84400133436610958</v>
      </c>
      <c r="R30" s="122">
        <f t="shared" si="27"/>
        <v>0.77538018775021533</v>
      </c>
      <c r="S30" s="122">
        <f t="shared" si="27"/>
        <v>0.7123382524117734</v>
      </c>
      <c r="T30" s="122">
        <f t="shared" si="27"/>
        <v>0.6544219131022263</v>
      </c>
      <c r="U30" s="122">
        <f t="shared" si="27"/>
        <v>0.60121443555555931</v>
      </c>
      <c r="V30" s="122">
        <f t="shared" si="27"/>
        <v>0.55233296789670128</v>
      </c>
      <c r="W30" s="122">
        <f t="shared" si="27"/>
        <v>0.50742578584905951</v>
      </c>
      <c r="X30" s="122">
        <f t="shared" si="27"/>
        <v>0.46616976191920945</v>
      </c>
      <c r="Y30" s="122">
        <f t="shared" si="27"/>
        <v>0.42826804034837801</v>
      </c>
      <c r="Z30" s="122">
        <f t="shared" si="27"/>
        <v>0.39344790110094441</v>
      </c>
      <c r="AA30" s="122">
        <f t="shared" si="27"/>
        <v>0.3614587975203899</v>
      </c>
      <c r="AB30" s="122">
        <f t="shared" si="27"/>
        <v>0.33207055353274217</v>
      </c>
      <c r="AC30" s="122">
        <f t="shared" si="27"/>
        <v>0.30507170742557849</v>
      </c>
      <c r="AD30" s="122">
        <f t="shared" si="27"/>
        <v>0.28026799028532706</v>
      </c>
      <c r="AE30" s="122">
        <f t="shared" si="27"/>
        <v>0.25748092814453566</v>
      </c>
      <c r="AF30" s="122">
        <f t="shared" si="27"/>
        <v>0.23654655778092387</v>
      </c>
      <c r="AG30" s="122">
        <f t="shared" si="27"/>
        <v>0.21731424692781245</v>
      </c>
      <c r="AH30" s="122">
        <f t="shared" si="27"/>
        <v>0.19964561040680981</v>
      </c>
      <c r="AI30" s="122">
        <f t="shared" si="27"/>
        <v>0.18341351438383996</v>
      </c>
      <c r="AJ30" s="122">
        <f t="shared" si="27"/>
        <v>0.16850116158368392</v>
      </c>
      <c r="AK30" s="122">
        <f t="shared" si="27"/>
        <v>0.15480125088073857</v>
      </c>
      <c r="AL30" s="122">
        <f t="shared" si="27"/>
        <v>0.14221520521886868</v>
      </c>
      <c r="AM30" s="122">
        <f t="shared" si="27"/>
        <v>0.13065246230488622</v>
      </c>
      <c r="AN30" s="122">
        <f t="shared" si="27"/>
        <v>0.12002982297187528</v>
      </c>
      <c r="AO30" s="122">
        <f t="shared" si="27"/>
        <v>0.11027085252354181</v>
      </c>
      <c r="AP30" s="122">
        <f t="shared" si="27"/>
        <v>0.10130533075199064</v>
      </c>
      <c r="AQ30" s="122">
        <f t="shared" si="27"/>
        <v>9.3068746671557775E-2</v>
      </c>
      <c r="AR30" s="122">
        <f t="shared" si="27"/>
        <v>8.5501834333080173E-2</v>
      </c>
      <c r="AS30" s="122">
        <f t="shared" si="27"/>
        <v>7.8550146378576172E-2</v>
      </c>
      <c r="AT30" s="122">
        <f t="shared" si="27"/>
        <v>7.2163662267869702E-2</v>
      </c>
      <c r="AU30" s="122">
        <f t="shared" si="27"/>
        <v>6.6296428358171511E-2</v>
      </c>
      <c r="AV30" s="122">
        <f t="shared" si="27"/>
        <v>6.0906227246827302E-2</v>
      </c>
      <c r="AW30" s="122">
        <f t="shared" si="27"/>
        <v>5.5954273998003949E-2</v>
      </c>
      <c r="AX30" s="122">
        <f t="shared" si="27"/>
        <v>5.1404937067527745E-2</v>
      </c>
      <c r="AY30" s="122">
        <f t="shared" si="27"/>
        <v>4.7225481917802244E-2</v>
      </c>
      <c r="AZ30" s="122">
        <f t="shared" si="27"/>
        <v>4.3385835477999297E-2</v>
      </c>
      <c r="BA30" s="122">
        <f t="shared" si="27"/>
        <v>3.9858369754707669E-2</v>
      </c>
      <c r="BB30" s="122">
        <f t="shared" si="27"/>
        <v>3.6617703036019911E-2</v>
      </c>
      <c r="BC30" s="122">
        <f t="shared" ref="BC30:BG30" si="28">1/BC29</f>
        <v>3.3640517258631063E-2</v>
      </c>
      <c r="BD30" s="122">
        <f t="shared" si="28"/>
        <v>3.0905390223822743E-2</v>
      </c>
      <c r="BE30" s="122">
        <f t="shared" si="28"/>
        <v>2.839264145505075E-2</v>
      </c>
      <c r="BF30" s="122">
        <f t="shared" si="28"/>
        <v>2.6084190588011712E-2</v>
      </c>
      <c r="BG30" s="122">
        <f t="shared" si="28"/>
        <v>2.3963427274241351E-2</v>
      </c>
      <c r="BH30" s="40" t="s">
        <v>262</v>
      </c>
    </row>
    <row r="31" spans="1:153" x14ac:dyDescent="0.2">
      <c r="F31" s="99"/>
      <c r="G31" s="99"/>
      <c r="H31" s="99"/>
      <c r="I31" s="99"/>
      <c r="J31" s="99"/>
      <c r="K31" s="99"/>
      <c r="O31" s="103"/>
    </row>
    <row r="32" spans="1:153" x14ac:dyDescent="0.2">
      <c r="F32" s="99"/>
      <c r="G32" s="99"/>
      <c r="H32" s="99"/>
      <c r="I32" s="99"/>
      <c r="J32" s="99"/>
      <c r="K32" s="99"/>
      <c r="L32" s="99"/>
    </row>
  </sheetData>
  <phoneticPr fontId="0" type="noConversion"/>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3" tint="0.89999084444715716"/>
    <pageSetUpPr autoPageBreaks="0"/>
  </sheetPr>
  <dimension ref="A1:Q137"/>
  <sheetViews>
    <sheetView showGridLines="0" defaultGridColor="0" colorId="22" zoomScale="80" zoomScaleNormal="80" workbookViewId="0">
      <pane ySplit="5" topLeftCell="A6" activePane="bottomLeft" state="frozen"/>
      <selection pane="bottomLeft" activeCell="Q12" sqref="Q12"/>
    </sheetView>
  </sheetViews>
  <sheetFormatPr baseColWidth="10" defaultColWidth="12.7109375" defaultRowHeight="12" x14ac:dyDescent="0.2"/>
  <cols>
    <col min="1" max="1" width="6.7109375" customWidth="1"/>
    <col min="2" max="2" width="5.140625" customWidth="1"/>
    <col min="3" max="3" width="6.140625" customWidth="1"/>
    <col min="4" max="4" width="7" customWidth="1"/>
    <col min="5" max="5" width="26.42578125" customWidth="1"/>
    <col min="6" max="6" width="9.42578125" customWidth="1"/>
    <col min="7" max="7" width="11.7109375" customWidth="1"/>
    <col min="8" max="8" width="14.42578125" bestFit="1" customWidth="1"/>
  </cols>
  <sheetData>
    <row r="1" spans="2:14" s="78" customFormat="1" ht="33.75" customHeight="1" x14ac:dyDescent="0.2">
      <c r="D1" s="79" t="s">
        <v>120</v>
      </c>
      <c r="N1" s="78" t="s">
        <v>104</v>
      </c>
    </row>
    <row r="3" spans="2:14" x14ac:dyDescent="0.2">
      <c r="B3" t="s">
        <v>179</v>
      </c>
      <c r="F3" s="98">
        <v>12</v>
      </c>
      <c r="G3" s="43" t="s">
        <v>260</v>
      </c>
    </row>
    <row r="5" spans="2:14" ht="15.75" x14ac:dyDescent="0.2">
      <c r="B5" s="189" t="s">
        <v>148</v>
      </c>
      <c r="C5" s="83"/>
      <c r="D5" s="84"/>
      <c r="E5" s="84"/>
      <c r="F5" s="85" t="s">
        <v>129</v>
      </c>
      <c r="G5" s="85" t="s">
        <v>124</v>
      </c>
      <c r="H5" s="85" t="s">
        <v>150</v>
      </c>
      <c r="I5" s="85" t="s">
        <v>147</v>
      </c>
      <c r="J5" s="85" t="s">
        <v>151</v>
      </c>
      <c r="K5" s="85" t="s">
        <v>152</v>
      </c>
    </row>
    <row r="7" spans="2:14" ht="15" x14ac:dyDescent="0.2">
      <c r="B7" s="102" t="s">
        <v>144</v>
      </c>
      <c r="J7" s="43" t="s">
        <v>275</v>
      </c>
    </row>
    <row r="8" spans="2:14" x14ac:dyDescent="0.2">
      <c r="C8" t="s">
        <v>157</v>
      </c>
      <c r="G8" t="s">
        <v>142</v>
      </c>
      <c r="H8" s="174">
        <v>20000000</v>
      </c>
      <c r="I8" s="43" t="s">
        <v>277</v>
      </c>
      <c r="J8" s="107">
        <v>15000000</v>
      </c>
      <c r="K8" t="s">
        <v>165</v>
      </c>
    </row>
    <row r="9" spans="2:14" x14ac:dyDescent="0.2">
      <c r="C9" t="s">
        <v>257</v>
      </c>
      <c r="G9" t="s">
        <v>258</v>
      </c>
      <c r="H9" s="170">
        <v>10</v>
      </c>
      <c r="I9" s="43" t="s">
        <v>284</v>
      </c>
    </row>
    <row r="10" spans="2:14" x14ac:dyDescent="0.2">
      <c r="C10" t="s">
        <v>259</v>
      </c>
      <c r="G10" t="s">
        <v>143</v>
      </c>
      <c r="H10" s="139">
        <v>0.7</v>
      </c>
      <c r="I10" s="43" t="s">
        <v>278</v>
      </c>
    </row>
    <row r="11" spans="2:14" x14ac:dyDescent="0.2">
      <c r="C11" t="s">
        <v>263</v>
      </c>
      <c r="G11" t="s">
        <v>143</v>
      </c>
      <c r="H11" s="139">
        <v>0.12</v>
      </c>
      <c r="I11" s="193" t="s">
        <v>279</v>
      </c>
    </row>
    <row r="13" spans="2:14" ht="15" x14ac:dyDescent="0.2">
      <c r="B13" s="102" t="s">
        <v>156</v>
      </c>
      <c r="J13" s="43" t="s">
        <v>276</v>
      </c>
    </row>
    <row r="14" spans="2:14" ht="12" customHeight="1" x14ac:dyDescent="0.2">
      <c r="C14" t="s">
        <v>163</v>
      </c>
      <c r="G14" t="s">
        <v>142</v>
      </c>
      <c r="H14" s="107">
        <v>60000000</v>
      </c>
      <c r="I14" s="43" t="s">
        <v>280</v>
      </c>
      <c r="J14" s="107">
        <v>15000000</v>
      </c>
      <c r="K14" t="s">
        <v>165</v>
      </c>
      <c r="L14" s="3"/>
      <c r="N14" s="3"/>
    </row>
    <row r="15" spans="2:14" x14ac:dyDescent="0.2">
      <c r="C15" t="s">
        <v>257</v>
      </c>
      <c r="G15" t="s">
        <v>258</v>
      </c>
      <c r="H15" s="170">
        <v>10</v>
      </c>
      <c r="I15" s="43" t="s">
        <v>285</v>
      </c>
    </row>
    <row r="16" spans="2:14" x14ac:dyDescent="0.2">
      <c r="C16" t="s">
        <v>259</v>
      </c>
      <c r="G16" t="s">
        <v>143</v>
      </c>
      <c r="H16" s="139">
        <v>0.7</v>
      </c>
      <c r="I16" s="43" t="s">
        <v>281</v>
      </c>
    </row>
    <row r="17" spans="2:11" x14ac:dyDescent="0.2">
      <c r="C17" t="s">
        <v>263</v>
      </c>
      <c r="G17" t="s">
        <v>143</v>
      </c>
      <c r="H17" s="139">
        <v>0.12</v>
      </c>
      <c r="I17" s="193" t="s">
        <v>282</v>
      </c>
    </row>
    <row r="19" spans="2:11" ht="15" x14ac:dyDescent="0.2">
      <c r="B19" s="102" t="s">
        <v>146</v>
      </c>
    </row>
    <row r="21" spans="2:11" x14ac:dyDescent="0.2">
      <c r="C21" t="s">
        <v>254</v>
      </c>
      <c r="G21" t="s">
        <v>142</v>
      </c>
      <c r="H21" s="137">
        <v>2.23</v>
      </c>
      <c r="I21" s="193" t="s">
        <v>283</v>
      </c>
      <c r="K21" s="166" t="s">
        <v>271</v>
      </c>
    </row>
    <row r="22" spans="2:11" x14ac:dyDescent="0.2">
      <c r="K22" s="104" t="s">
        <v>206</v>
      </c>
    </row>
    <row r="23" spans="2:11" ht="15" x14ac:dyDescent="0.2">
      <c r="B23" s="102" t="s">
        <v>149</v>
      </c>
    </row>
    <row r="25" spans="2:11" x14ac:dyDescent="0.2">
      <c r="C25" s="100" t="s">
        <v>229</v>
      </c>
    </row>
    <row r="27" spans="2:11" x14ac:dyDescent="0.2">
      <c r="F27" s="85" t="s">
        <v>198</v>
      </c>
      <c r="G27" s="85" t="s">
        <v>199</v>
      </c>
      <c r="H27" s="85" t="s">
        <v>203</v>
      </c>
      <c r="I27" s="85" t="s">
        <v>200</v>
      </c>
    </row>
    <row r="28" spans="2:11" x14ac:dyDescent="0.2">
      <c r="F28" s="134" t="s">
        <v>323</v>
      </c>
      <c r="G28" s="135">
        <v>5000</v>
      </c>
      <c r="H28" s="137">
        <v>689</v>
      </c>
      <c r="I28" s="136">
        <f>H28/G28</f>
        <v>0.13780000000000001</v>
      </c>
    </row>
    <row r="29" spans="2:11" x14ac:dyDescent="0.2">
      <c r="F29" s="134" t="s">
        <v>320</v>
      </c>
      <c r="G29" s="135">
        <v>5000</v>
      </c>
      <c r="H29" s="137">
        <v>769</v>
      </c>
      <c r="I29" s="136">
        <f>H29/G29</f>
        <v>0.15379999999999999</v>
      </c>
    </row>
    <row r="30" spans="2:11" x14ac:dyDescent="0.2">
      <c r="F30" s="134" t="s">
        <v>324</v>
      </c>
      <c r="G30" s="135">
        <v>5000</v>
      </c>
      <c r="H30" s="137">
        <v>850</v>
      </c>
      <c r="I30" s="136">
        <f>H30/G30</f>
        <v>0.17</v>
      </c>
    </row>
    <row r="31" spans="2:11" x14ac:dyDescent="0.2">
      <c r="F31" s="134" t="s">
        <v>325</v>
      </c>
      <c r="G31" s="135">
        <v>200000</v>
      </c>
      <c r="H31" s="137">
        <v>26999</v>
      </c>
      <c r="I31" s="136">
        <f>H31/G31</f>
        <v>0.134995</v>
      </c>
    </row>
    <row r="32" spans="2:11" x14ac:dyDescent="0.2">
      <c r="F32" s="164" t="s">
        <v>201</v>
      </c>
      <c r="G32" s="126"/>
      <c r="H32" s="126"/>
      <c r="I32" s="138">
        <f>AVERAGE(I28:I31)</f>
        <v>0.14914875</v>
      </c>
    </row>
    <row r="35" spans="3:9" x14ac:dyDescent="0.2">
      <c r="C35" s="157" t="s">
        <v>230</v>
      </c>
      <c r="G35" t="s">
        <v>143</v>
      </c>
      <c r="H35" s="163">
        <v>0.5</v>
      </c>
    </row>
    <row r="36" spans="3:9" x14ac:dyDescent="0.2">
      <c r="C36" s="157" t="s">
        <v>199</v>
      </c>
      <c r="G36" t="s">
        <v>142</v>
      </c>
      <c r="H36" s="136">
        <f>I32*(1-H35)</f>
        <v>7.4574374999999998E-2</v>
      </c>
      <c r="I36" s="193" t="s">
        <v>302</v>
      </c>
    </row>
    <row r="38" spans="3:9" x14ac:dyDescent="0.2">
      <c r="C38" s="100" t="s">
        <v>202</v>
      </c>
    </row>
    <row r="40" spans="3:9" x14ac:dyDescent="0.2">
      <c r="F40" s="85" t="s">
        <v>198</v>
      </c>
      <c r="G40" s="85" t="s">
        <v>202</v>
      </c>
      <c r="H40" s="85" t="s">
        <v>203</v>
      </c>
      <c r="I40" s="85" t="s">
        <v>200</v>
      </c>
    </row>
    <row r="41" spans="3:9" x14ac:dyDescent="0.2">
      <c r="F41" s="134" t="s">
        <v>322</v>
      </c>
      <c r="G41" s="135">
        <v>500</v>
      </c>
      <c r="H41" s="137">
        <v>264</v>
      </c>
      <c r="I41" s="136">
        <f>H41/G41</f>
        <v>0.52800000000000002</v>
      </c>
    </row>
    <row r="42" spans="3:9" x14ac:dyDescent="0.2">
      <c r="F42" s="134" t="s">
        <v>321</v>
      </c>
      <c r="G42" s="135">
        <v>1000</v>
      </c>
      <c r="H42" s="137">
        <v>529</v>
      </c>
      <c r="I42" s="136">
        <f>H42/G42</f>
        <v>0.52900000000000003</v>
      </c>
    </row>
    <row r="43" spans="3:9" x14ac:dyDescent="0.2">
      <c r="F43" s="134" t="s">
        <v>204</v>
      </c>
      <c r="G43" s="135">
        <v>500</v>
      </c>
      <c r="H43" s="137">
        <v>260</v>
      </c>
      <c r="I43" s="136">
        <f>H43/G43</f>
        <v>0.52</v>
      </c>
    </row>
    <row r="44" spans="3:9" x14ac:dyDescent="0.2">
      <c r="F44" s="164" t="s">
        <v>201</v>
      </c>
      <c r="G44" s="126"/>
      <c r="H44" s="126"/>
      <c r="I44" s="138">
        <f>AVERAGE(I41:I43)</f>
        <v>0.52566666666666662</v>
      </c>
    </row>
    <row r="47" spans="3:9" x14ac:dyDescent="0.2">
      <c r="C47" s="157" t="s">
        <v>230</v>
      </c>
      <c r="G47" t="s">
        <v>143</v>
      </c>
      <c r="H47" s="163">
        <v>0.5</v>
      </c>
    </row>
    <row r="48" spans="3:9" x14ac:dyDescent="0.2">
      <c r="C48" s="157" t="s">
        <v>202</v>
      </c>
      <c r="G48" t="s">
        <v>142</v>
      </c>
      <c r="H48" s="136">
        <f>I44*(1-H47)</f>
        <v>0.26283333333333331</v>
      </c>
      <c r="I48" s="193" t="s">
        <v>303</v>
      </c>
    </row>
    <row r="51" spans="3:17" x14ac:dyDescent="0.2">
      <c r="C51" s="100" t="s">
        <v>231</v>
      </c>
    </row>
    <row r="52" spans="3:17" x14ac:dyDescent="0.2">
      <c r="J52" s="43" t="s">
        <v>288</v>
      </c>
      <c r="M52" s="166" t="s">
        <v>238</v>
      </c>
    </row>
    <row r="53" spans="3:17" x14ac:dyDescent="0.2">
      <c r="C53" s="157" t="s">
        <v>139</v>
      </c>
      <c r="G53" t="s">
        <v>142</v>
      </c>
      <c r="H53" s="135">
        <v>950000</v>
      </c>
      <c r="I53" s="43"/>
      <c r="J53" s="135">
        <v>2000000</v>
      </c>
      <c r="K53" t="s">
        <v>287</v>
      </c>
    </row>
    <row r="54" spans="3:17" ht="11.65" customHeight="1" x14ac:dyDescent="0.2">
      <c r="C54" s="157" t="s">
        <v>241</v>
      </c>
      <c r="G54" t="s">
        <v>249</v>
      </c>
      <c r="H54" s="11">
        <v>17680</v>
      </c>
      <c r="I54" s="43"/>
      <c r="J54" s="12">
        <f>J53</f>
        <v>2000000</v>
      </c>
      <c r="K54" t="s">
        <v>287</v>
      </c>
      <c r="M54" s="165" t="s">
        <v>232</v>
      </c>
    </row>
    <row r="55" spans="3:17" ht="11.65" customHeight="1" x14ac:dyDescent="0.2">
      <c r="C55" s="157"/>
      <c r="I55" s="43"/>
      <c r="M55" s="165" t="s">
        <v>233</v>
      </c>
    </row>
    <row r="56" spans="3:17" x14ac:dyDescent="0.2">
      <c r="C56" s="157" t="s">
        <v>245</v>
      </c>
      <c r="I56" s="193"/>
      <c r="M56" s="165" t="s">
        <v>234</v>
      </c>
    </row>
    <row r="57" spans="3:17" x14ac:dyDescent="0.2">
      <c r="C57" s="167" t="s">
        <v>236</v>
      </c>
      <c r="G57" t="s">
        <v>250</v>
      </c>
      <c r="H57" s="137">
        <v>0.98207999999999995</v>
      </c>
      <c r="I57" s="43" t="s">
        <v>297</v>
      </c>
      <c r="M57" s="165" t="s">
        <v>235</v>
      </c>
    </row>
    <row r="58" spans="3:17" x14ac:dyDescent="0.2">
      <c r="C58" s="167" t="s">
        <v>237</v>
      </c>
      <c r="G58" t="s">
        <v>250</v>
      </c>
      <c r="H58" s="137">
        <v>0.21542399999999998</v>
      </c>
    </row>
    <row r="59" spans="3:17" ht="11.65" customHeight="1" x14ac:dyDescent="0.2">
      <c r="C59" s="167"/>
      <c r="M59" s="206" t="s">
        <v>301</v>
      </c>
      <c r="N59" s="206"/>
      <c r="O59" s="206"/>
      <c r="P59" s="206"/>
      <c r="Q59" s="206"/>
    </row>
    <row r="60" spans="3:17" x14ac:dyDescent="0.2">
      <c r="C60" s="157" t="s">
        <v>257</v>
      </c>
      <c r="G60" t="s">
        <v>258</v>
      </c>
      <c r="H60" s="170">
        <v>5</v>
      </c>
      <c r="I60" s="43" t="s">
        <v>291</v>
      </c>
      <c r="M60" s="206"/>
      <c r="N60" s="206"/>
      <c r="O60" s="206"/>
      <c r="P60" s="206"/>
      <c r="Q60" s="206"/>
    </row>
    <row r="61" spans="3:17" x14ac:dyDescent="0.2">
      <c r="C61" s="157" t="s">
        <v>259</v>
      </c>
      <c r="G61" t="s">
        <v>143</v>
      </c>
      <c r="H61" s="139">
        <v>0.7</v>
      </c>
      <c r="I61" s="43" t="s">
        <v>292</v>
      </c>
      <c r="M61" s="206"/>
      <c r="N61" s="206"/>
      <c r="O61" s="206"/>
      <c r="P61" s="206"/>
      <c r="Q61" s="206"/>
    </row>
    <row r="62" spans="3:17" x14ac:dyDescent="0.2">
      <c r="M62" s="206"/>
      <c r="N62" s="206"/>
      <c r="O62" s="206"/>
      <c r="P62" s="206"/>
      <c r="Q62" s="206"/>
    </row>
    <row r="63" spans="3:17" x14ac:dyDescent="0.2">
      <c r="C63" s="100" t="s">
        <v>239</v>
      </c>
      <c r="M63" s="206"/>
      <c r="N63" s="206"/>
      <c r="O63" s="206"/>
      <c r="P63" s="206"/>
      <c r="Q63" s="206"/>
    </row>
    <row r="64" spans="3:17" x14ac:dyDescent="0.2">
      <c r="J64" s="43" t="s">
        <v>289</v>
      </c>
      <c r="M64" s="206"/>
      <c r="N64" s="206"/>
      <c r="O64" s="206"/>
      <c r="P64" s="206"/>
      <c r="Q64" s="206"/>
    </row>
    <row r="65" spans="3:17" x14ac:dyDescent="0.2">
      <c r="C65" s="157" t="s">
        <v>139</v>
      </c>
      <c r="G65" t="s">
        <v>142</v>
      </c>
      <c r="H65" s="135">
        <v>253000</v>
      </c>
      <c r="J65" s="169">
        <f>$J$53</f>
        <v>2000000</v>
      </c>
      <c r="K65" t="s">
        <v>287</v>
      </c>
      <c r="M65" s="206"/>
      <c r="N65" s="206"/>
      <c r="O65" s="206"/>
      <c r="P65" s="206"/>
      <c r="Q65" s="206"/>
    </row>
    <row r="66" spans="3:17" x14ac:dyDescent="0.2">
      <c r="C66" s="157" t="s">
        <v>241</v>
      </c>
      <c r="G66" t="s">
        <v>249</v>
      </c>
      <c r="H66" s="160">
        <f>H54/H53*H65</f>
        <v>4708.4631578947365</v>
      </c>
      <c r="I66" s="43"/>
      <c r="J66" s="169">
        <f>$J$53</f>
        <v>2000000</v>
      </c>
      <c r="K66" t="s">
        <v>287</v>
      </c>
    </row>
    <row r="67" spans="3:17" x14ac:dyDescent="0.2">
      <c r="C67" s="157"/>
      <c r="H67" s="186"/>
    </row>
    <row r="68" spans="3:17" x14ac:dyDescent="0.2">
      <c r="C68" s="157" t="s">
        <v>257</v>
      </c>
      <c r="G68" t="s">
        <v>258</v>
      </c>
      <c r="H68" s="170">
        <v>5</v>
      </c>
      <c r="I68" s="43" t="s">
        <v>290</v>
      </c>
    </row>
    <row r="69" spans="3:17" x14ac:dyDescent="0.2">
      <c r="C69" s="157" t="s">
        <v>259</v>
      </c>
      <c r="G69" t="s">
        <v>143</v>
      </c>
      <c r="H69" s="139">
        <v>0.7</v>
      </c>
      <c r="I69" s="43" t="s">
        <v>293</v>
      </c>
    </row>
    <row r="71" spans="3:17" x14ac:dyDescent="0.2">
      <c r="C71" s="100" t="s">
        <v>240</v>
      </c>
    </row>
    <row r="73" spans="3:17" x14ac:dyDescent="0.2">
      <c r="C73" s="157" t="s">
        <v>242</v>
      </c>
      <c r="G73" t="s">
        <v>143</v>
      </c>
      <c r="H73" s="163">
        <v>0.05</v>
      </c>
      <c r="M73" s="166" t="s">
        <v>243</v>
      </c>
    </row>
    <row r="74" spans="3:17" x14ac:dyDescent="0.2">
      <c r="M74" s="134" t="s">
        <v>244</v>
      </c>
    </row>
    <row r="75" spans="3:17" x14ac:dyDescent="0.2">
      <c r="C75" s="100" t="s">
        <v>251</v>
      </c>
      <c r="G75" t="s">
        <v>253</v>
      </c>
      <c r="H75" s="160">
        <f>H54*(1+H73)*months.per.year</f>
        <v>222768</v>
      </c>
      <c r="I75" s="43" t="s">
        <v>294</v>
      </c>
    </row>
    <row r="76" spans="3:17" x14ac:dyDescent="0.2">
      <c r="C76" s="100" t="s">
        <v>252</v>
      </c>
      <c r="G76" t="s">
        <v>253</v>
      </c>
      <c r="H76" s="160">
        <f>H66*(1+H73)*months.per.year</f>
        <v>59326.635789473687</v>
      </c>
      <c r="I76" s="43" t="s">
        <v>295</v>
      </c>
    </row>
    <row r="78" spans="3:17" x14ac:dyDescent="0.2">
      <c r="C78" s="100" t="s">
        <v>246</v>
      </c>
    </row>
    <row r="80" spans="3:17" x14ac:dyDescent="0.2">
      <c r="C80" s="157" t="s">
        <v>247</v>
      </c>
      <c r="G80" t="s">
        <v>142</v>
      </c>
      <c r="H80" s="135">
        <v>30000</v>
      </c>
      <c r="I80" s="43"/>
    </row>
    <row r="81" spans="1:15" x14ac:dyDescent="0.2">
      <c r="C81" s="157" t="s">
        <v>248</v>
      </c>
      <c r="H81" s="135">
        <v>1</v>
      </c>
      <c r="I81" s="43" t="s">
        <v>273</v>
      </c>
    </row>
    <row r="82" spans="1:15" x14ac:dyDescent="0.2">
      <c r="C82" s="157" t="s">
        <v>272</v>
      </c>
      <c r="G82" t="s">
        <v>253</v>
      </c>
      <c r="H82" s="160">
        <f>H80*months.per.year</f>
        <v>360000</v>
      </c>
      <c r="I82" s="43" t="s">
        <v>274</v>
      </c>
    </row>
    <row r="84" spans="1:15" x14ac:dyDescent="0.2">
      <c r="C84" s="100" t="s">
        <v>304</v>
      </c>
      <c r="G84" t="s">
        <v>126</v>
      </c>
      <c r="H84" s="194">
        <v>2.5</v>
      </c>
      <c r="I84" s="43" t="s">
        <v>305</v>
      </c>
    </row>
    <row r="86" spans="1:15" ht="15" x14ac:dyDescent="0.2">
      <c r="B86" s="102" t="s">
        <v>153</v>
      </c>
    </row>
    <row r="88" spans="1:15" x14ac:dyDescent="0.2">
      <c r="C88" t="s">
        <v>216</v>
      </c>
    </row>
    <row r="89" spans="1:15" x14ac:dyDescent="0.2">
      <c r="D89" t="s">
        <v>219</v>
      </c>
    </row>
    <row r="90" spans="1:15" x14ac:dyDescent="0.2">
      <c r="A90" s="43"/>
      <c r="D90" s="157" t="s">
        <v>217</v>
      </c>
      <c r="H90" s="140">
        <v>1.8499999999999999E-2</v>
      </c>
      <c r="I90" s="43"/>
      <c r="O90" s="104" t="s">
        <v>207</v>
      </c>
    </row>
    <row r="91" spans="1:15" x14ac:dyDescent="0.2">
      <c r="A91" s="43"/>
      <c r="D91" s="157" t="s">
        <v>218</v>
      </c>
      <c r="H91" s="140">
        <v>1.41E-2</v>
      </c>
      <c r="I91" s="43"/>
      <c r="O91" s="104" t="s">
        <v>208</v>
      </c>
    </row>
    <row r="93" spans="1:15" x14ac:dyDescent="0.2">
      <c r="D93" t="s">
        <v>227</v>
      </c>
      <c r="H93" s="85" t="s">
        <v>315</v>
      </c>
      <c r="I93" s="85" t="s">
        <v>316</v>
      </c>
      <c r="J93" s="85" t="s">
        <v>317</v>
      </c>
      <c r="K93" s="85" t="s">
        <v>318</v>
      </c>
      <c r="L93" s="85" t="s">
        <v>96</v>
      </c>
      <c r="M93" s="85" t="s">
        <v>228</v>
      </c>
    </row>
    <row r="94" spans="1:15" x14ac:dyDescent="0.2">
      <c r="A94" s="43"/>
      <c r="D94" s="157" t="s">
        <v>217</v>
      </c>
      <c r="H94" s="135">
        <v>17386946</v>
      </c>
      <c r="I94" s="135">
        <v>21612585</v>
      </c>
      <c r="J94" s="135">
        <v>24253769</v>
      </c>
      <c r="K94" s="135">
        <v>24143505</v>
      </c>
      <c r="L94" s="161">
        <f>SUM(H94:K94)</f>
        <v>87396805</v>
      </c>
      <c r="M94" s="168">
        <f>L94/$L$96</f>
        <v>0.43903759701779493</v>
      </c>
      <c r="O94" s="104" t="s">
        <v>221</v>
      </c>
    </row>
    <row r="95" spans="1:15" x14ac:dyDescent="0.2">
      <c r="A95" s="43"/>
      <c r="D95" s="157" t="s">
        <v>218</v>
      </c>
      <c r="H95" s="135">
        <v>21649042</v>
      </c>
      <c r="I95" s="135">
        <v>24894956</v>
      </c>
      <c r="J95" s="135">
        <v>31376841</v>
      </c>
      <c r="K95" s="135">
        <v>33746868</v>
      </c>
      <c r="L95" s="161">
        <f>SUM(H95:K95)</f>
        <v>111667707</v>
      </c>
      <c r="M95" s="168">
        <f>L95/$L$96</f>
        <v>0.56096240298220512</v>
      </c>
    </row>
    <row r="96" spans="1:15" x14ac:dyDescent="0.2">
      <c r="D96" s="157" t="s">
        <v>96</v>
      </c>
      <c r="H96" s="160">
        <f>SUM(H94:H95)</f>
        <v>39035988</v>
      </c>
      <c r="I96" s="160">
        <f>SUM(I94:I95)</f>
        <v>46507541</v>
      </c>
      <c r="J96" s="160">
        <f>SUM(J94:J95)</f>
        <v>55630610</v>
      </c>
      <c r="K96" s="160">
        <f>SUM(K94:K95)</f>
        <v>57890373</v>
      </c>
      <c r="L96" s="160">
        <f>SUM(L94:L95)</f>
        <v>199064512</v>
      </c>
    </row>
    <row r="98" spans="3:9" x14ac:dyDescent="0.2">
      <c r="D98" t="s">
        <v>220</v>
      </c>
    </row>
    <row r="99" spans="3:9" x14ac:dyDescent="0.2">
      <c r="D99" s="157" t="s">
        <v>217</v>
      </c>
      <c r="H99" s="162">
        <f>M94</f>
        <v>0.43903759701779493</v>
      </c>
    </row>
    <row r="100" spans="3:9" x14ac:dyDescent="0.2">
      <c r="D100" s="157" t="s">
        <v>218</v>
      </c>
      <c r="H100" s="162">
        <f>M95</f>
        <v>0.56096240298220512</v>
      </c>
    </row>
    <row r="102" spans="3:9" x14ac:dyDescent="0.2">
      <c r="D102" t="s">
        <v>222</v>
      </c>
      <c r="H102" s="158">
        <f>SUMPRODUCT(H90:H91,H99:H100)</f>
        <v>1.60317654268783E-2</v>
      </c>
    </row>
    <row r="104" spans="3:9" x14ac:dyDescent="0.2">
      <c r="C104" t="s">
        <v>212</v>
      </c>
    </row>
    <row r="105" spans="3:9" x14ac:dyDescent="0.2">
      <c r="D105" t="s">
        <v>223</v>
      </c>
      <c r="H105" s="159">
        <f>$H$102</f>
        <v>1.60317654268783E-2</v>
      </c>
    </row>
    <row r="106" spans="3:9" x14ac:dyDescent="0.2">
      <c r="D106" t="s">
        <v>224</v>
      </c>
      <c r="H106" s="159">
        <f>$H$102</f>
        <v>1.60317654268783E-2</v>
      </c>
    </row>
    <row r="108" spans="3:9" x14ac:dyDescent="0.2">
      <c r="C108" t="s">
        <v>309</v>
      </c>
      <c r="D108" s="105"/>
    </row>
    <row r="109" spans="3:9" x14ac:dyDescent="0.2">
      <c r="D109" s="105" t="s">
        <v>196</v>
      </c>
      <c r="G109" t="s">
        <v>155</v>
      </c>
      <c r="H109" s="123">
        <v>200000</v>
      </c>
      <c r="I109" s="43" t="s">
        <v>265</v>
      </c>
    </row>
    <row r="110" spans="3:9" x14ac:dyDescent="0.2">
      <c r="D110" s="105" t="s">
        <v>195</v>
      </c>
      <c r="H110" s="123">
        <v>360</v>
      </c>
      <c r="I110" s="43" t="s">
        <v>264</v>
      </c>
    </row>
    <row r="111" spans="3:9" x14ac:dyDescent="0.2">
      <c r="D111" s="105" t="s">
        <v>154</v>
      </c>
      <c r="G111" t="s">
        <v>143</v>
      </c>
      <c r="H111" s="106">
        <v>0.2</v>
      </c>
      <c r="I111" s="43" t="s">
        <v>266</v>
      </c>
    </row>
    <row r="113" spans="3:9" x14ac:dyDescent="0.2">
      <c r="C113" t="s">
        <v>307</v>
      </c>
    </row>
    <row r="114" spans="3:9" x14ac:dyDescent="0.2">
      <c r="D114" t="s">
        <v>225</v>
      </c>
      <c r="H114" s="106">
        <v>0.01</v>
      </c>
    </row>
    <row r="116" spans="3:9" x14ac:dyDescent="0.2">
      <c r="C116" t="s">
        <v>226</v>
      </c>
    </row>
    <row r="118" spans="3:9" ht="36" x14ac:dyDescent="0.2">
      <c r="E118" s="153" t="s">
        <v>211</v>
      </c>
      <c r="F118" s="153" t="s">
        <v>212</v>
      </c>
      <c r="G118" s="153" t="s">
        <v>213</v>
      </c>
      <c r="H118" s="156" t="s">
        <v>96</v>
      </c>
    </row>
    <row r="119" spans="3:9" x14ac:dyDescent="0.2">
      <c r="C119" s="195" t="s">
        <v>214</v>
      </c>
      <c r="D119" s="152"/>
      <c r="E119" s="141">
        <v>0.15</v>
      </c>
      <c r="F119" s="141">
        <v>0.2</v>
      </c>
      <c r="G119" s="142"/>
      <c r="H119" s="150">
        <f>SUM(E119:G119)</f>
        <v>0.35</v>
      </c>
    </row>
    <row r="120" spans="3:9" x14ac:dyDescent="0.2">
      <c r="C120" s="195" t="s">
        <v>215</v>
      </c>
      <c r="D120" s="152"/>
      <c r="E120" s="142"/>
      <c r="F120" s="143">
        <f>F123-F119</f>
        <v>0.14999999999999997</v>
      </c>
      <c r="G120" s="147">
        <v>0.1</v>
      </c>
      <c r="H120" s="150">
        <f>SUM(E120:G120)</f>
        <v>0.24999999999999997</v>
      </c>
    </row>
    <row r="121" spans="3:9" x14ac:dyDescent="0.2">
      <c r="C121" s="195" t="s">
        <v>306</v>
      </c>
      <c r="D121" s="152"/>
      <c r="E121" s="141">
        <v>0.1</v>
      </c>
      <c r="F121" s="142"/>
      <c r="G121" s="147">
        <v>0.05</v>
      </c>
      <c r="H121" s="150">
        <f>SUM(E121:G121)</f>
        <v>0.15000000000000002</v>
      </c>
      <c r="I121" s="43" t="s">
        <v>308</v>
      </c>
    </row>
    <row r="122" spans="3:9" ht="12.75" thickBot="1" x14ac:dyDescent="0.25">
      <c r="C122" s="195" t="s">
        <v>307</v>
      </c>
      <c r="D122" s="152"/>
      <c r="E122" s="144">
        <f>E123-E121-E119</f>
        <v>0.15000000000000005</v>
      </c>
      <c r="F122" s="142"/>
      <c r="G122" s="148">
        <f>G123-G121-G120</f>
        <v>0.1</v>
      </c>
      <c r="H122" s="151">
        <f>SUM(E122:G122)</f>
        <v>0.25000000000000006</v>
      </c>
    </row>
    <row r="123" spans="3:9" ht="12.75" thickTop="1" x14ac:dyDescent="0.2">
      <c r="C123" s="154"/>
      <c r="D123" s="154" t="s">
        <v>96</v>
      </c>
      <c r="E123" s="145">
        <f>1-F123-G123</f>
        <v>0.4</v>
      </c>
      <c r="F123" s="146">
        <v>0.35</v>
      </c>
      <c r="G123" s="149">
        <v>0.25</v>
      </c>
      <c r="H123" s="155" t="b">
        <f>AND(SUM(E123:G123)=1,SUM(H119:H122)=1)</f>
        <v>1</v>
      </c>
    </row>
    <row r="125" spans="3:9" x14ac:dyDescent="0.2">
      <c r="C125" t="s">
        <v>267</v>
      </c>
    </row>
    <row r="127" spans="3:9" ht="36" x14ac:dyDescent="0.2">
      <c r="E127" s="153" t="s">
        <v>211</v>
      </c>
      <c r="F127" s="153" t="s">
        <v>212</v>
      </c>
      <c r="G127" s="153" t="s">
        <v>213</v>
      </c>
    </row>
    <row r="128" spans="3:9" x14ac:dyDescent="0.2">
      <c r="C128" s="195" t="s">
        <v>214</v>
      </c>
      <c r="D128" s="152"/>
      <c r="E128" s="159">
        <f>$H$102</f>
        <v>1.60317654268783E-2</v>
      </c>
      <c r="F128" s="159">
        <f>$H$102</f>
        <v>1.60317654268783E-2</v>
      </c>
      <c r="G128" s="142"/>
    </row>
    <row r="129" spans="3:9" x14ac:dyDescent="0.2">
      <c r="C129" s="195" t="s">
        <v>215</v>
      </c>
      <c r="D129" s="152"/>
      <c r="E129" s="142"/>
      <c r="F129" s="159">
        <f>$H$102</f>
        <v>1.60317654268783E-2</v>
      </c>
      <c r="G129" s="159">
        <f>$H$102</f>
        <v>1.60317654268783E-2</v>
      </c>
    </row>
    <row r="130" spans="3:9" x14ac:dyDescent="0.2">
      <c r="C130" s="195" t="s">
        <v>306</v>
      </c>
      <c r="D130" s="152"/>
      <c r="E130" s="173">
        <v>0</v>
      </c>
      <c r="F130" s="142"/>
      <c r="G130" s="159">
        <f>G129</f>
        <v>1.60317654268783E-2</v>
      </c>
    </row>
    <row r="131" spans="3:9" x14ac:dyDescent="0.2">
      <c r="C131" s="195" t="s">
        <v>307</v>
      </c>
      <c r="D131" s="152"/>
      <c r="E131" s="159">
        <f>H114</f>
        <v>0.01</v>
      </c>
      <c r="F131" s="142"/>
      <c r="G131" s="158">
        <f>E131+G129</f>
        <v>2.6031765426878302E-2</v>
      </c>
    </row>
    <row r="133" spans="3:9" x14ac:dyDescent="0.2">
      <c r="C133" t="s">
        <v>222</v>
      </c>
      <c r="D133" s="192"/>
      <c r="H133" s="158">
        <f>SUMPRODUCT(E119:G122,E128:G131)</f>
        <v>1.4523824070158727E-2</v>
      </c>
      <c r="I133" s="43" t="s">
        <v>268</v>
      </c>
    </row>
    <row r="134" spans="3:9" x14ac:dyDescent="0.2">
      <c r="E134" s="192"/>
      <c r="F134" s="192"/>
      <c r="G134" s="192"/>
    </row>
    <row r="135" spans="3:9" x14ac:dyDescent="0.2">
      <c r="E135" s="192"/>
      <c r="F135" s="192"/>
      <c r="G135" s="192"/>
    </row>
    <row r="136" spans="3:9" x14ac:dyDescent="0.2">
      <c r="E136" s="192"/>
      <c r="F136" s="192"/>
      <c r="G136" s="192"/>
    </row>
    <row r="137" spans="3:9" x14ac:dyDescent="0.2">
      <c r="E137" s="192"/>
      <c r="F137" s="192"/>
      <c r="G137" s="192"/>
    </row>
  </sheetData>
  <mergeCells count="1">
    <mergeCell ref="M59:Q65"/>
  </mergeCells>
  <hyperlinks>
    <hyperlink ref="F28" r:id="rId1"/>
    <hyperlink ref="F29" r:id="rId2"/>
    <hyperlink ref="F30" r:id="rId3"/>
    <hyperlink ref="F31" r:id="rId4"/>
    <hyperlink ref="F41" r:id="rId5"/>
    <hyperlink ref="F43" r:id="rId6"/>
    <hyperlink ref="O90" r:id="rId7" display="http://www.banxico.org.mx/sistemas-de-pago/servicios/tarifas-y-comisiones/tasas-de-descuento-que-pagan-los-comercios-por-ace/tasas-de-descuento-para-tarjetas-de-credito-por-gi/tasas-descuento-por-giro-cred.html"/>
    <hyperlink ref="M74" r:id="rId8"/>
    <hyperlink ref="F42" r:id="rId9"/>
  </hyperlinks>
  <pageMargins left="0.70866141732283472" right="0.70866141732283472" top="0.51181102362204722" bottom="0.51181102362204722" header="0.51181102362204722" footer="0.35433070866141736"/>
  <pageSetup paperSize="9" orientation="landscape" horizontalDpi="4294967292" verticalDpi="4294967292" r:id="rId10"/>
  <headerFooter alignWithMargins="0">
    <oddFooter xml:space="preserve">&amp;L&amp;F : &amp;A&amp;CPrinted at &amp;T on &amp;D&amp;RCommercial in confidence © Analysys Mason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tint="0.89999084444715716"/>
    <pageSetUpPr autoPageBreaks="0"/>
  </sheetPr>
  <dimension ref="A1:FB146"/>
  <sheetViews>
    <sheetView showGridLines="0" tabSelected="1" defaultGridColor="0" colorId="22" zoomScale="80" zoomScaleNormal="80" workbookViewId="0">
      <pane xSplit="8" ySplit="4" topLeftCell="I90" activePane="bottomRight" state="frozen"/>
      <selection pane="topRight"/>
      <selection pane="bottomLeft"/>
      <selection pane="bottomRight" activeCell="I123" sqref="I123"/>
    </sheetView>
  </sheetViews>
  <sheetFormatPr baseColWidth="10" defaultColWidth="12.7109375" defaultRowHeight="12" outlineLevelCol="1" x14ac:dyDescent="0.2"/>
  <cols>
    <col min="1" max="1" width="6.7109375" customWidth="1"/>
    <col min="2" max="2" width="5.85546875" customWidth="1"/>
    <col min="3" max="3" width="14.42578125" customWidth="1"/>
    <col min="4" max="4" width="22" hidden="1" customWidth="1" outlineLevel="1"/>
    <col min="5" max="6" width="12.7109375" hidden="1" customWidth="1" outlineLevel="1"/>
    <col min="7" max="7" width="12.7109375" collapsed="1"/>
    <col min="19" max="19" width="12.5703125" customWidth="1"/>
  </cols>
  <sheetData>
    <row r="1" spans="1:158" s="78" customFormat="1" ht="33.75" customHeight="1" x14ac:dyDescent="0.2">
      <c r="D1" s="82" t="s">
        <v>121</v>
      </c>
    </row>
    <row r="3" spans="1:158" x14ac:dyDescent="0.2">
      <c r="I3" s="109"/>
      <c r="J3" s="109">
        <v>1</v>
      </c>
      <c r="K3" s="109">
        <f>J3+1</f>
        <v>2</v>
      </c>
      <c r="L3" s="109">
        <f t="shared" ref="L3:BG3" si="0">K3+1</f>
        <v>3</v>
      </c>
      <c r="M3" s="109">
        <f t="shared" si="0"/>
        <v>4</v>
      </c>
      <c r="N3" s="109">
        <f t="shared" si="0"/>
        <v>5</v>
      </c>
      <c r="O3" s="109">
        <f t="shared" si="0"/>
        <v>6</v>
      </c>
      <c r="P3" s="109">
        <f t="shared" si="0"/>
        <v>7</v>
      </c>
      <c r="Q3" s="109">
        <f t="shared" si="0"/>
        <v>8</v>
      </c>
      <c r="R3" s="109">
        <f t="shared" si="0"/>
        <v>9</v>
      </c>
      <c r="S3" s="109">
        <f t="shared" si="0"/>
        <v>10</v>
      </c>
      <c r="T3" s="109">
        <f t="shared" si="0"/>
        <v>11</v>
      </c>
      <c r="U3" s="109">
        <f t="shared" si="0"/>
        <v>12</v>
      </c>
      <c r="V3" s="109">
        <f t="shared" si="0"/>
        <v>13</v>
      </c>
      <c r="W3" s="109">
        <f t="shared" si="0"/>
        <v>14</v>
      </c>
      <c r="X3" s="109">
        <f t="shared" si="0"/>
        <v>15</v>
      </c>
      <c r="Y3" s="109">
        <f t="shared" si="0"/>
        <v>16</v>
      </c>
      <c r="Z3" s="109">
        <f t="shared" si="0"/>
        <v>17</v>
      </c>
      <c r="AA3" s="109">
        <f t="shared" si="0"/>
        <v>18</v>
      </c>
      <c r="AB3" s="109">
        <f t="shared" si="0"/>
        <v>19</v>
      </c>
      <c r="AC3" s="109">
        <f t="shared" si="0"/>
        <v>20</v>
      </c>
      <c r="AD3" s="109">
        <f t="shared" si="0"/>
        <v>21</v>
      </c>
      <c r="AE3" s="109">
        <f t="shared" si="0"/>
        <v>22</v>
      </c>
      <c r="AF3" s="109">
        <f t="shared" si="0"/>
        <v>23</v>
      </c>
      <c r="AG3" s="109">
        <f t="shared" si="0"/>
        <v>24</v>
      </c>
      <c r="AH3" s="109">
        <f t="shared" si="0"/>
        <v>25</v>
      </c>
      <c r="AI3" s="109">
        <f t="shared" si="0"/>
        <v>26</v>
      </c>
      <c r="AJ3" s="109">
        <f t="shared" si="0"/>
        <v>27</v>
      </c>
      <c r="AK3" s="109">
        <f t="shared" si="0"/>
        <v>28</v>
      </c>
      <c r="AL3" s="109">
        <f t="shared" si="0"/>
        <v>29</v>
      </c>
      <c r="AM3" s="109">
        <f t="shared" si="0"/>
        <v>30</v>
      </c>
      <c r="AN3" s="109">
        <f t="shared" si="0"/>
        <v>31</v>
      </c>
      <c r="AO3" s="109">
        <f t="shared" si="0"/>
        <v>32</v>
      </c>
      <c r="AP3" s="109">
        <f t="shared" si="0"/>
        <v>33</v>
      </c>
      <c r="AQ3" s="109">
        <f t="shared" si="0"/>
        <v>34</v>
      </c>
      <c r="AR3" s="109">
        <f t="shared" si="0"/>
        <v>35</v>
      </c>
      <c r="AS3" s="109">
        <f t="shared" si="0"/>
        <v>36</v>
      </c>
      <c r="AT3" s="109">
        <f t="shared" si="0"/>
        <v>37</v>
      </c>
      <c r="AU3" s="109">
        <f t="shared" si="0"/>
        <v>38</v>
      </c>
      <c r="AV3" s="109">
        <f t="shared" si="0"/>
        <v>39</v>
      </c>
      <c r="AW3" s="109">
        <f t="shared" si="0"/>
        <v>40</v>
      </c>
      <c r="AX3" s="109">
        <f t="shared" si="0"/>
        <v>41</v>
      </c>
      <c r="AY3" s="109">
        <f t="shared" si="0"/>
        <v>42</v>
      </c>
      <c r="AZ3" s="109">
        <f t="shared" si="0"/>
        <v>43</v>
      </c>
      <c r="BA3" s="109">
        <f t="shared" si="0"/>
        <v>44</v>
      </c>
      <c r="BB3" s="109">
        <f t="shared" si="0"/>
        <v>45</v>
      </c>
      <c r="BC3" s="109">
        <f t="shared" si="0"/>
        <v>46</v>
      </c>
      <c r="BD3" s="109">
        <f t="shared" si="0"/>
        <v>47</v>
      </c>
      <c r="BE3" s="109">
        <f t="shared" si="0"/>
        <v>48</v>
      </c>
      <c r="BF3" s="109">
        <f t="shared" si="0"/>
        <v>49</v>
      </c>
      <c r="BG3" s="109">
        <f t="shared" si="0"/>
        <v>50</v>
      </c>
      <c r="BH3" s="109"/>
      <c r="BI3" s="109"/>
      <c r="BJ3" s="109"/>
      <c r="BK3" s="109"/>
    </row>
    <row r="4" spans="1:158" s="83" customFormat="1" x14ac:dyDescent="0.2">
      <c r="D4" s="84"/>
      <c r="E4" s="84"/>
      <c r="F4" s="85" t="s">
        <v>164</v>
      </c>
      <c r="G4" s="85" t="s">
        <v>124</v>
      </c>
      <c r="I4" s="109"/>
      <c r="J4" s="85">
        <v>2010</v>
      </c>
      <c r="K4" s="85">
        <f>J4+1</f>
        <v>2011</v>
      </c>
      <c r="L4" s="85">
        <f t="shared" ref="L4:S4" si="1">K4+1</f>
        <v>2012</v>
      </c>
      <c r="M4" s="85">
        <f t="shared" si="1"/>
        <v>2013</v>
      </c>
      <c r="N4" s="85">
        <f t="shared" si="1"/>
        <v>2014</v>
      </c>
      <c r="O4" s="85">
        <f t="shared" si="1"/>
        <v>2015</v>
      </c>
      <c r="P4" s="85">
        <f t="shared" si="1"/>
        <v>2016</v>
      </c>
      <c r="Q4" s="85">
        <f t="shared" si="1"/>
        <v>2017</v>
      </c>
      <c r="R4" s="85">
        <f t="shared" si="1"/>
        <v>2018</v>
      </c>
      <c r="S4" s="85">
        <f t="shared" si="1"/>
        <v>2019</v>
      </c>
      <c r="T4" s="85">
        <f t="shared" ref="T4:BG4" si="2">S4+1</f>
        <v>2020</v>
      </c>
      <c r="U4" s="85">
        <f t="shared" si="2"/>
        <v>2021</v>
      </c>
      <c r="V4" s="85">
        <f t="shared" si="2"/>
        <v>2022</v>
      </c>
      <c r="W4" s="85">
        <f t="shared" si="2"/>
        <v>2023</v>
      </c>
      <c r="X4" s="85">
        <f t="shared" si="2"/>
        <v>2024</v>
      </c>
      <c r="Y4" s="85">
        <f t="shared" si="2"/>
        <v>2025</v>
      </c>
      <c r="Z4" s="85">
        <f t="shared" si="2"/>
        <v>2026</v>
      </c>
      <c r="AA4" s="85">
        <f t="shared" si="2"/>
        <v>2027</v>
      </c>
      <c r="AB4" s="85">
        <f t="shared" si="2"/>
        <v>2028</v>
      </c>
      <c r="AC4" s="85">
        <f t="shared" si="2"/>
        <v>2029</v>
      </c>
      <c r="AD4" s="85">
        <f t="shared" si="2"/>
        <v>2030</v>
      </c>
      <c r="AE4" s="85">
        <f t="shared" si="2"/>
        <v>2031</v>
      </c>
      <c r="AF4" s="85">
        <f t="shared" si="2"/>
        <v>2032</v>
      </c>
      <c r="AG4" s="85">
        <f t="shared" si="2"/>
        <v>2033</v>
      </c>
      <c r="AH4" s="85">
        <f t="shared" si="2"/>
        <v>2034</v>
      </c>
      <c r="AI4" s="85">
        <f t="shared" si="2"/>
        <v>2035</v>
      </c>
      <c r="AJ4" s="85">
        <f t="shared" si="2"/>
        <v>2036</v>
      </c>
      <c r="AK4" s="85">
        <f t="shared" si="2"/>
        <v>2037</v>
      </c>
      <c r="AL4" s="85">
        <f t="shared" si="2"/>
        <v>2038</v>
      </c>
      <c r="AM4" s="85">
        <f t="shared" si="2"/>
        <v>2039</v>
      </c>
      <c r="AN4" s="85">
        <f t="shared" si="2"/>
        <v>2040</v>
      </c>
      <c r="AO4" s="85">
        <f t="shared" si="2"/>
        <v>2041</v>
      </c>
      <c r="AP4" s="85">
        <f t="shared" si="2"/>
        <v>2042</v>
      </c>
      <c r="AQ4" s="85">
        <f t="shared" si="2"/>
        <v>2043</v>
      </c>
      <c r="AR4" s="85">
        <f t="shared" si="2"/>
        <v>2044</v>
      </c>
      <c r="AS4" s="85">
        <f t="shared" si="2"/>
        <v>2045</v>
      </c>
      <c r="AT4" s="85">
        <f t="shared" si="2"/>
        <v>2046</v>
      </c>
      <c r="AU4" s="85">
        <f t="shared" si="2"/>
        <v>2047</v>
      </c>
      <c r="AV4" s="85">
        <f t="shared" si="2"/>
        <v>2048</v>
      </c>
      <c r="AW4" s="85">
        <f t="shared" si="2"/>
        <v>2049</v>
      </c>
      <c r="AX4" s="85">
        <f t="shared" si="2"/>
        <v>2050</v>
      </c>
      <c r="AY4" s="85">
        <f t="shared" si="2"/>
        <v>2051</v>
      </c>
      <c r="AZ4" s="85">
        <f t="shared" si="2"/>
        <v>2052</v>
      </c>
      <c r="BA4" s="85">
        <f t="shared" si="2"/>
        <v>2053</v>
      </c>
      <c r="BB4" s="85">
        <f t="shared" si="2"/>
        <v>2054</v>
      </c>
      <c r="BC4" s="85">
        <f t="shared" si="2"/>
        <v>2055</v>
      </c>
      <c r="BD4" s="85">
        <f t="shared" si="2"/>
        <v>2056</v>
      </c>
      <c r="BE4" s="85">
        <f t="shared" si="2"/>
        <v>2057</v>
      </c>
      <c r="BF4" s="85">
        <f t="shared" si="2"/>
        <v>2058</v>
      </c>
      <c r="BG4" s="85">
        <f t="shared" si="2"/>
        <v>2059</v>
      </c>
    </row>
    <row r="5" spans="1:158" x14ac:dyDescent="0.2">
      <c r="F5" s="90"/>
      <c r="G5" s="90"/>
    </row>
    <row r="6" spans="1:158" ht="18" x14ac:dyDescent="0.25">
      <c r="A6" s="86">
        <v>1</v>
      </c>
      <c r="B6" s="87" t="s">
        <v>158</v>
      </c>
      <c r="C6" s="88"/>
      <c r="D6" s="88"/>
      <c r="E6" s="88"/>
      <c r="F6" s="91"/>
      <c r="G6" s="91"/>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c r="BY6" s="88"/>
      <c r="BZ6" s="88"/>
      <c r="CA6" s="88"/>
      <c r="CB6" s="88"/>
      <c r="CC6" s="88"/>
      <c r="CD6" s="88"/>
      <c r="CE6" s="88"/>
      <c r="CF6" s="88"/>
      <c r="CG6" s="88"/>
      <c r="CH6" s="88"/>
      <c r="CI6" s="88"/>
      <c r="CJ6" s="88"/>
      <c r="CK6" s="88"/>
      <c r="CL6" s="88"/>
      <c r="CM6" s="88"/>
      <c r="CN6" s="88"/>
      <c r="CO6" s="88"/>
      <c r="CP6" s="88"/>
      <c r="CQ6" s="88"/>
      <c r="CR6" s="88"/>
      <c r="CS6" s="88"/>
      <c r="CT6" s="88"/>
      <c r="CU6" s="88"/>
      <c r="CV6" s="88"/>
      <c r="CW6" s="88"/>
      <c r="CX6" s="88"/>
      <c r="CY6" s="88"/>
      <c r="CZ6" s="88"/>
      <c r="DA6" s="88"/>
      <c r="DB6" s="88"/>
      <c r="DC6" s="88"/>
      <c r="DE6" s="88"/>
      <c r="DF6" s="88"/>
      <c r="DG6" s="88"/>
      <c r="DH6" s="88"/>
      <c r="DI6" s="88"/>
      <c r="DJ6" s="88"/>
      <c r="DK6" s="88"/>
      <c r="DL6" s="88"/>
      <c r="DM6" s="88"/>
      <c r="DN6" s="88"/>
      <c r="DO6" s="88"/>
      <c r="DP6" s="88"/>
      <c r="DQ6" s="88"/>
      <c r="DR6" s="88"/>
      <c r="DS6" s="88"/>
      <c r="DT6" s="88"/>
      <c r="DU6" s="88"/>
      <c r="DV6" s="88"/>
      <c r="DW6" s="88"/>
      <c r="DX6" s="88"/>
      <c r="DY6" s="88"/>
      <c r="DZ6" s="88"/>
      <c r="EA6" s="88"/>
      <c r="EB6" s="88"/>
      <c r="EC6" s="88"/>
      <c r="ED6" s="88"/>
      <c r="EE6" s="88"/>
      <c r="EF6" s="88"/>
      <c r="EG6" s="88"/>
      <c r="EH6" s="88"/>
      <c r="EI6" s="88"/>
      <c r="EJ6" s="88"/>
      <c r="EK6" s="88"/>
      <c r="EL6" s="88"/>
      <c r="EM6" s="88"/>
      <c r="EN6" s="88"/>
      <c r="EO6" s="88"/>
      <c r="EP6" s="88"/>
      <c r="EQ6" s="88"/>
      <c r="ER6" s="88"/>
      <c r="ES6" s="88"/>
      <c r="ET6" s="88"/>
      <c r="EU6" s="88"/>
      <c r="EV6" s="88"/>
      <c r="EW6" s="88"/>
      <c r="EX6" s="88"/>
      <c r="EY6" s="88"/>
      <c r="EZ6" s="88"/>
      <c r="FA6" s="88"/>
      <c r="FB6" s="88"/>
    </row>
    <row r="7" spans="1:158" s="90" customFormat="1" ht="12" customHeight="1" x14ac:dyDescent="0.2">
      <c r="A7" s="89"/>
      <c r="B7" s="89"/>
      <c r="C7" s="89"/>
      <c r="D7" s="89"/>
      <c r="E7" s="89"/>
      <c r="F7" s="89"/>
      <c r="G7" s="89"/>
      <c r="H7" s="89"/>
    </row>
    <row r="8" spans="1:158" s="90" customFormat="1" ht="12.75" x14ac:dyDescent="0.2">
      <c r="A8" s="89"/>
      <c r="B8" s="93" t="s">
        <v>166</v>
      </c>
      <c r="F8" s="92"/>
      <c r="G8" s="92"/>
      <c r="BH8" s="43"/>
    </row>
    <row r="9" spans="1:158" s="90" customFormat="1" ht="12.75" x14ac:dyDescent="0.2">
      <c r="A9" s="89"/>
      <c r="B9" s="93"/>
      <c r="C9" s="90" t="s">
        <v>144</v>
      </c>
      <c r="F9" s="92"/>
      <c r="G9" s="92" t="s">
        <v>142</v>
      </c>
      <c r="I9" s="99"/>
      <c r="J9" s="10">
        <f t="shared" ref="J9:N10" si="3">$O9*J$16</f>
        <v>20408163.265306123</v>
      </c>
      <c r="K9" s="10">
        <f t="shared" si="3"/>
        <v>20408163.265306123</v>
      </c>
      <c r="L9" s="10">
        <f t="shared" si="3"/>
        <v>20408163.265306123</v>
      </c>
      <c r="M9" s="10">
        <f t="shared" si="3"/>
        <v>20408163.265306123</v>
      </c>
      <c r="N9" s="10">
        <f t="shared" si="3"/>
        <v>20408163.265306123</v>
      </c>
      <c r="O9" s="12">
        <f>costo_billing</f>
        <v>20000000</v>
      </c>
      <c r="P9" s="10">
        <f>$O9*P$16</f>
        <v>19600000</v>
      </c>
      <c r="Q9" s="10">
        <f t="shared" ref="Q9:BG12" si="4">$O9*Q$16</f>
        <v>19208000</v>
      </c>
      <c r="R9" s="10">
        <f t="shared" si="4"/>
        <v>18823840</v>
      </c>
      <c r="S9" s="10">
        <f t="shared" si="4"/>
        <v>18447363.199999999</v>
      </c>
      <c r="T9" s="10">
        <f t="shared" si="4"/>
        <v>18078415.935999997</v>
      </c>
      <c r="U9" s="10">
        <f t="shared" si="4"/>
        <v>17716847.617279995</v>
      </c>
      <c r="V9" s="10">
        <f t="shared" si="4"/>
        <v>17362510.664934397</v>
      </c>
      <c r="W9" s="10">
        <f t="shared" si="4"/>
        <v>17015260.451635707</v>
      </c>
      <c r="X9" s="10">
        <f t="shared" si="4"/>
        <v>16674955.242602993</v>
      </c>
      <c r="Y9" s="10">
        <f t="shared" si="4"/>
        <v>16341456.137750933</v>
      </c>
      <c r="Z9" s="10">
        <f t="shared" si="4"/>
        <v>16014627.014995914</v>
      </c>
      <c r="AA9" s="10">
        <f t="shared" si="4"/>
        <v>15694334.474695997</v>
      </c>
      <c r="AB9" s="10">
        <f t="shared" si="4"/>
        <v>15380447.785202077</v>
      </c>
      <c r="AC9" s="10">
        <f t="shared" si="4"/>
        <v>15072838.829498034</v>
      </c>
      <c r="AD9" s="10">
        <f t="shared" si="4"/>
        <v>14771382.052908072</v>
      </c>
      <c r="AE9" s="10">
        <f t="shared" si="4"/>
        <v>14475954.411849912</v>
      </c>
      <c r="AF9" s="10">
        <f t="shared" si="4"/>
        <v>14186435.323612913</v>
      </c>
      <c r="AG9" s="10">
        <f t="shared" si="4"/>
        <v>13902706.617140654</v>
      </c>
      <c r="AH9" s="10">
        <f t="shared" si="4"/>
        <v>13624652.484797841</v>
      </c>
      <c r="AI9" s="10">
        <f t="shared" si="4"/>
        <v>13352159.435101885</v>
      </c>
      <c r="AJ9" s="10">
        <f t="shared" si="4"/>
        <v>13085116.246399846</v>
      </c>
      <c r="AK9" s="10">
        <f t="shared" si="4"/>
        <v>12823413.921471849</v>
      </c>
      <c r="AL9" s="10">
        <f t="shared" si="4"/>
        <v>12566945.643042412</v>
      </c>
      <c r="AM9" s="10">
        <f t="shared" si="4"/>
        <v>12315606.730181564</v>
      </c>
      <c r="AN9" s="10">
        <f t="shared" si="4"/>
        <v>12069294.595577931</v>
      </c>
      <c r="AO9" s="10">
        <f t="shared" si="4"/>
        <v>11827908.703666372</v>
      </c>
      <c r="AP9" s="10">
        <f t="shared" si="4"/>
        <v>11591350.529593045</v>
      </c>
      <c r="AQ9" s="10">
        <f t="shared" si="4"/>
        <v>11359523.519001184</v>
      </c>
      <c r="AR9" s="10">
        <f t="shared" si="4"/>
        <v>11132333.048621161</v>
      </c>
      <c r="AS9" s="10">
        <f t="shared" si="4"/>
        <v>10909686.387648739</v>
      </c>
      <c r="AT9" s="10">
        <f t="shared" si="4"/>
        <v>10691492.659895763</v>
      </c>
      <c r="AU9" s="10">
        <f t="shared" si="4"/>
        <v>10477662.806697847</v>
      </c>
      <c r="AV9" s="10">
        <f t="shared" si="4"/>
        <v>10268109.55056389</v>
      </c>
      <c r="AW9" s="10">
        <f t="shared" si="4"/>
        <v>10062747.359552613</v>
      </c>
      <c r="AX9" s="10">
        <f t="shared" si="4"/>
        <v>9861492.4123615604</v>
      </c>
      <c r="AY9" s="10">
        <f t="shared" si="4"/>
        <v>9664262.5641143285</v>
      </c>
      <c r="AZ9" s="10">
        <f t="shared" si="4"/>
        <v>9470977.3128320426</v>
      </c>
      <c r="BA9" s="10">
        <f t="shared" si="4"/>
        <v>9281557.7665754016</v>
      </c>
      <c r="BB9" s="10">
        <f t="shared" si="4"/>
        <v>9095926.6112438925</v>
      </c>
      <c r="BC9" s="10">
        <f t="shared" si="4"/>
        <v>8914008.0790190138</v>
      </c>
      <c r="BD9" s="10">
        <f t="shared" si="4"/>
        <v>8735727.9174386337</v>
      </c>
      <c r="BE9" s="10">
        <f t="shared" si="4"/>
        <v>8561013.3590898607</v>
      </c>
      <c r="BF9" s="10">
        <f t="shared" si="4"/>
        <v>8389793.0919080637</v>
      </c>
      <c r="BG9" s="10">
        <f t="shared" si="4"/>
        <v>8221997.2300699018</v>
      </c>
      <c r="BH9" s="43"/>
    </row>
    <row r="10" spans="1:158" s="90" customFormat="1" ht="12.75" x14ac:dyDescent="0.2">
      <c r="A10" s="89"/>
      <c r="B10" s="93"/>
      <c r="C10" s="90" t="s">
        <v>162</v>
      </c>
      <c r="F10" s="92"/>
      <c r="G10" s="92" t="s">
        <v>142</v>
      </c>
      <c r="I10" s="99"/>
      <c r="J10" s="10">
        <f t="shared" si="3"/>
        <v>61224489.795918368</v>
      </c>
      <c r="K10" s="10">
        <f t="shared" si="3"/>
        <v>61224489.795918368</v>
      </c>
      <c r="L10" s="10">
        <f t="shared" si="3"/>
        <v>61224489.795918368</v>
      </c>
      <c r="M10" s="10">
        <f t="shared" si="3"/>
        <v>61224489.795918368</v>
      </c>
      <c r="N10" s="10">
        <f t="shared" si="3"/>
        <v>61224489.795918368</v>
      </c>
      <c r="O10" s="12">
        <f>costo_CRM</f>
        <v>60000000</v>
      </c>
      <c r="P10" s="10">
        <f>$O10*P$16</f>
        <v>58800000</v>
      </c>
      <c r="Q10" s="10">
        <f t="shared" si="4"/>
        <v>57623999.999999993</v>
      </c>
      <c r="R10" s="10">
        <f t="shared" si="4"/>
        <v>56471519.999999993</v>
      </c>
      <c r="S10" s="10">
        <f t="shared" si="4"/>
        <v>55342089.599999994</v>
      </c>
      <c r="T10" s="10">
        <f t="shared" si="4"/>
        <v>54235247.807999991</v>
      </c>
      <c r="U10" s="10">
        <f t="shared" si="4"/>
        <v>53150542.851839989</v>
      </c>
      <c r="V10" s="10">
        <f t="shared" si="4"/>
        <v>52087531.99480319</v>
      </c>
      <c r="W10" s="10">
        <f t="shared" si="4"/>
        <v>51045781.354907125</v>
      </c>
      <c r="X10" s="10">
        <f t="shared" si="4"/>
        <v>50024865.727808982</v>
      </c>
      <c r="Y10" s="10">
        <f t="shared" si="4"/>
        <v>49024368.413252801</v>
      </c>
      <c r="Z10" s="10">
        <f t="shared" si="4"/>
        <v>48043881.044987746</v>
      </c>
      <c r="AA10" s="10">
        <f t="shared" si="4"/>
        <v>47083003.424087994</v>
      </c>
      <c r="AB10" s="10">
        <f t="shared" si="4"/>
        <v>46141343.355606228</v>
      </c>
      <c r="AC10" s="10">
        <f t="shared" si="4"/>
        <v>45218516.488494106</v>
      </c>
      <c r="AD10" s="10">
        <f t="shared" si="4"/>
        <v>44314146.158724219</v>
      </c>
      <c r="AE10" s="10">
        <f t="shared" si="4"/>
        <v>43427863.235549733</v>
      </c>
      <c r="AF10" s="10">
        <f t="shared" si="4"/>
        <v>42559305.97083874</v>
      </c>
      <c r="AG10" s="10">
        <f t="shared" si="4"/>
        <v>41708119.85142196</v>
      </c>
      <c r="AH10" s="10">
        <f t="shared" si="4"/>
        <v>40873957.454393521</v>
      </c>
      <c r="AI10" s="10">
        <f t="shared" si="4"/>
        <v>40056478.305305652</v>
      </c>
      <c r="AJ10" s="10">
        <f t="shared" si="4"/>
        <v>39255348.739199542</v>
      </c>
      <c r="AK10" s="10">
        <f t="shared" si="4"/>
        <v>38470241.764415547</v>
      </c>
      <c r="AL10" s="10">
        <f t="shared" si="4"/>
        <v>37700836.929127231</v>
      </c>
      <c r="AM10" s="10">
        <f t="shared" si="4"/>
        <v>36946820.190544687</v>
      </c>
      <c r="AN10" s="10">
        <f t="shared" si="4"/>
        <v>36207883.786733791</v>
      </c>
      <c r="AO10" s="10">
        <f t="shared" si="4"/>
        <v>35483726.110999115</v>
      </c>
      <c r="AP10" s="10">
        <f t="shared" si="4"/>
        <v>34774051.588779137</v>
      </c>
      <c r="AQ10" s="10">
        <f t="shared" si="4"/>
        <v>34078570.55700355</v>
      </c>
      <c r="AR10" s="10">
        <f t="shared" si="4"/>
        <v>33396999.145863485</v>
      </c>
      <c r="AS10" s="10">
        <f t="shared" si="4"/>
        <v>32729059.162946213</v>
      </c>
      <c r="AT10" s="10">
        <f t="shared" si="4"/>
        <v>32074477.979687288</v>
      </c>
      <c r="AU10" s="10">
        <f t="shared" si="4"/>
        <v>31432988.42009354</v>
      </c>
      <c r="AV10" s="10">
        <f t="shared" si="4"/>
        <v>30804328.651691671</v>
      </c>
      <c r="AW10" s="10">
        <f t="shared" si="4"/>
        <v>30188242.078657839</v>
      </c>
      <c r="AX10" s="10">
        <f t="shared" si="4"/>
        <v>29584477.237084679</v>
      </c>
      <c r="AY10" s="10">
        <f t="shared" si="4"/>
        <v>28992787.692342985</v>
      </c>
      <c r="AZ10" s="10">
        <f t="shared" si="4"/>
        <v>28412931.938496124</v>
      </c>
      <c r="BA10" s="10">
        <f t="shared" si="4"/>
        <v>27844673.299726203</v>
      </c>
      <c r="BB10" s="10">
        <f t="shared" si="4"/>
        <v>27287779.833731677</v>
      </c>
      <c r="BC10" s="10">
        <f t="shared" si="4"/>
        <v>26742024.237057045</v>
      </c>
      <c r="BD10" s="10">
        <f t="shared" si="4"/>
        <v>26207183.752315901</v>
      </c>
      <c r="BE10" s="10">
        <f t="shared" si="4"/>
        <v>25683040.077269584</v>
      </c>
      <c r="BF10" s="10">
        <f t="shared" si="4"/>
        <v>25169379.275724191</v>
      </c>
      <c r="BG10" s="10">
        <f t="shared" si="4"/>
        <v>24665991.690209705</v>
      </c>
      <c r="BH10" s="43"/>
    </row>
    <row r="11" spans="1:158" s="90" customFormat="1" ht="12.75" x14ac:dyDescent="0.2">
      <c r="A11" s="89"/>
      <c r="B11" s="93"/>
      <c r="C11" s="90" t="s">
        <v>231</v>
      </c>
      <c r="F11" s="92"/>
      <c r="G11" s="92" t="s">
        <v>142</v>
      </c>
      <c r="I11" s="99"/>
      <c r="J11" s="10">
        <f t="shared" ref="J11:N12" si="5">$O11*J$16</f>
        <v>0</v>
      </c>
      <c r="K11" s="10">
        <f t="shared" si="5"/>
        <v>0</v>
      </c>
      <c r="L11" s="10">
        <f t="shared" si="5"/>
        <v>0</v>
      </c>
      <c r="M11" s="10">
        <f t="shared" si="5"/>
        <v>0</v>
      </c>
      <c r="N11" s="10">
        <f t="shared" si="5"/>
        <v>0</v>
      </c>
      <c r="O11" s="178">
        <v>0</v>
      </c>
      <c r="P11" s="10">
        <f t="shared" ref="P11:P12" si="6">$O11*P$16</f>
        <v>0</v>
      </c>
      <c r="Q11" s="10">
        <f t="shared" si="4"/>
        <v>0</v>
      </c>
      <c r="R11" s="10">
        <f t="shared" si="4"/>
        <v>0</v>
      </c>
      <c r="S11" s="10">
        <f t="shared" si="4"/>
        <v>0</v>
      </c>
      <c r="T11" s="10">
        <f t="shared" si="4"/>
        <v>0</v>
      </c>
      <c r="U11" s="10">
        <f t="shared" si="4"/>
        <v>0</v>
      </c>
      <c r="V11" s="10">
        <f t="shared" si="4"/>
        <v>0</v>
      </c>
      <c r="W11" s="10">
        <f t="shared" si="4"/>
        <v>0</v>
      </c>
      <c r="X11" s="10">
        <f t="shared" si="4"/>
        <v>0</v>
      </c>
      <c r="Y11" s="10">
        <f t="shared" si="4"/>
        <v>0</v>
      </c>
      <c r="Z11" s="10">
        <f t="shared" si="4"/>
        <v>0</v>
      </c>
      <c r="AA11" s="10">
        <f t="shared" si="4"/>
        <v>0</v>
      </c>
      <c r="AB11" s="10">
        <f t="shared" si="4"/>
        <v>0</v>
      </c>
      <c r="AC11" s="10">
        <f t="shared" si="4"/>
        <v>0</v>
      </c>
      <c r="AD11" s="10">
        <f t="shared" si="4"/>
        <v>0</v>
      </c>
      <c r="AE11" s="10">
        <f t="shared" si="4"/>
        <v>0</v>
      </c>
      <c r="AF11" s="10">
        <f t="shared" si="4"/>
        <v>0</v>
      </c>
      <c r="AG11" s="10">
        <f t="shared" si="4"/>
        <v>0</v>
      </c>
      <c r="AH11" s="10">
        <f t="shared" si="4"/>
        <v>0</v>
      </c>
      <c r="AI11" s="10">
        <f t="shared" si="4"/>
        <v>0</v>
      </c>
      <c r="AJ11" s="10">
        <f t="shared" si="4"/>
        <v>0</v>
      </c>
      <c r="AK11" s="10">
        <f t="shared" si="4"/>
        <v>0</v>
      </c>
      <c r="AL11" s="10">
        <f t="shared" si="4"/>
        <v>0</v>
      </c>
      <c r="AM11" s="10">
        <f t="shared" si="4"/>
        <v>0</v>
      </c>
      <c r="AN11" s="10">
        <f t="shared" si="4"/>
        <v>0</v>
      </c>
      <c r="AO11" s="10">
        <f t="shared" si="4"/>
        <v>0</v>
      </c>
      <c r="AP11" s="10">
        <f t="shared" si="4"/>
        <v>0</v>
      </c>
      <c r="AQ11" s="10">
        <f t="shared" si="4"/>
        <v>0</v>
      </c>
      <c r="AR11" s="10">
        <f t="shared" si="4"/>
        <v>0</v>
      </c>
      <c r="AS11" s="10">
        <f t="shared" si="4"/>
        <v>0</v>
      </c>
      <c r="AT11" s="10">
        <f t="shared" si="4"/>
        <v>0</v>
      </c>
      <c r="AU11" s="10">
        <f t="shared" si="4"/>
        <v>0</v>
      </c>
      <c r="AV11" s="10">
        <f t="shared" si="4"/>
        <v>0</v>
      </c>
      <c r="AW11" s="10">
        <f t="shared" si="4"/>
        <v>0</v>
      </c>
      <c r="AX11" s="10">
        <f t="shared" si="4"/>
        <v>0</v>
      </c>
      <c r="AY11" s="10">
        <f t="shared" si="4"/>
        <v>0</v>
      </c>
      <c r="AZ11" s="10">
        <f t="shared" si="4"/>
        <v>0</v>
      </c>
      <c r="BA11" s="10">
        <f t="shared" si="4"/>
        <v>0</v>
      </c>
      <c r="BB11" s="10">
        <f t="shared" si="4"/>
        <v>0</v>
      </c>
      <c r="BC11" s="10">
        <f t="shared" si="4"/>
        <v>0</v>
      </c>
      <c r="BD11" s="10">
        <f t="shared" si="4"/>
        <v>0</v>
      </c>
      <c r="BE11" s="10">
        <f t="shared" si="4"/>
        <v>0</v>
      </c>
      <c r="BF11" s="10">
        <f t="shared" si="4"/>
        <v>0</v>
      </c>
      <c r="BG11" s="10">
        <f t="shared" si="4"/>
        <v>0</v>
      </c>
      <c r="BH11" s="43"/>
    </row>
    <row r="12" spans="1:158" s="90" customFormat="1" ht="12.75" x14ac:dyDescent="0.2">
      <c r="A12" s="89"/>
      <c r="B12" s="93"/>
      <c r="C12" s="90" t="s">
        <v>311</v>
      </c>
      <c r="F12" s="92"/>
      <c r="G12" s="92" t="s">
        <v>142</v>
      </c>
      <c r="I12" s="99"/>
      <c r="J12" s="180">
        <f t="shared" si="5"/>
        <v>0</v>
      </c>
      <c r="K12" s="180">
        <f t="shared" si="5"/>
        <v>0</v>
      </c>
      <c r="L12" s="180">
        <f t="shared" si="5"/>
        <v>0</v>
      </c>
      <c r="M12" s="180">
        <f t="shared" si="5"/>
        <v>0</v>
      </c>
      <c r="N12" s="180">
        <f t="shared" si="5"/>
        <v>0</v>
      </c>
      <c r="O12" s="178">
        <v>0</v>
      </c>
      <c r="P12" s="180">
        <f t="shared" si="6"/>
        <v>0</v>
      </c>
      <c r="Q12" s="180">
        <f t="shared" si="4"/>
        <v>0</v>
      </c>
      <c r="R12" s="180">
        <f t="shared" si="4"/>
        <v>0</v>
      </c>
      <c r="S12" s="180">
        <f t="shared" si="4"/>
        <v>0</v>
      </c>
      <c r="T12" s="180">
        <f t="shared" si="4"/>
        <v>0</v>
      </c>
      <c r="U12" s="180">
        <f t="shared" si="4"/>
        <v>0</v>
      </c>
      <c r="V12" s="180">
        <f t="shared" si="4"/>
        <v>0</v>
      </c>
      <c r="W12" s="180">
        <f t="shared" si="4"/>
        <v>0</v>
      </c>
      <c r="X12" s="180">
        <f t="shared" si="4"/>
        <v>0</v>
      </c>
      <c r="Y12" s="180">
        <f t="shared" si="4"/>
        <v>0</v>
      </c>
      <c r="Z12" s="180">
        <f t="shared" si="4"/>
        <v>0</v>
      </c>
      <c r="AA12" s="180">
        <f t="shared" si="4"/>
        <v>0</v>
      </c>
      <c r="AB12" s="180">
        <f t="shared" si="4"/>
        <v>0</v>
      </c>
      <c r="AC12" s="180">
        <f t="shared" si="4"/>
        <v>0</v>
      </c>
      <c r="AD12" s="180">
        <f t="shared" si="4"/>
        <v>0</v>
      </c>
      <c r="AE12" s="180">
        <f t="shared" si="4"/>
        <v>0</v>
      </c>
      <c r="AF12" s="180">
        <f t="shared" si="4"/>
        <v>0</v>
      </c>
      <c r="AG12" s="180">
        <f t="shared" si="4"/>
        <v>0</v>
      </c>
      <c r="AH12" s="180">
        <f t="shared" si="4"/>
        <v>0</v>
      </c>
      <c r="AI12" s="180">
        <f t="shared" si="4"/>
        <v>0</v>
      </c>
      <c r="AJ12" s="180">
        <f t="shared" si="4"/>
        <v>0</v>
      </c>
      <c r="AK12" s="180">
        <f t="shared" si="4"/>
        <v>0</v>
      </c>
      <c r="AL12" s="180">
        <f t="shared" si="4"/>
        <v>0</v>
      </c>
      <c r="AM12" s="180">
        <f t="shared" si="4"/>
        <v>0</v>
      </c>
      <c r="AN12" s="180">
        <f t="shared" si="4"/>
        <v>0</v>
      </c>
      <c r="AO12" s="180">
        <f t="shared" si="4"/>
        <v>0</v>
      </c>
      <c r="AP12" s="180">
        <f t="shared" si="4"/>
        <v>0</v>
      </c>
      <c r="AQ12" s="180">
        <f t="shared" si="4"/>
        <v>0</v>
      </c>
      <c r="AR12" s="180">
        <f t="shared" si="4"/>
        <v>0</v>
      </c>
      <c r="AS12" s="180">
        <f t="shared" si="4"/>
        <v>0</v>
      </c>
      <c r="AT12" s="180">
        <f t="shared" si="4"/>
        <v>0</v>
      </c>
      <c r="AU12" s="180">
        <f t="shared" si="4"/>
        <v>0</v>
      </c>
      <c r="AV12" s="180">
        <f t="shared" si="4"/>
        <v>0</v>
      </c>
      <c r="AW12" s="180">
        <f t="shared" si="4"/>
        <v>0</v>
      </c>
      <c r="AX12" s="180">
        <f t="shared" si="4"/>
        <v>0</v>
      </c>
      <c r="AY12" s="180">
        <f t="shared" si="4"/>
        <v>0</v>
      </c>
      <c r="AZ12" s="180">
        <f t="shared" si="4"/>
        <v>0</v>
      </c>
      <c r="BA12" s="180">
        <f t="shared" si="4"/>
        <v>0</v>
      </c>
      <c r="BB12" s="180">
        <f t="shared" si="4"/>
        <v>0</v>
      </c>
      <c r="BC12" s="180">
        <f t="shared" si="4"/>
        <v>0</v>
      </c>
      <c r="BD12" s="180">
        <f t="shared" si="4"/>
        <v>0</v>
      </c>
      <c r="BE12" s="180">
        <f t="shared" si="4"/>
        <v>0</v>
      </c>
      <c r="BF12" s="180">
        <f t="shared" si="4"/>
        <v>0</v>
      </c>
      <c r="BG12" s="180">
        <f t="shared" si="4"/>
        <v>0</v>
      </c>
      <c r="BH12" s="43"/>
    </row>
    <row r="13" spans="1:158" s="90" customFormat="1" ht="12.75" x14ac:dyDescent="0.2">
      <c r="A13" s="89"/>
      <c r="B13" s="93"/>
      <c r="C13" s="179" t="s">
        <v>255</v>
      </c>
      <c r="F13" s="92"/>
      <c r="G13" s="92" t="s">
        <v>142</v>
      </c>
      <c r="I13" s="99"/>
      <c r="J13" s="181"/>
      <c r="K13" s="181"/>
      <c r="L13" s="181"/>
      <c r="M13" s="181"/>
      <c r="N13" s="181"/>
      <c r="O13" s="184"/>
      <c r="P13" s="181"/>
      <c r="Q13" s="181"/>
      <c r="R13" s="181"/>
      <c r="S13" s="181"/>
      <c r="T13" s="181"/>
      <c r="U13" s="181"/>
      <c r="V13" s="181"/>
      <c r="W13" s="181"/>
      <c r="X13" s="181"/>
      <c r="Y13" s="181"/>
      <c r="Z13" s="181"/>
      <c r="AA13" s="181"/>
      <c r="AB13" s="181"/>
      <c r="AC13" s="181"/>
      <c r="AD13" s="181"/>
      <c r="AE13" s="181"/>
      <c r="AF13" s="181"/>
      <c r="AG13" s="181"/>
      <c r="AH13" s="181"/>
      <c r="AI13" s="181"/>
      <c r="AJ13" s="181"/>
      <c r="AK13" s="181"/>
      <c r="AL13" s="181"/>
      <c r="AM13" s="181"/>
      <c r="AN13" s="181"/>
      <c r="AO13" s="181"/>
      <c r="AP13" s="181"/>
      <c r="AQ13" s="181"/>
      <c r="AR13" s="181"/>
      <c r="AS13" s="181"/>
      <c r="AT13" s="181"/>
      <c r="AU13" s="181"/>
      <c r="AV13" s="181"/>
      <c r="AW13" s="181"/>
      <c r="AX13" s="181"/>
      <c r="AY13" s="181"/>
      <c r="AZ13" s="181"/>
      <c r="BA13" s="181"/>
      <c r="BB13" s="181"/>
      <c r="BC13" s="181"/>
      <c r="BD13" s="181"/>
      <c r="BE13" s="181"/>
      <c r="BF13" s="181"/>
      <c r="BG13" s="181"/>
      <c r="BH13" s="43"/>
    </row>
    <row r="14" spans="1:158" s="90" customFormat="1" ht="12.75" x14ac:dyDescent="0.2">
      <c r="A14" s="89"/>
      <c r="B14" s="93"/>
      <c r="C14" s="179" t="s">
        <v>256</v>
      </c>
      <c r="F14" s="92"/>
      <c r="G14" s="92" t="s">
        <v>142</v>
      </c>
      <c r="I14" s="99"/>
      <c r="J14" s="181"/>
      <c r="K14" s="181"/>
      <c r="L14" s="181"/>
      <c r="M14" s="181"/>
      <c r="N14" s="181"/>
      <c r="O14" s="184"/>
      <c r="P14" s="181"/>
      <c r="Q14" s="181"/>
      <c r="R14" s="181"/>
      <c r="S14" s="181"/>
      <c r="T14" s="181"/>
      <c r="U14" s="181"/>
      <c r="V14" s="181"/>
      <c r="W14" s="181"/>
      <c r="X14" s="181"/>
      <c r="Y14" s="181"/>
      <c r="Z14" s="181"/>
      <c r="AA14" s="181"/>
      <c r="AB14" s="181"/>
      <c r="AC14" s="181"/>
      <c r="AD14" s="181"/>
      <c r="AE14" s="181"/>
      <c r="AF14" s="181"/>
      <c r="AG14" s="181"/>
      <c r="AH14" s="181"/>
      <c r="AI14" s="181"/>
      <c r="AJ14" s="181"/>
      <c r="AK14" s="181"/>
      <c r="AL14" s="181"/>
      <c r="AM14" s="181"/>
      <c r="AN14" s="181"/>
      <c r="AO14" s="181"/>
      <c r="AP14" s="181"/>
      <c r="AQ14" s="181"/>
      <c r="AR14" s="181"/>
      <c r="AS14" s="181"/>
      <c r="AT14" s="181"/>
      <c r="AU14" s="181"/>
      <c r="AV14" s="181"/>
      <c r="AW14" s="181"/>
      <c r="AX14" s="181"/>
      <c r="AY14" s="181"/>
      <c r="AZ14" s="181"/>
      <c r="BA14" s="181"/>
      <c r="BB14" s="181"/>
      <c r="BC14" s="181"/>
      <c r="BD14" s="181"/>
      <c r="BE14" s="181"/>
      <c r="BF14" s="181"/>
      <c r="BG14" s="181"/>
      <c r="BH14" s="43"/>
    </row>
    <row r="15" spans="1:158" s="90" customFormat="1" x14ac:dyDescent="0.2">
      <c r="B15" s="110" t="s">
        <v>209</v>
      </c>
      <c r="I15" s="99"/>
      <c r="J15" s="108">
        <f t="shared" ref="J15:M15" si="7">I15</f>
        <v>0</v>
      </c>
      <c r="K15" s="108">
        <f t="shared" si="7"/>
        <v>0</v>
      </c>
      <c r="L15" s="108">
        <f t="shared" si="7"/>
        <v>0</v>
      </c>
      <c r="M15" s="108">
        <f t="shared" si="7"/>
        <v>0</v>
      </c>
      <c r="N15" s="108">
        <f>M15</f>
        <v>0</v>
      </c>
      <c r="O15" s="183">
        <v>-0.02</v>
      </c>
      <c r="P15" s="108">
        <f>O15</f>
        <v>-0.02</v>
      </c>
      <c r="Q15" s="108">
        <f t="shared" ref="Q15:BG15" si="8">P15</f>
        <v>-0.02</v>
      </c>
      <c r="R15" s="108">
        <f t="shared" si="8"/>
        <v>-0.02</v>
      </c>
      <c r="S15" s="108">
        <f t="shared" si="8"/>
        <v>-0.02</v>
      </c>
      <c r="T15" s="108">
        <f t="shared" si="8"/>
        <v>-0.02</v>
      </c>
      <c r="U15" s="108">
        <f t="shared" si="8"/>
        <v>-0.02</v>
      </c>
      <c r="V15" s="108">
        <f t="shared" si="8"/>
        <v>-0.02</v>
      </c>
      <c r="W15" s="108">
        <f t="shared" si="8"/>
        <v>-0.02</v>
      </c>
      <c r="X15" s="108">
        <f t="shared" si="8"/>
        <v>-0.02</v>
      </c>
      <c r="Y15" s="108">
        <f t="shared" si="8"/>
        <v>-0.02</v>
      </c>
      <c r="Z15" s="108">
        <f t="shared" si="8"/>
        <v>-0.02</v>
      </c>
      <c r="AA15" s="108">
        <f t="shared" si="8"/>
        <v>-0.02</v>
      </c>
      <c r="AB15" s="108">
        <f t="shared" si="8"/>
        <v>-0.02</v>
      </c>
      <c r="AC15" s="108">
        <f t="shared" si="8"/>
        <v>-0.02</v>
      </c>
      <c r="AD15" s="108">
        <f t="shared" si="8"/>
        <v>-0.02</v>
      </c>
      <c r="AE15" s="108">
        <f t="shared" si="8"/>
        <v>-0.02</v>
      </c>
      <c r="AF15" s="108">
        <f t="shared" si="8"/>
        <v>-0.02</v>
      </c>
      <c r="AG15" s="108">
        <f t="shared" si="8"/>
        <v>-0.02</v>
      </c>
      <c r="AH15" s="108">
        <f t="shared" si="8"/>
        <v>-0.02</v>
      </c>
      <c r="AI15" s="108">
        <f t="shared" si="8"/>
        <v>-0.02</v>
      </c>
      <c r="AJ15" s="108">
        <f t="shared" si="8"/>
        <v>-0.02</v>
      </c>
      <c r="AK15" s="108">
        <f t="shared" si="8"/>
        <v>-0.02</v>
      </c>
      <c r="AL15" s="108">
        <f t="shared" si="8"/>
        <v>-0.02</v>
      </c>
      <c r="AM15" s="108">
        <f t="shared" si="8"/>
        <v>-0.02</v>
      </c>
      <c r="AN15" s="108">
        <f t="shared" si="8"/>
        <v>-0.02</v>
      </c>
      <c r="AO15" s="108">
        <f t="shared" si="8"/>
        <v>-0.02</v>
      </c>
      <c r="AP15" s="108">
        <f t="shared" si="8"/>
        <v>-0.02</v>
      </c>
      <c r="AQ15" s="108">
        <f t="shared" si="8"/>
        <v>-0.02</v>
      </c>
      <c r="AR15" s="108">
        <f t="shared" si="8"/>
        <v>-0.02</v>
      </c>
      <c r="AS15" s="108">
        <f t="shared" si="8"/>
        <v>-0.02</v>
      </c>
      <c r="AT15" s="108">
        <f t="shared" si="8"/>
        <v>-0.02</v>
      </c>
      <c r="AU15" s="108">
        <f t="shared" si="8"/>
        <v>-0.02</v>
      </c>
      <c r="AV15" s="108">
        <f t="shared" si="8"/>
        <v>-0.02</v>
      </c>
      <c r="AW15" s="108">
        <f t="shared" si="8"/>
        <v>-0.02</v>
      </c>
      <c r="AX15" s="108">
        <f t="shared" si="8"/>
        <v>-0.02</v>
      </c>
      <c r="AY15" s="108">
        <f t="shared" si="8"/>
        <v>-0.02</v>
      </c>
      <c r="AZ15" s="108">
        <f t="shared" si="8"/>
        <v>-0.02</v>
      </c>
      <c r="BA15" s="108">
        <f t="shared" si="8"/>
        <v>-0.02</v>
      </c>
      <c r="BB15" s="108">
        <f t="shared" si="8"/>
        <v>-0.02</v>
      </c>
      <c r="BC15" s="108">
        <f t="shared" si="8"/>
        <v>-0.02</v>
      </c>
      <c r="BD15" s="108">
        <f t="shared" si="8"/>
        <v>-0.02</v>
      </c>
      <c r="BE15" s="108">
        <f t="shared" si="8"/>
        <v>-0.02</v>
      </c>
      <c r="BF15" s="108">
        <f t="shared" si="8"/>
        <v>-0.02</v>
      </c>
      <c r="BG15" s="108">
        <f t="shared" si="8"/>
        <v>-0.02</v>
      </c>
    </row>
    <row r="16" spans="1:158" s="90" customFormat="1" x14ac:dyDescent="0.2">
      <c r="B16" s="110"/>
      <c r="C16" s="90" t="s">
        <v>169</v>
      </c>
      <c r="I16" s="99"/>
      <c r="J16" s="175">
        <f>K16/(1+K15)</f>
        <v>1.0204081632653061</v>
      </c>
      <c r="K16" s="175">
        <f>L16/(1+L15)</f>
        <v>1.0204081632653061</v>
      </c>
      <c r="L16" s="175">
        <f>M16/(1+M15)</f>
        <v>1.0204081632653061</v>
      </c>
      <c r="M16" s="175">
        <f>N16/(1+N15)</f>
        <v>1.0204081632653061</v>
      </c>
      <c r="N16" s="175">
        <f>O16/(1+O15)</f>
        <v>1.0204081632653061</v>
      </c>
      <c r="O16" s="117">
        <v>1</v>
      </c>
      <c r="P16" s="124">
        <f t="shared" ref="P16" si="9">O16*(1+P15)</f>
        <v>0.98</v>
      </c>
      <c r="Q16" s="124">
        <f t="shared" ref="Q16" si="10">P16*(1+Q15)</f>
        <v>0.96039999999999992</v>
      </c>
      <c r="R16" s="124">
        <f t="shared" ref="R16" si="11">Q16*(1+R15)</f>
        <v>0.94119199999999992</v>
      </c>
      <c r="S16" s="124">
        <f t="shared" ref="S16" si="12">R16*(1+S15)</f>
        <v>0.92236815999999988</v>
      </c>
      <c r="T16" s="124">
        <f t="shared" ref="T16" si="13">S16*(1+T15)</f>
        <v>0.90392079679999982</v>
      </c>
      <c r="U16" s="124">
        <f t="shared" ref="U16" si="14">T16*(1+U15)</f>
        <v>0.8858423808639998</v>
      </c>
      <c r="V16" s="124">
        <f t="shared" ref="V16" si="15">U16*(1+V15)</f>
        <v>0.86812553324671982</v>
      </c>
      <c r="W16" s="124">
        <f t="shared" ref="W16" si="16">V16*(1+W15)</f>
        <v>0.85076302258178538</v>
      </c>
      <c r="X16" s="124">
        <f t="shared" ref="X16" si="17">W16*(1+X15)</f>
        <v>0.83374776213014967</v>
      </c>
      <c r="Y16" s="124">
        <f t="shared" ref="Y16" si="18">X16*(1+Y15)</f>
        <v>0.81707280688754669</v>
      </c>
      <c r="Z16" s="124">
        <f t="shared" ref="Z16" si="19">Y16*(1+Z15)</f>
        <v>0.80073135074979573</v>
      </c>
      <c r="AA16" s="124">
        <f t="shared" ref="AA16" si="20">Z16*(1+AA15)</f>
        <v>0.78471672373479984</v>
      </c>
      <c r="AB16" s="124">
        <f t="shared" ref="AB16" si="21">AA16*(1+AB15)</f>
        <v>0.7690223892601038</v>
      </c>
      <c r="AC16" s="124">
        <f t="shared" ref="AC16" si="22">AB16*(1+AC15)</f>
        <v>0.75364194147490171</v>
      </c>
      <c r="AD16" s="124">
        <f t="shared" ref="AD16" si="23">AC16*(1+AD15)</f>
        <v>0.73856910264540365</v>
      </c>
      <c r="AE16" s="124">
        <f t="shared" ref="AE16" si="24">AD16*(1+AE15)</f>
        <v>0.72379772059249559</v>
      </c>
      <c r="AF16" s="124">
        <f t="shared" ref="AF16" si="25">AE16*(1+AF15)</f>
        <v>0.70932176618064569</v>
      </c>
      <c r="AG16" s="124">
        <f t="shared" ref="AG16" si="26">AF16*(1+AG15)</f>
        <v>0.69513533085703272</v>
      </c>
      <c r="AH16" s="124">
        <f t="shared" ref="AH16" si="27">AG16*(1+AH15)</f>
        <v>0.68123262423989206</v>
      </c>
      <c r="AI16" s="124">
        <f t="shared" ref="AI16" si="28">AH16*(1+AI15)</f>
        <v>0.66760797175509423</v>
      </c>
      <c r="AJ16" s="124">
        <f t="shared" ref="AJ16" si="29">AI16*(1+AJ15)</f>
        <v>0.6542558123199923</v>
      </c>
      <c r="AK16" s="124">
        <f t="shared" ref="AK16" si="30">AJ16*(1+AK15)</f>
        <v>0.64117069607359245</v>
      </c>
      <c r="AL16" s="124">
        <f t="shared" ref="AL16" si="31">AK16*(1+AL15)</f>
        <v>0.62834728215212055</v>
      </c>
      <c r="AM16" s="124">
        <f t="shared" ref="AM16" si="32">AL16*(1+AM15)</f>
        <v>0.61578033650907815</v>
      </c>
      <c r="AN16" s="124">
        <f t="shared" ref="AN16" si="33">AM16*(1+AN15)</f>
        <v>0.60346472977889654</v>
      </c>
      <c r="AO16" s="124">
        <f t="shared" ref="AO16" si="34">AN16*(1+AO15)</f>
        <v>0.59139543518331861</v>
      </c>
      <c r="AP16" s="124">
        <f t="shared" ref="AP16" si="35">AO16*(1+AP15)</f>
        <v>0.57956752647965226</v>
      </c>
      <c r="AQ16" s="124">
        <f t="shared" ref="AQ16" si="36">AP16*(1+AQ15)</f>
        <v>0.56797617595005923</v>
      </c>
      <c r="AR16" s="124">
        <f t="shared" ref="AR16" si="37">AQ16*(1+AR15)</f>
        <v>0.55661665243105807</v>
      </c>
      <c r="AS16" s="124">
        <f t="shared" ref="AS16" si="38">AR16*(1+AS15)</f>
        <v>0.54548431938243691</v>
      </c>
      <c r="AT16" s="124">
        <f t="shared" ref="AT16" si="39">AS16*(1+AT15)</f>
        <v>0.53457463299478813</v>
      </c>
      <c r="AU16" s="124">
        <f t="shared" ref="AU16" si="40">AT16*(1+AU15)</f>
        <v>0.52388314033489236</v>
      </c>
      <c r="AV16" s="124">
        <f t="shared" ref="AV16" si="41">AU16*(1+AV15)</f>
        <v>0.51340547752819454</v>
      </c>
      <c r="AW16" s="124">
        <f t="shared" ref="AW16" si="42">AV16*(1+AW15)</f>
        <v>0.50313736797763065</v>
      </c>
      <c r="AX16" s="124">
        <f t="shared" ref="AX16" si="43">AW16*(1+AX15)</f>
        <v>0.493074620618078</v>
      </c>
      <c r="AY16" s="124">
        <f t="shared" ref="AY16" si="44">AX16*(1+AY15)</f>
        <v>0.48321312820571644</v>
      </c>
      <c r="AZ16" s="124">
        <f t="shared" ref="AZ16" si="45">AY16*(1+AZ15)</f>
        <v>0.47354886564160209</v>
      </c>
      <c r="BA16" s="124">
        <f t="shared" ref="BA16" si="46">AZ16*(1+BA15)</f>
        <v>0.46407788832877006</v>
      </c>
      <c r="BB16" s="124">
        <f t="shared" ref="BB16" si="47">BA16*(1+BB15)</f>
        <v>0.45479633056219465</v>
      </c>
      <c r="BC16" s="124">
        <f t="shared" ref="BC16" si="48">BB16*(1+BC15)</f>
        <v>0.44570040395095073</v>
      </c>
      <c r="BD16" s="124">
        <f t="shared" ref="BD16" si="49">BC16*(1+BD15)</f>
        <v>0.43678639587193169</v>
      </c>
      <c r="BE16" s="124">
        <f t="shared" ref="BE16" si="50">BD16*(1+BE15)</f>
        <v>0.42805066795449304</v>
      </c>
      <c r="BF16" s="124">
        <f t="shared" ref="BF16" si="51">BE16*(1+BF15)</f>
        <v>0.41948965459540316</v>
      </c>
      <c r="BG16" s="124">
        <f t="shared" ref="BG16" si="52">BF16*(1+BG15)</f>
        <v>0.41109986150349509</v>
      </c>
    </row>
    <row r="17" spans="1:60" ht="12.75" x14ac:dyDescent="0.2">
      <c r="B17" s="101" t="s">
        <v>167</v>
      </c>
      <c r="F17" s="92"/>
      <c r="G17" s="92"/>
      <c r="I17" s="99"/>
      <c r="J17" s="99"/>
      <c r="K17" s="99"/>
      <c r="L17" s="99"/>
      <c r="M17" s="99"/>
      <c r="N17" s="99"/>
      <c r="O17" s="99"/>
      <c r="P17" s="99"/>
      <c r="Q17" s="99"/>
      <c r="R17" s="99"/>
      <c r="S17" s="99"/>
      <c r="T17" s="99"/>
      <c r="U17" s="99"/>
      <c r="V17" s="99"/>
      <c r="W17" s="99"/>
      <c r="X17" s="99"/>
      <c r="Y17" s="99"/>
      <c r="Z17" s="99"/>
      <c r="AA17" s="99"/>
      <c r="AB17" s="99"/>
      <c r="AC17" s="99"/>
      <c r="AD17" s="99"/>
      <c r="AE17" s="99"/>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row>
    <row r="18" spans="1:60" s="90" customFormat="1" ht="12.75" x14ac:dyDescent="0.2">
      <c r="A18" s="89"/>
      <c r="B18" s="93"/>
      <c r="C18" s="90" t="s">
        <v>144</v>
      </c>
      <c r="F18" s="92"/>
      <c r="G18" s="92" t="s">
        <v>126</v>
      </c>
      <c r="I18" s="99"/>
      <c r="J18" s="10">
        <f t="array" ref="J18:BG18">ROUNDUP(promedio_usuarios_fijos/capacidad_billing,0)</f>
        <v>2</v>
      </c>
      <c r="K18" s="10">
        <v>1</v>
      </c>
      <c r="L18" s="10">
        <v>1</v>
      </c>
      <c r="M18" s="10">
        <v>1</v>
      </c>
      <c r="N18" s="10">
        <v>1</v>
      </c>
      <c r="O18" s="10">
        <v>1</v>
      </c>
      <c r="P18" s="10">
        <v>1</v>
      </c>
      <c r="Q18" s="10">
        <v>1</v>
      </c>
      <c r="R18" s="10">
        <v>1</v>
      </c>
      <c r="S18" s="10">
        <v>1</v>
      </c>
      <c r="T18" s="10">
        <v>1</v>
      </c>
      <c r="U18" s="10">
        <v>1</v>
      </c>
      <c r="V18" s="10">
        <v>1</v>
      </c>
      <c r="W18" s="10">
        <v>1</v>
      </c>
      <c r="X18" s="10">
        <v>1</v>
      </c>
      <c r="Y18" s="10">
        <v>1</v>
      </c>
      <c r="Z18" s="10">
        <v>1</v>
      </c>
      <c r="AA18" s="10">
        <v>1</v>
      </c>
      <c r="AB18" s="10">
        <v>1</v>
      </c>
      <c r="AC18" s="10">
        <v>1</v>
      </c>
      <c r="AD18" s="10">
        <v>1</v>
      </c>
      <c r="AE18" s="10">
        <v>1</v>
      </c>
      <c r="AF18" s="10">
        <v>1</v>
      </c>
      <c r="AG18" s="10">
        <v>1</v>
      </c>
      <c r="AH18" s="10">
        <v>1</v>
      </c>
      <c r="AI18" s="10">
        <v>1</v>
      </c>
      <c r="AJ18" s="10">
        <v>1</v>
      </c>
      <c r="AK18" s="10">
        <v>1</v>
      </c>
      <c r="AL18" s="10">
        <v>1</v>
      </c>
      <c r="AM18" s="10">
        <v>1</v>
      </c>
      <c r="AN18" s="10">
        <v>1</v>
      </c>
      <c r="AO18" s="10">
        <v>1</v>
      </c>
      <c r="AP18" s="10">
        <v>2</v>
      </c>
      <c r="AQ18" s="10">
        <v>2</v>
      </c>
      <c r="AR18" s="10">
        <v>2</v>
      </c>
      <c r="AS18" s="10">
        <v>2</v>
      </c>
      <c r="AT18" s="10">
        <v>2</v>
      </c>
      <c r="AU18" s="10">
        <v>2</v>
      </c>
      <c r="AV18" s="10">
        <v>2</v>
      </c>
      <c r="AW18" s="10">
        <v>2</v>
      </c>
      <c r="AX18" s="10">
        <v>2</v>
      </c>
      <c r="AY18" s="10">
        <v>2</v>
      </c>
      <c r="AZ18" s="10">
        <v>2</v>
      </c>
      <c r="BA18" s="10">
        <v>2</v>
      </c>
      <c r="BB18" s="10">
        <v>2</v>
      </c>
      <c r="BC18" s="10">
        <v>2</v>
      </c>
      <c r="BD18" s="10">
        <v>2</v>
      </c>
      <c r="BE18" s="10">
        <v>2</v>
      </c>
      <c r="BF18" s="10">
        <v>2</v>
      </c>
      <c r="BG18" s="10">
        <v>2</v>
      </c>
      <c r="BH18" s="43"/>
    </row>
    <row r="19" spans="1:60" s="90" customFormat="1" x14ac:dyDescent="0.2">
      <c r="A19" s="89"/>
      <c r="B19" s="89"/>
      <c r="C19" s="90" t="s">
        <v>162</v>
      </c>
      <c r="F19" s="92"/>
      <c r="G19" s="92" t="s">
        <v>126</v>
      </c>
      <c r="I19" s="99"/>
      <c r="J19" s="10">
        <f t="array" ref="J19:BG19">ROUNDUP(promedio_usuarios_fijos/capacidad_CRM,0)</f>
        <v>2</v>
      </c>
      <c r="K19" s="10">
        <v>1</v>
      </c>
      <c r="L19" s="10">
        <v>1</v>
      </c>
      <c r="M19" s="10">
        <v>1</v>
      </c>
      <c r="N19" s="10">
        <v>1</v>
      </c>
      <c r="O19" s="10">
        <v>1</v>
      </c>
      <c r="P19" s="10">
        <v>1</v>
      </c>
      <c r="Q19" s="10">
        <v>1</v>
      </c>
      <c r="R19" s="10">
        <v>1</v>
      </c>
      <c r="S19" s="10">
        <v>1</v>
      </c>
      <c r="T19" s="10">
        <v>1</v>
      </c>
      <c r="U19" s="10">
        <v>1</v>
      </c>
      <c r="V19" s="10">
        <v>1</v>
      </c>
      <c r="W19" s="10">
        <v>1</v>
      </c>
      <c r="X19" s="10">
        <v>1</v>
      </c>
      <c r="Y19" s="10">
        <v>1</v>
      </c>
      <c r="Z19" s="10">
        <v>1</v>
      </c>
      <c r="AA19" s="10">
        <v>1</v>
      </c>
      <c r="AB19" s="10">
        <v>1</v>
      </c>
      <c r="AC19" s="10">
        <v>1</v>
      </c>
      <c r="AD19" s="10">
        <v>1</v>
      </c>
      <c r="AE19" s="10">
        <v>1</v>
      </c>
      <c r="AF19" s="10">
        <v>1</v>
      </c>
      <c r="AG19" s="10">
        <v>1</v>
      </c>
      <c r="AH19" s="10">
        <v>1</v>
      </c>
      <c r="AI19" s="10">
        <v>1</v>
      </c>
      <c r="AJ19" s="10">
        <v>1</v>
      </c>
      <c r="AK19" s="10">
        <v>1</v>
      </c>
      <c r="AL19" s="10">
        <v>1</v>
      </c>
      <c r="AM19" s="10">
        <v>1</v>
      </c>
      <c r="AN19" s="10">
        <v>1</v>
      </c>
      <c r="AO19" s="10">
        <v>1</v>
      </c>
      <c r="AP19" s="10">
        <v>2</v>
      </c>
      <c r="AQ19" s="10">
        <v>2</v>
      </c>
      <c r="AR19" s="10">
        <v>2</v>
      </c>
      <c r="AS19" s="10">
        <v>2</v>
      </c>
      <c r="AT19" s="10">
        <v>2</v>
      </c>
      <c r="AU19" s="10">
        <v>2</v>
      </c>
      <c r="AV19" s="10">
        <v>2</v>
      </c>
      <c r="AW19" s="10">
        <v>2</v>
      </c>
      <c r="AX19" s="10">
        <v>2</v>
      </c>
      <c r="AY19" s="10">
        <v>2</v>
      </c>
      <c r="AZ19" s="10">
        <v>2</v>
      </c>
      <c r="BA19" s="10">
        <v>2</v>
      </c>
      <c r="BB19" s="10">
        <v>2</v>
      </c>
      <c r="BC19" s="10">
        <v>2</v>
      </c>
      <c r="BD19" s="10">
        <v>2</v>
      </c>
      <c r="BE19" s="10">
        <v>2</v>
      </c>
      <c r="BF19" s="10">
        <v>2</v>
      </c>
      <c r="BG19" s="10">
        <v>2</v>
      </c>
      <c r="BH19" s="43"/>
    </row>
    <row r="20" spans="1:60" s="90" customFormat="1" x14ac:dyDescent="0.2">
      <c r="A20" s="89"/>
      <c r="B20" s="89"/>
      <c r="C20" s="90" t="s">
        <v>231</v>
      </c>
      <c r="F20" s="92"/>
      <c r="G20" s="92" t="s">
        <v>126</v>
      </c>
      <c r="I20" s="99"/>
      <c r="J20" s="10">
        <f t="array" ref="J20:BG20">ROUNDUP(promedio_usuarios_fijos*folios_por_recibo/capacidad_equipo_impresion/factor_utilizacion_equipo_impresion,0)</f>
        <v>28</v>
      </c>
      <c r="K20" s="10">
        <v>27</v>
      </c>
      <c r="L20" s="10">
        <v>26</v>
      </c>
      <c r="M20" s="10">
        <v>24</v>
      </c>
      <c r="N20" s="10">
        <v>24</v>
      </c>
      <c r="O20" s="10">
        <v>23</v>
      </c>
      <c r="P20" s="10">
        <v>22</v>
      </c>
      <c r="Q20" s="10">
        <v>22</v>
      </c>
      <c r="R20" s="10">
        <v>22</v>
      </c>
      <c r="S20" s="10">
        <v>23</v>
      </c>
      <c r="T20" s="10">
        <v>23</v>
      </c>
      <c r="U20" s="10">
        <v>23</v>
      </c>
      <c r="V20" s="10">
        <v>23</v>
      </c>
      <c r="W20" s="10">
        <v>23</v>
      </c>
      <c r="X20" s="10">
        <v>23</v>
      </c>
      <c r="Y20" s="10">
        <v>23</v>
      </c>
      <c r="Z20" s="10">
        <v>23</v>
      </c>
      <c r="AA20" s="10">
        <v>24</v>
      </c>
      <c r="AB20" s="10">
        <v>24</v>
      </c>
      <c r="AC20" s="10">
        <v>24</v>
      </c>
      <c r="AD20" s="10">
        <v>25</v>
      </c>
      <c r="AE20" s="10">
        <v>25</v>
      </c>
      <c r="AF20" s="10">
        <v>25</v>
      </c>
      <c r="AG20" s="10">
        <v>25</v>
      </c>
      <c r="AH20" s="10">
        <v>26</v>
      </c>
      <c r="AI20" s="10">
        <v>26</v>
      </c>
      <c r="AJ20" s="10">
        <v>26</v>
      </c>
      <c r="AK20" s="10">
        <v>26</v>
      </c>
      <c r="AL20" s="10">
        <v>27</v>
      </c>
      <c r="AM20" s="10">
        <v>27</v>
      </c>
      <c r="AN20" s="10">
        <v>27</v>
      </c>
      <c r="AO20" s="10">
        <v>27</v>
      </c>
      <c r="AP20" s="10">
        <v>27</v>
      </c>
      <c r="AQ20" s="10">
        <v>27</v>
      </c>
      <c r="AR20" s="10">
        <v>28</v>
      </c>
      <c r="AS20" s="10">
        <v>28</v>
      </c>
      <c r="AT20" s="10">
        <v>28</v>
      </c>
      <c r="AU20" s="10">
        <v>28</v>
      </c>
      <c r="AV20" s="10">
        <v>28</v>
      </c>
      <c r="AW20" s="10">
        <v>28</v>
      </c>
      <c r="AX20" s="10">
        <v>28</v>
      </c>
      <c r="AY20" s="10">
        <v>28</v>
      </c>
      <c r="AZ20" s="10">
        <v>28</v>
      </c>
      <c r="BA20" s="10">
        <v>28</v>
      </c>
      <c r="BB20" s="10">
        <v>28</v>
      </c>
      <c r="BC20" s="10">
        <v>28</v>
      </c>
      <c r="BD20" s="10">
        <v>28</v>
      </c>
      <c r="BE20" s="10">
        <v>29</v>
      </c>
      <c r="BF20" s="10">
        <v>29</v>
      </c>
      <c r="BG20" s="10">
        <v>29</v>
      </c>
      <c r="BH20" s="43"/>
    </row>
    <row r="21" spans="1:60" s="90" customFormat="1" ht="12.75" x14ac:dyDescent="0.2">
      <c r="A21" s="89"/>
      <c r="B21" s="93"/>
      <c r="C21" s="90" t="s">
        <v>311</v>
      </c>
      <c r="F21" s="92"/>
      <c r="G21" s="92" t="s">
        <v>126</v>
      </c>
      <c r="I21" s="99"/>
      <c r="J21" s="180">
        <f t="array" ref="J21:BG21">ROUNDUP(promedio_usuarios_fijos*folios_por_recibo/capacidad_equipo_sobreteo/factor_utilizacion_equipo_sobreteo,0)</f>
        <v>28</v>
      </c>
      <c r="K21" s="180">
        <v>27</v>
      </c>
      <c r="L21" s="180">
        <v>26</v>
      </c>
      <c r="M21" s="180">
        <v>24</v>
      </c>
      <c r="N21" s="180">
        <v>24</v>
      </c>
      <c r="O21" s="180">
        <v>23</v>
      </c>
      <c r="P21" s="180">
        <v>22</v>
      </c>
      <c r="Q21" s="180">
        <v>22</v>
      </c>
      <c r="R21" s="180">
        <v>22</v>
      </c>
      <c r="S21" s="180">
        <v>23</v>
      </c>
      <c r="T21" s="180">
        <v>23</v>
      </c>
      <c r="U21" s="180">
        <v>23</v>
      </c>
      <c r="V21" s="180">
        <v>23</v>
      </c>
      <c r="W21" s="180">
        <v>23</v>
      </c>
      <c r="X21" s="180">
        <v>23</v>
      </c>
      <c r="Y21" s="180">
        <v>23</v>
      </c>
      <c r="Z21" s="180">
        <v>23</v>
      </c>
      <c r="AA21" s="180">
        <v>24</v>
      </c>
      <c r="AB21" s="180">
        <v>24</v>
      </c>
      <c r="AC21" s="180">
        <v>24</v>
      </c>
      <c r="AD21" s="180">
        <v>25</v>
      </c>
      <c r="AE21" s="180">
        <v>25</v>
      </c>
      <c r="AF21" s="180">
        <v>25</v>
      </c>
      <c r="AG21" s="180">
        <v>25</v>
      </c>
      <c r="AH21" s="180">
        <v>26</v>
      </c>
      <c r="AI21" s="180">
        <v>26</v>
      </c>
      <c r="AJ21" s="180">
        <v>26</v>
      </c>
      <c r="AK21" s="180">
        <v>26</v>
      </c>
      <c r="AL21" s="180">
        <v>27</v>
      </c>
      <c r="AM21" s="180">
        <v>27</v>
      </c>
      <c r="AN21" s="180">
        <v>27</v>
      </c>
      <c r="AO21" s="180">
        <v>27</v>
      </c>
      <c r="AP21" s="180">
        <v>27</v>
      </c>
      <c r="AQ21" s="180">
        <v>27</v>
      </c>
      <c r="AR21" s="180">
        <v>28</v>
      </c>
      <c r="AS21" s="180">
        <v>28</v>
      </c>
      <c r="AT21" s="180">
        <v>28</v>
      </c>
      <c r="AU21" s="180">
        <v>28</v>
      </c>
      <c r="AV21" s="180">
        <v>28</v>
      </c>
      <c r="AW21" s="180">
        <v>28</v>
      </c>
      <c r="AX21" s="180">
        <v>28</v>
      </c>
      <c r="AY21" s="180">
        <v>28</v>
      </c>
      <c r="AZ21" s="180">
        <v>28</v>
      </c>
      <c r="BA21" s="180">
        <v>28</v>
      </c>
      <c r="BB21" s="180">
        <v>28</v>
      </c>
      <c r="BC21" s="180">
        <v>28</v>
      </c>
      <c r="BD21" s="180">
        <v>28</v>
      </c>
      <c r="BE21" s="180">
        <v>29</v>
      </c>
      <c r="BF21" s="180">
        <v>29</v>
      </c>
      <c r="BG21" s="180">
        <v>29</v>
      </c>
      <c r="BH21" s="43"/>
    </row>
    <row r="22" spans="1:60" s="90" customFormat="1" ht="12.75" x14ac:dyDescent="0.2">
      <c r="A22" s="89"/>
      <c r="B22" s="93"/>
      <c r="C22" s="179" t="s">
        <v>255</v>
      </c>
      <c r="F22" s="92"/>
      <c r="G22" s="92" t="s">
        <v>126</v>
      </c>
      <c r="I22" s="99"/>
      <c r="J22" s="181"/>
      <c r="K22" s="182"/>
      <c r="L22" s="182"/>
      <c r="M22" s="182"/>
      <c r="N22" s="182"/>
      <c r="O22" s="182"/>
      <c r="P22" s="182"/>
      <c r="Q22" s="182"/>
      <c r="R22" s="181"/>
      <c r="S22" s="181"/>
      <c r="T22" s="181"/>
      <c r="U22" s="181"/>
      <c r="V22" s="181"/>
      <c r="W22" s="181"/>
      <c r="X22" s="181"/>
      <c r="Y22" s="181"/>
      <c r="Z22" s="181"/>
      <c r="AA22" s="181"/>
      <c r="AB22" s="181"/>
      <c r="AC22" s="181"/>
      <c r="AD22" s="181"/>
      <c r="AE22" s="181"/>
      <c r="AF22" s="181"/>
      <c r="AG22" s="181"/>
      <c r="AH22" s="181"/>
      <c r="AI22" s="181"/>
      <c r="AJ22" s="181"/>
      <c r="AK22" s="181"/>
      <c r="AL22" s="181"/>
      <c r="AM22" s="181"/>
      <c r="AN22" s="181"/>
      <c r="AO22" s="181"/>
      <c r="AP22" s="181"/>
      <c r="AQ22" s="181"/>
      <c r="AR22" s="181"/>
      <c r="AS22" s="181"/>
      <c r="AT22" s="181"/>
      <c r="AU22" s="181"/>
      <c r="AV22" s="181"/>
      <c r="AW22" s="181"/>
      <c r="AX22" s="181"/>
      <c r="AY22" s="181"/>
      <c r="AZ22" s="181"/>
      <c r="BA22" s="181"/>
      <c r="BB22" s="181"/>
      <c r="BC22" s="181"/>
      <c r="BD22" s="181"/>
      <c r="BE22" s="181"/>
      <c r="BF22" s="181"/>
      <c r="BG22" s="181"/>
      <c r="BH22" s="43"/>
    </row>
    <row r="23" spans="1:60" s="90" customFormat="1" ht="12.75" x14ac:dyDescent="0.2">
      <c r="A23" s="89"/>
      <c r="B23" s="93"/>
      <c r="C23" s="179" t="s">
        <v>256</v>
      </c>
      <c r="F23" s="92"/>
      <c r="G23" s="92" t="s">
        <v>126</v>
      </c>
      <c r="I23" s="99"/>
      <c r="J23" s="181"/>
      <c r="K23" s="182"/>
      <c r="L23" s="182"/>
      <c r="M23" s="182"/>
      <c r="N23" s="182"/>
      <c r="O23" s="182"/>
      <c r="P23" s="182"/>
      <c r="Q23" s="182"/>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181"/>
      <c r="BD23" s="181"/>
      <c r="BE23" s="181"/>
      <c r="BF23" s="181"/>
      <c r="BG23" s="181"/>
      <c r="BH23" s="43"/>
    </row>
    <row r="24" spans="1:60" ht="12.75" x14ac:dyDescent="0.2">
      <c r="B24" s="101" t="s">
        <v>168</v>
      </c>
      <c r="F24" s="92"/>
      <c r="G24" s="92"/>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row>
    <row r="25" spans="1:60" s="90" customFormat="1" ht="12.75" x14ac:dyDescent="0.2">
      <c r="A25" s="89"/>
      <c r="B25" s="93"/>
      <c r="C25" s="90" t="s">
        <v>144</v>
      </c>
      <c r="F25" s="185">
        <f>vida_billing</f>
        <v>10</v>
      </c>
      <c r="G25" s="92" t="s">
        <v>126</v>
      </c>
      <c r="I25" s="13"/>
      <c r="J25" s="10">
        <f ca="1">IF($F25=1,J18,IF(J$3&lt;=$F25,MAX(0,J18-I18),MAX(0,J18-SUM(OFFSET(J25,0,-($F25-1),,$F25-1)))))</f>
        <v>2</v>
      </c>
      <c r="K25" s="10">
        <f t="shared" ref="K25:BG25" ca="1" si="53">IF($F25=1,K18,IF(K$3&lt;=$F25,MAX(0,K18-J18),MAX(0,K18-SUM(OFFSET(K25,0,-($F25-1),,$F25-1)))))</f>
        <v>0</v>
      </c>
      <c r="L25" s="10">
        <f t="shared" ca="1" si="53"/>
        <v>0</v>
      </c>
      <c r="M25" s="10">
        <f t="shared" ca="1" si="53"/>
        <v>0</v>
      </c>
      <c r="N25" s="10">
        <f t="shared" ca="1" si="53"/>
        <v>0</v>
      </c>
      <c r="O25" s="10">
        <f t="shared" ca="1" si="53"/>
        <v>0</v>
      </c>
      <c r="P25" s="10">
        <f t="shared" ca="1" si="53"/>
        <v>0</v>
      </c>
      <c r="Q25" s="10">
        <f t="shared" ca="1" si="53"/>
        <v>0</v>
      </c>
      <c r="R25" s="10">
        <f t="shared" ca="1" si="53"/>
        <v>0</v>
      </c>
      <c r="S25" s="10">
        <f t="shared" ca="1" si="53"/>
        <v>0</v>
      </c>
      <c r="T25" s="10">
        <f t="shared" ca="1" si="53"/>
        <v>1</v>
      </c>
      <c r="U25" s="10">
        <f t="shared" ca="1" si="53"/>
        <v>0</v>
      </c>
      <c r="V25" s="10">
        <f t="shared" ca="1" si="53"/>
        <v>0</v>
      </c>
      <c r="W25" s="10">
        <f t="shared" ca="1" si="53"/>
        <v>0</v>
      </c>
      <c r="X25" s="10">
        <f t="shared" ca="1" si="53"/>
        <v>0</v>
      </c>
      <c r="Y25" s="10">
        <f t="shared" ca="1" si="53"/>
        <v>0</v>
      </c>
      <c r="Z25" s="10">
        <f t="shared" ca="1" si="53"/>
        <v>0</v>
      </c>
      <c r="AA25" s="10">
        <f t="shared" ca="1" si="53"/>
        <v>0</v>
      </c>
      <c r="AB25" s="10">
        <f t="shared" ca="1" si="53"/>
        <v>0</v>
      </c>
      <c r="AC25" s="10">
        <f t="shared" ca="1" si="53"/>
        <v>0</v>
      </c>
      <c r="AD25" s="10">
        <f t="shared" ca="1" si="53"/>
        <v>1</v>
      </c>
      <c r="AE25" s="10">
        <f t="shared" ca="1" si="53"/>
        <v>0</v>
      </c>
      <c r="AF25" s="10">
        <f t="shared" ca="1" si="53"/>
        <v>0</v>
      </c>
      <c r="AG25" s="10">
        <f t="shared" ca="1" si="53"/>
        <v>0</v>
      </c>
      <c r="AH25" s="10">
        <f t="shared" ca="1" si="53"/>
        <v>0</v>
      </c>
      <c r="AI25" s="10">
        <f t="shared" ca="1" si="53"/>
        <v>0</v>
      </c>
      <c r="AJ25" s="10">
        <f t="shared" ca="1" si="53"/>
        <v>0</v>
      </c>
      <c r="AK25" s="10">
        <f t="shared" ca="1" si="53"/>
        <v>0</v>
      </c>
      <c r="AL25" s="10">
        <f t="shared" ca="1" si="53"/>
        <v>0</v>
      </c>
      <c r="AM25" s="10">
        <f t="shared" ca="1" si="53"/>
        <v>0</v>
      </c>
      <c r="AN25" s="10">
        <f t="shared" ca="1" si="53"/>
        <v>1</v>
      </c>
      <c r="AO25" s="10">
        <f t="shared" ca="1" si="53"/>
        <v>0</v>
      </c>
      <c r="AP25" s="10">
        <f t="shared" ca="1" si="53"/>
        <v>1</v>
      </c>
      <c r="AQ25" s="10">
        <f t="shared" ca="1" si="53"/>
        <v>0</v>
      </c>
      <c r="AR25" s="10">
        <f t="shared" ca="1" si="53"/>
        <v>0</v>
      </c>
      <c r="AS25" s="10">
        <f t="shared" ca="1" si="53"/>
        <v>0</v>
      </c>
      <c r="AT25" s="10">
        <f t="shared" ca="1" si="53"/>
        <v>0</v>
      </c>
      <c r="AU25" s="10">
        <f t="shared" ca="1" si="53"/>
        <v>0</v>
      </c>
      <c r="AV25" s="10">
        <f t="shared" ca="1" si="53"/>
        <v>0</v>
      </c>
      <c r="AW25" s="10">
        <f t="shared" ca="1" si="53"/>
        <v>0</v>
      </c>
      <c r="AX25" s="10">
        <f t="shared" ca="1" si="53"/>
        <v>1</v>
      </c>
      <c r="AY25" s="10">
        <f t="shared" ca="1" si="53"/>
        <v>0</v>
      </c>
      <c r="AZ25" s="10">
        <f t="shared" ca="1" si="53"/>
        <v>1</v>
      </c>
      <c r="BA25" s="10">
        <f t="shared" ca="1" si="53"/>
        <v>0</v>
      </c>
      <c r="BB25" s="10">
        <f t="shared" ca="1" si="53"/>
        <v>0</v>
      </c>
      <c r="BC25" s="10">
        <f t="shared" ca="1" si="53"/>
        <v>0</v>
      </c>
      <c r="BD25" s="10">
        <f t="shared" ca="1" si="53"/>
        <v>0</v>
      </c>
      <c r="BE25" s="10">
        <f t="shared" ca="1" si="53"/>
        <v>0</v>
      </c>
      <c r="BF25" s="10">
        <f t="shared" ca="1" si="53"/>
        <v>0</v>
      </c>
      <c r="BG25" s="10">
        <f t="shared" ca="1" si="53"/>
        <v>0</v>
      </c>
      <c r="BH25" s="43"/>
    </row>
    <row r="26" spans="1:60" s="90" customFormat="1" ht="12.75" x14ac:dyDescent="0.2">
      <c r="A26" s="89"/>
      <c r="B26" s="93"/>
      <c r="C26" s="90" t="s">
        <v>162</v>
      </c>
      <c r="F26" s="185">
        <f>vida_CRM</f>
        <v>10</v>
      </c>
      <c r="G26" s="92" t="s">
        <v>126</v>
      </c>
      <c r="I26" s="13"/>
      <c r="J26" s="10">
        <f t="shared" ref="J26:BG26" ca="1" si="54">IF($F26=1,J19,IF(J$3&lt;=$F26,MAX(0,J19-I19),MAX(0,J19-SUM(OFFSET(J26,0,-($F26-1),,$F26-1)))))</f>
        <v>2</v>
      </c>
      <c r="K26" s="10">
        <f t="shared" ca="1" si="54"/>
        <v>0</v>
      </c>
      <c r="L26" s="10">
        <f t="shared" ca="1" si="54"/>
        <v>0</v>
      </c>
      <c r="M26" s="10">
        <f t="shared" ca="1" si="54"/>
        <v>0</v>
      </c>
      <c r="N26" s="10">
        <f t="shared" ca="1" si="54"/>
        <v>0</v>
      </c>
      <c r="O26" s="10">
        <f t="shared" ca="1" si="54"/>
        <v>0</v>
      </c>
      <c r="P26" s="10">
        <f t="shared" ca="1" si="54"/>
        <v>0</v>
      </c>
      <c r="Q26" s="10">
        <f t="shared" ca="1" si="54"/>
        <v>0</v>
      </c>
      <c r="R26" s="10">
        <f t="shared" ca="1" si="54"/>
        <v>0</v>
      </c>
      <c r="S26" s="10">
        <f t="shared" ca="1" si="54"/>
        <v>0</v>
      </c>
      <c r="T26" s="10">
        <f t="shared" ca="1" si="54"/>
        <v>1</v>
      </c>
      <c r="U26" s="10">
        <f t="shared" ca="1" si="54"/>
        <v>0</v>
      </c>
      <c r="V26" s="10">
        <f t="shared" ca="1" si="54"/>
        <v>0</v>
      </c>
      <c r="W26" s="10">
        <f t="shared" ca="1" si="54"/>
        <v>0</v>
      </c>
      <c r="X26" s="10">
        <f t="shared" ca="1" si="54"/>
        <v>0</v>
      </c>
      <c r="Y26" s="10">
        <f t="shared" ca="1" si="54"/>
        <v>0</v>
      </c>
      <c r="Z26" s="10">
        <f t="shared" ca="1" si="54"/>
        <v>0</v>
      </c>
      <c r="AA26" s="10">
        <f t="shared" ca="1" si="54"/>
        <v>0</v>
      </c>
      <c r="AB26" s="10">
        <f t="shared" ca="1" si="54"/>
        <v>0</v>
      </c>
      <c r="AC26" s="10">
        <f t="shared" ca="1" si="54"/>
        <v>0</v>
      </c>
      <c r="AD26" s="10">
        <f t="shared" ca="1" si="54"/>
        <v>1</v>
      </c>
      <c r="AE26" s="10">
        <f t="shared" ca="1" si="54"/>
        <v>0</v>
      </c>
      <c r="AF26" s="10">
        <f t="shared" ca="1" si="54"/>
        <v>0</v>
      </c>
      <c r="AG26" s="10">
        <f t="shared" ca="1" si="54"/>
        <v>0</v>
      </c>
      <c r="AH26" s="10">
        <f t="shared" ca="1" si="54"/>
        <v>0</v>
      </c>
      <c r="AI26" s="10">
        <f t="shared" ca="1" si="54"/>
        <v>0</v>
      </c>
      <c r="AJ26" s="10">
        <f t="shared" ca="1" si="54"/>
        <v>0</v>
      </c>
      <c r="AK26" s="10">
        <f t="shared" ca="1" si="54"/>
        <v>0</v>
      </c>
      <c r="AL26" s="10">
        <f t="shared" ca="1" si="54"/>
        <v>0</v>
      </c>
      <c r="AM26" s="10">
        <f t="shared" ca="1" si="54"/>
        <v>0</v>
      </c>
      <c r="AN26" s="10">
        <f t="shared" ca="1" si="54"/>
        <v>1</v>
      </c>
      <c r="AO26" s="10">
        <f t="shared" ca="1" si="54"/>
        <v>0</v>
      </c>
      <c r="AP26" s="10">
        <f t="shared" ca="1" si="54"/>
        <v>1</v>
      </c>
      <c r="AQ26" s="10">
        <f t="shared" ca="1" si="54"/>
        <v>0</v>
      </c>
      <c r="AR26" s="10">
        <f t="shared" ca="1" si="54"/>
        <v>0</v>
      </c>
      <c r="AS26" s="10">
        <f t="shared" ca="1" si="54"/>
        <v>0</v>
      </c>
      <c r="AT26" s="10">
        <f t="shared" ca="1" si="54"/>
        <v>0</v>
      </c>
      <c r="AU26" s="10">
        <f t="shared" ca="1" si="54"/>
        <v>0</v>
      </c>
      <c r="AV26" s="10">
        <f t="shared" ca="1" si="54"/>
        <v>0</v>
      </c>
      <c r="AW26" s="10">
        <f t="shared" ca="1" si="54"/>
        <v>0</v>
      </c>
      <c r="AX26" s="10">
        <f t="shared" ca="1" si="54"/>
        <v>1</v>
      </c>
      <c r="AY26" s="10">
        <f t="shared" ca="1" si="54"/>
        <v>0</v>
      </c>
      <c r="AZ26" s="10">
        <f t="shared" ca="1" si="54"/>
        <v>1</v>
      </c>
      <c r="BA26" s="10">
        <f t="shared" ca="1" si="54"/>
        <v>0</v>
      </c>
      <c r="BB26" s="10">
        <f t="shared" ca="1" si="54"/>
        <v>0</v>
      </c>
      <c r="BC26" s="10">
        <f t="shared" ca="1" si="54"/>
        <v>0</v>
      </c>
      <c r="BD26" s="10">
        <f t="shared" ca="1" si="54"/>
        <v>0</v>
      </c>
      <c r="BE26" s="10">
        <f t="shared" ca="1" si="54"/>
        <v>0</v>
      </c>
      <c r="BF26" s="10">
        <f t="shared" ca="1" si="54"/>
        <v>0</v>
      </c>
      <c r="BG26" s="10">
        <f t="shared" ca="1" si="54"/>
        <v>0</v>
      </c>
      <c r="BH26" s="43"/>
    </row>
    <row r="27" spans="1:60" s="90" customFormat="1" ht="12.75" x14ac:dyDescent="0.2">
      <c r="A27" s="89"/>
      <c r="B27" s="93"/>
      <c r="C27" s="90" t="s">
        <v>231</v>
      </c>
      <c r="F27" s="185">
        <f>vida_equipo_impresion</f>
        <v>5</v>
      </c>
      <c r="G27" s="92" t="s">
        <v>126</v>
      </c>
      <c r="I27" s="13"/>
      <c r="J27" s="10">
        <f t="shared" ref="J27:BG27" ca="1" si="55">IF($F27=1,J20,IF(J$3&lt;=$F27,MAX(0,J20-I20),MAX(0,J20-SUM(OFFSET(J27,0,-($F27-1),,$F27-1)))))</f>
        <v>28</v>
      </c>
      <c r="K27" s="10">
        <f t="shared" ca="1" si="55"/>
        <v>0</v>
      </c>
      <c r="L27" s="10">
        <f t="shared" ca="1" si="55"/>
        <v>0</v>
      </c>
      <c r="M27" s="10">
        <f t="shared" ca="1" si="55"/>
        <v>0</v>
      </c>
      <c r="N27" s="10">
        <f t="shared" ca="1" si="55"/>
        <v>0</v>
      </c>
      <c r="O27" s="10">
        <f t="shared" ca="1" si="55"/>
        <v>23</v>
      </c>
      <c r="P27" s="10">
        <f t="shared" ca="1" si="55"/>
        <v>0</v>
      </c>
      <c r="Q27" s="10">
        <f t="shared" ca="1" si="55"/>
        <v>0</v>
      </c>
      <c r="R27" s="10">
        <f t="shared" ca="1" si="55"/>
        <v>0</v>
      </c>
      <c r="S27" s="10">
        <f t="shared" ca="1" si="55"/>
        <v>0</v>
      </c>
      <c r="T27" s="10">
        <f t="shared" ca="1" si="55"/>
        <v>23</v>
      </c>
      <c r="U27" s="10">
        <f t="shared" ca="1" si="55"/>
        <v>0</v>
      </c>
      <c r="V27" s="10">
        <f t="shared" ca="1" si="55"/>
        <v>0</v>
      </c>
      <c r="W27" s="10">
        <f t="shared" ca="1" si="55"/>
        <v>0</v>
      </c>
      <c r="X27" s="10">
        <f t="shared" ca="1" si="55"/>
        <v>0</v>
      </c>
      <c r="Y27" s="10">
        <f t="shared" ca="1" si="55"/>
        <v>23</v>
      </c>
      <c r="Z27" s="10">
        <f t="shared" ca="1" si="55"/>
        <v>0</v>
      </c>
      <c r="AA27" s="10">
        <f t="shared" ca="1" si="55"/>
        <v>1</v>
      </c>
      <c r="AB27" s="10">
        <f t="shared" ca="1" si="55"/>
        <v>0</v>
      </c>
      <c r="AC27" s="10">
        <f t="shared" ca="1" si="55"/>
        <v>0</v>
      </c>
      <c r="AD27" s="10">
        <f t="shared" ca="1" si="55"/>
        <v>24</v>
      </c>
      <c r="AE27" s="10">
        <f t="shared" ca="1" si="55"/>
        <v>0</v>
      </c>
      <c r="AF27" s="10">
        <f t="shared" ca="1" si="55"/>
        <v>1</v>
      </c>
      <c r="AG27" s="10">
        <f t="shared" ca="1" si="55"/>
        <v>0</v>
      </c>
      <c r="AH27" s="10">
        <f t="shared" ca="1" si="55"/>
        <v>1</v>
      </c>
      <c r="AI27" s="10">
        <f t="shared" ca="1" si="55"/>
        <v>24</v>
      </c>
      <c r="AJ27" s="10">
        <f t="shared" ca="1" si="55"/>
        <v>0</v>
      </c>
      <c r="AK27" s="10">
        <f t="shared" ca="1" si="55"/>
        <v>1</v>
      </c>
      <c r="AL27" s="10">
        <f t="shared" ca="1" si="55"/>
        <v>1</v>
      </c>
      <c r="AM27" s="10">
        <f t="shared" ca="1" si="55"/>
        <v>1</v>
      </c>
      <c r="AN27" s="10">
        <f t="shared" ca="1" si="55"/>
        <v>24</v>
      </c>
      <c r="AO27" s="10">
        <f t="shared" ca="1" si="55"/>
        <v>0</v>
      </c>
      <c r="AP27" s="10">
        <f t="shared" ca="1" si="55"/>
        <v>1</v>
      </c>
      <c r="AQ27" s="10">
        <f t="shared" ca="1" si="55"/>
        <v>1</v>
      </c>
      <c r="AR27" s="10">
        <f t="shared" ca="1" si="55"/>
        <v>2</v>
      </c>
      <c r="AS27" s="10">
        <f t="shared" ca="1" si="55"/>
        <v>24</v>
      </c>
      <c r="AT27" s="10">
        <f t="shared" ca="1" si="55"/>
        <v>0</v>
      </c>
      <c r="AU27" s="10">
        <f t="shared" ca="1" si="55"/>
        <v>1</v>
      </c>
      <c r="AV27" s="10">
        <f t="shared" ca="1" si="55"/>
        <v>1</v>
      </c>
      <c r="AW27" s="10">
        <f t="shared" ca="1" si="55"/>
        <v>2</v>
      </c>
      <c r="AX27" s="10">
        <f t="shared" ca="1" si="55"/>
        <v>24</v>
      </c>
      <c r="AY27" s="10">
        <f t="shared" ca="1" si="55"/>
        <v>0</v>
      </c>
      <c r="AZ27" s="10">
        <f t="shared" ca="1" si="55"/>
        <v>1</v>
      </c>
      <c r="BA27" s="10">
        <f t="shared" ca="1" si="55"/>
        <v>1</v>
      </c>
      <c r="BB27" s="10">
        <f t="shared" ca="1" si="55"/>
        <v>2</v>
      </c>
      <c r="BC27" s="10">
        <f t="shared" ca="1" si="55"/>
        <v>24</v>
      </c>
      <c r="BD27" s="10">
        <f t="shared" ca="1" si="55"/>
        <v>0</v>
      </c>
      <c r="BE27" s="10">
        <f t="shared" ca="1" si="55"/>
        <v>2</v>
      </c>
      <c r="BF27" s="10">
        <f t="shared" ca="1" si="55"/>
        <v>1</v>
      </c>
      <c r="BG27" s="10">
        <f t="shared" ca="1" si="55"/>
        <v>2</v>
      </c>
      <c r="BH27" s="43"/>
    </row>
    <row r="28" spans="1:60" s="90" customFormat="1" ht="12.75" x14ac:dyDescent="0.2">
      <c r="A28" s="89"/>
      <c r="B28" s="93"/>
      <c r="C28" s="90" t="s">
        <v>311</v>
      </c>
      <c r="F28" s="185">
        <f>vida_equipo_sobreteo</f>
        <v>5</v>
      </c>
      <c r="G28" s="92" t="s">
        <v>126</v>
      </c>
      <c r="I28" s="13"/>
      <c r="J28" s="10">
        <f t="shared" ref="J28:BG28" ca="1" si="56">IF($F28=1,J21,IF(J$3&lt;=$F28,MAX(0,J21-I21),MAX(0,J21-SUM(OFFSET(J28,0,-($F28-1),,$F28-1)))))</f>
        <v>28</v>
      </c>
      <c r="K28" s="10">
        <f t="shared" ca="1" si="56"/>
        <v>0</v>
      </c>
      <c r="L28" s="10">
        <f t="shared" ca="1" si="56"/>
        <v>0</v>
      </c>
      <c r="M28" s="10">
        <f t="shared" ca="1" si="56"/>
        <v>0</v>
      </c>
      <c r="N28" s="10">
        <f t="shared" ca="1" si="56"/>
        <v>0</v>
      </c>
      <c r="O28" s="10">
        <f t="shared" ca="1" si="56"/>
        <v>23</v>
      </c>
      <c r="P28" s="10">
        <f t="shared" ca="1" si="56"/>
        <v>0</v>
      </c>
      <c r="Q28" s="10">
        <f t="shared" ca="1" si="56"/>
        <v>0</v>
      </c>
      <c r="R28" s="10">
        <f t="shared" ca="1" si="56"/>
        <v>0</v>
      </c>
      <c r="S28" s="10">
        <f t="shared" ca="1" si="56"/>
        <v>0</v>
      </c>
      <c r="T28" s="10">
        <f t="shared" ca="1" si="56"/>
        <v>23</v>
      </c>
      <c r="U28" s="10">
        <f t="shared" ca="1" si="56"/>
        <v>0</v>
      </c>
      <c r="V28" s="10">
        <f t="shared" ca="1" si="56"/>
        <v>0</v>
      </c>
      <c r="W28" s="10">
        <f t="shared" ca="1" si="56"/>
        <v>0</v>
      </c>
      <c r="X28" s="10">
        <f t="shared" ca="1" si="56"/>
        <v>0</v>
      </c>
      <c r="Y28" s="10">
        <f t="shared" ca="1" si="56"/>
        <v>23</v>
      </c>
      <c r="Z28" s="10">
        <f t="shared" ca="1" si="56"/>
        <v>0</v>
      </c>
      <c r="AA28" s="10">
        <f t="shared" ca="1" si="56"/>
        <v>1</v>
      </c>
      <c r="AB28" s="10">
        <f t="shared" ca="1" si="56"/>
        <v>0</v>
      </c>
      <c r="AC28" s="10">
        <f t="shared" ca="1" si="56"/>
        <v>0</v>
      </c>
      <c r="AD28" s="10">
        <f t="shared" ca="1" si="56"/>
        <v>24</v>
      </c>
      <c r="AE28" s="10">
        <f t="shared" ca="1" si="56"/>
        <v>0</v>
      </c>
      <c r="AF28" s="10">
        <f t="shared" ca="1" si="56"/>
        <v>1</v>
      </c>
      <c r="AG28" s="10">
        <f t="shared" ca="1" si="56"/>
        <v>0</v>
      </c>
      <c r="AH28" s="10">
        <f t="shared" ca="1" si="56"/>
        <v>1</v>
      </c>
      <c r="AI28" s="10">
        <f t="shared" ca="1" si="56"/>
        <v>24</v>
      </c>
      <c r="AJ28" s="10">
        <f t="shared" ca="1" si="56"/>
        <v>0</v>
      </c>
      <c r="AK28" s="10">
        <f t="shared" ca="1" si="56"/>
        <v>1</v>
      </c>
      <c r="AL28" s="10">
        <f t="shared" ca="1" si="56"/>
        <v>1</v>
      </c>
      <c r="AM28" s="10">
        <f t="shared" ca="1" si="56"/>
        <v>1</v>
      </c>
      <c r="AN28" s="10">
        <f t="shared" ca="1" si="56"/>
        <v>24</v>
      </c>
      <c r="AO28" s="10">
        <f t="shared" ca="1" si="56"/>
        <v>0</v>
      </c>
      <c r="AP28" s="10">
        <f t="shared" ca="1" si="56"/>
        <v>1</v>
      </c>
      <c r="AQ28" s="10">
        <f t="shared" ca="1" si="56"/>
        <v>1</v>
      </c>
      <c r="AR28" s="10">
        <f t="shared" ca="1" si="56"/>
        <v>2</v>
      </c>
      <c r="AS28" s="10">
        <f t="shared" ca="1" si="56"/>
        <v>24</v>
      </c>
      <c r="AT28" s="10">
        <f t="shared" ca="1" si="56"/>
        <v>0</v>
      </c>
      <c r="AU28" s="10">
        <f t="shared" ca="1" si="56"/>
        <v>1</v>
      </c>
      <c r="AV28" s="10">
        <f t="shared" ca="1" si="56"/>
        <v>1</v>
      </c>
      <c r="AW28" s="10">
        <f t="shared" ca="1" si="56"/>
        <v>2</v>
      </c>
      <c r="AX28" s="10">
        <f t="shared" ca="1" si="56"/>
        <v>24</v>
      </c>
      <c r="AY28" s="10">
        <f t="shared" ca="1" si="56"/>
        <v>0</v>
      </c>
      <c r="AZ28" s="10">
        <f t="shared" ca="1" si="56"/>
        <v>1</v>
      </c>
      <c r="BA28" s="10">
        <f t="shared" ca="1" si="56"/>
        <v>1</v>
      </c>
      <c r="BB28" s="10">
        <f t="shared" ca="1" si="56"/>
        <v>2</v>
      </c>
      <c r="BC28" s="10">
        <f t="shared" ca="1" si="56"/>
        <v>24</v>
      </c>
      <c r="BD28" s="10">
        <f t="shared" ca="1" si="56"/>
        <v>0</v>
      </c>
      <c r="BE28" s="10">
        <f t="shared" ca="1" si="56"/>
        <v>2</v>
      </c>
      <c r="BF28" s="10">
        <f t="shared" ca="1" si="56"/>
        <v>1</v>
      </c>
      <c r="BG28" s="10">
        <f t="shared" ca="1" si="56"/>
        <v>2</v>
      </c>
      <c r="BH28" s="43"/>
    </row>
    <row r="29" spans="1:60" s="90" customFormat="1" ht="12.75" x14ac:dyDescent="0.2">
      <c r="A29" s="89"/>
      <c r="B29" s="93"/>
      <c r="C29" s="179" t="s">
        <v>255</v>
      </c>
      <c r="F29" s="181"/>
      <c r="G29" s="92" t="s">
        <v>126</v>
      </c>
      <c r="I29" s="13"/>
      <c r="J29" s="187">
        <f t="shared" ref="J29:BG29" ca="1" si="57">IF($F29=1,J22,IF(J$3&lt;=$F29,MAX(0,J22-I22),MAX(0,J22-SUM(OFFSET(J29,0,-($F29-1),,$F29-1)))))</f>
        <v>0</v>
      </c>
      <c r="K29" s="187">
        <f t="shared" ca="1" si="57"/>
        <v>0</v>
      </c>
      <c r="L29" s="187">
        <f t="shared" ca="1" si="57"/>
        <v>0</v>
      </c>
      <c r="M29" s="187">
        <f t="shared" ca="1" si="57"/>
        <v>0</v>
      </c>
      <c r="N29" s="187">
        <f t="shared" ca="1" si="57"/>
        <v>0</v>
      </c>
      <c r="O29" s="187">
        <f t="shared" ca="1" si="57"/>
        <v>0</v>
      </c>
      <c r="P29" s="187">
        <f t="shared" ca="1" si="57"/>
        <v>0</v>
      </c>
      <c r="Q29" s="187">
        <f t="shared" ca="1" si="57"/>
        <v>0</v>
      </c>
      <c r="R29" s="187">
        <f t="shared" ca="1" si="57"/>
        <v>0</v>
      </c>
      <c r="S29" s="187">
        <f t="shared" ca="1" si="57"/>
        <v>0</v>
      </c>
      <c r="T29" s="187">
        <f t="shared" ca="1" si="57"/>
        <v>0</v>
      </c>
      <c r="U29" s="187">
        <f t="shared" ca="1" si="57"/>
        <v>0</v>
      </c>
      <c r="V29" s="187">
        <f t="shared" ca="1" si="57"/>
        <v>0</v>
      </c>
      <c r="W29" s="187">
        <f t="shared" ca="1" si="57"/>
        <v>0</v>
      </c>
      <c r="X29" s="187">
        <f t="shared" ca="1" si="57"/>
        <v>0</v>
      </c>
      <c r="Y29" s="187">
        <f t="shared" ca="1" si="57"/>
        <v>0</v>
      </c>
      <c r="Z29" s="187">
        <f t="shared" ca="1" si="57"/>
        <v>0</v>
      </c>
      <c r="AA29" s="187">
        <f t="shared" ca="1" si="57"/>
        <v>0</v>
      </c>
      <c r="AB29" s="187">
        <f t="shared" ca="1" si="57"/>
        <v>0</v>
      </c>
      <c r="AC29" s="187">
        <f t="shared" ca="1" si="57"/>
        <v>0</v>
      </c>
      <c r="AD29" s="187">
        <f t="shared" ca="1" si="57"/>
        <v>0</v>
      </c>
      <c r="AE29" s="187">
        <f t="shared" ca="1" si="57"/>
        <v>0</v>
      </c>
      <c r="AF29" s="187">
        <f t="shared" ca="1" si="57"/>
        <v>0</v>
      </c>
      <c r="AG29" s="187">
        <f t="shared" ca="1" si="57"/>
        <v>0</v>
      </c>
      <c r="AH29" s="187">
        <f t="shared" ca="1" si="57"/>
        <v>0</v>
      </c>
      <c r="AI29" s="187">
        <f t="shared" ca="1" si="57"/>
        <v>0</v>
      </c>
      <c r="AJ29" s="187">
        <f t="shared" ca="1" si="57"/>
        <v>0</v>
      </c>
      <c r="AK29" s="187">
        <f t="shared" ca="1" si="57"/>
        <v>0</v>
      </c>
      <c r="AL29" s="187">
        <f t="shared" ca="1" si="57"/>
        <v>0</v>
      </c>
      <c r="AM29" s="187">
        <f t="shared" ca="1" si="57"/>
        <v>0</v>
      </c>
      <c r="AN29" s="187">
        <f t="shared" ca="1" si="57"/>
        <v>0</v>
      </c>
      <c r="AO29" s="187">
        <f t="shared" ca="1" si="57"/>
        <v>0</v>
      </c>
      <c r="AP29" s="187">
        <f t="shared" ca="1" si="57"/>
        <v>0</v>
      </c>
      <c r="AQ29" s="187">
        <f t="shared" ca="1" si="57"/>
        <v>0</v>
      </c>
      <c r="AR29" s="187">
        <f t="shared" ca="1" si="57"/>
        <v>0</v>
      </c>
      <c r="AS29" s="187">
        <f t="shared" ca="1" si="57"/>
        <v>0</v>
      </c>
      <c r="AT29" s="187">
        <f t="shared" ca="1" si="57"/>
        <v>0</v>
      </c>
      <c r="AU29" s="187">
        <f t="shared" ca="1" si="57"/>
        <v>0</v>
      </c>
      <c r="AV29" s="187">
        <f t="shared" ca="1" si="57"/>
        <v>0</v>
      </c>
      <c r="AW29" s="187">
        <f t="shared" ca="1" si="57"/>
        <v>0</v>
      </c>
      <c r="AX29" s="187">
        <f t="shared" ca="1" si="57"/>
        <v>0</v>
      </c>
      <c r="AY29" s="187">
        <f t="shared" ca="1" si="57"/>
        <v>0</v>
      </c>
      <c r="AZ29" s="187">
        <f t="shared" ca="1" si="57"/>
        <v>0</v>
      </c>
      <c r="BA29" s="187">
        <f t="shared" ca="1" si="57"/>
        <v>0</v>
      </c>
      <c r="BB29" s="187">
        <f t="shared" ca="1" si="57"/>
        <v>0</v>
      </c>
      <c r="BC29" s="187">
        <f t="shared" ca="1" si="57"/>
        <v>0</v>
      </c>
      <c r="BD29" s="187">
        <f t="shared" ca="1" si="57"/>
        <v>0</v>
      </c>
      <c r="BE29" s="187">
        <f t="shared" ca="1" si="57"/>
        <v>0</v>
      </c>
      <c r="BF29" s="187">
        <f t="shared" ca="1" si="57"/>
        <v>0</v>
      </c>
      <c r="BG29" s="187">
        <f t="shared" ca="1" si="57"/>
        <v>0</v>
      </c>
      <c r="BH29" s="43"/>
    </row>
    <row r="30" spans="1:60" s="90" customFormat="1" ht="12.75" x14ac:dyDescent="0.2">
      <c r="A30" s="89"/>
      <c r="B30" s="93"/>
      <c r="C30" s="179" t="s">
        <v>256</v>
      </c>
      <c r="F30" s="181"/>
      <c r="G30" s="92" t="s">
        <v>126</v>
      </c>
      <c r="I30" s="13"/>
      <c r="J30" s="187">
        <f t="shared" ref="J30:BG30" ca="1" si="58">IF($F30=1,J23,IF(J$3&lt;=$F30,MAX(0,J23-I23),MAX(0,J23-SUM(OFFSET(J30,0,-($F30-1),,$F30-1)))))</f>
        <v>0</v>
      </c>
      <c r="K30" s="187">
        <f t="shared" ca="1" si="58"/>
        <v>0</v>
      </c>
      <c r="L30" s="187">
        <f t="shared" ca="1" si="58"/>
        <v>0</v>
      </c>
      <c r="M30" s="187">
        <f t="shared" ca="1" si="58"/>
        <v>0</v>
      </c>
      <c r="N30" s="187">
        <f t="shared" ca="1" si="58"/>
        <v>0</v>
      </c>
      <c r="O30" s="187">
        <f t="shared" ca="1" si="58"/>
        <v>0</v>
      </c>
      <c r="P30" s="187">
        <f t="shared" ca="1" si="58"/>
        <v>0</v>
      </c>
      <c r="Q30" s="187">
        <f t="shared" ca="1" si="58"/>
        <v>0</v>
      </c>
      <c r="R30" s="187">
        <f t="shared" ca="1" si="58"/>
        <v>0</v>
      </c>
      <c r="S30" s="187">
        <f t="shared" ca="1" si="58"/>
        <v>0</v>
      </c>
      <c r="T30" s="187">
        <f t="shared" ca="1" si="58"/>
        <v>0</v>
      </c>
      <c r="U30" s="187">
        <f t="shared" ca="1" si="58"/>
        <v>0</v>
      </c>
      <c r="V30" s="187">
        <f t="shared" ca="1" si="58"/>
        <v>0</v>
      </c>
      <c r="W30" s="187">
        <f t="shared" ca="1" si="58"/>
        <v>0</v>
      </c>
      <c r="X30" s="187">
        <f t="shared" ca="1" si="58"/>
        <v>0</v>
      </c>
      <c r="Y30" s="187">
        <f t="shared" ca="1" si="58"/>
        <v>0</v>
      </c>
      <c r="Z30" s="187">
        <f t="shared" ca="1" si="58"/>
        <v>0</v>
      </c>
      <c r="AA30" s="187">
        <f t="shared" ca="1" si="58"/>
        <v>0</v>
      </c>
      <c r="AB30" s="187">
        <f t="shared" ca="1" si="58"/>
        <v>0</v>
      </c>
      <c r="AC30" s="187">
        <f t="shared" ca="1" si="58"/>
        <v>0</v>
      </c>
      <c r="AD30" s="187">
        <f t="shared" ca="1" si="58"/>
        <v>0</v>
      </c>
      <c r="AE30" s="187">
        <f t="shared" ca="1" si="58"/>
        <v>0</v>
      </c>
      <c r="AF30" s="187">
        <f t="shared" ca="1" si="58"/>
        <v>0</v>
      </c>
      <c r="AG30" s="187">
        <f t="shared" ca="1" si="58"/>
        <v>0</v>
      </c>
      <c r="AH30" s="187">
        <f t="shared" ca="1" si="58"/>
        <v>0</v>
      </c>
      <c r="AI30" s="187">
        <f t="shared" ca="1" si="58"/>
        <v>0</v>
      </c>
      <c r="AJ30" s="187">
        <f t="shared" ca="1" si="58"/>
        <v>0</v>
      </c>
      <c r="AK30" s="187">
        <f t="shared" ca="1" si="58"/>
        <v>0</v>
      </c>
      <c r="AL30" s="187">
        <f t="shared" ca="1" si="58"/>
        <v>0</v>
      </c>
      <c r="AM30" s="187">
        <f t="shared" ca="1" si="58"/>
        <v>0</v>
      </c>
      <c r="AN30" s="187">
        <f t="shared" ca="1" si="58"/>
        <v>0</v>
      </c>
      <c r="AO30" s="187">
        <f t="shared" ca="1" si="58"/>
        <v>0</v>
      </c>
      <c r="AP30" s="187">
        <f t="shared" ca="1" si="58"/>
        <v>0</v>
      </c>
      <c r="AQ30" s="187">
        <f t="shared" ca="1" si="58"/>
        <v>0</v>
      </c>
      <c r="AR30" s="187">
        <f t="shared" ca="1" si="58"/>
        <v>0</v>
      </c>
      <c r="AS30" s="187">
        <f t="shared" ca="1" si="58"/>
        <v>0</v>
      </c>
      <c r="AT30" s="187">
        <f t="shared" ca="1" si="58"/>
        <v>0</v>
      </c>
      <c r="AU30" s="187">
        <f t="shared" ca="1" si="58"/>
        <v>0</v>
      </c>
      <c r="AV30" s="187">
        <f t="shared" ca="1" si="58"/>
        <v>0</v>
      </c>
      <c r="AW30" s="187">
        <f t="shared" ca="1" si="58"/>
        <v>0</v>
      </c>
      <c r="AX30" s="187">
        <f t="shared" ca="1" si="58"/>
        <v>0</v>
      </c>
      <c r="AY30" s="187">
        <f t="shared" ca="1" si="58"/>
        <v>0</v>
      </c>
      <c r="AZ30" s="187">
        <f t="shared" ca="1" si="58"/>
        <v>0</v>
      </c>
      <c r="BA30" s="187">
        <f t="shared" ca="1" si="58"/>
        <v>0</v>
      </c>
      <c r="BB30" s="187">
        <f t="shared" ca="1" si="58"/>
        <v>0</v>
      </c>
      <c r="BC30" s="187">
        <f t="shared" ca="1" si="58"/>
        <v>0</v>
      </c>
      <c r="BD30" s="187">
        <f t="shared" ca="1" si="58"/>
        <v>0</v>
      </c>
      <c r="BE30" s="187">
        <f t="shared" ca="1" si="58"/>
        <v>0</v>
      </c>
      <c r="BF30" s="187">
        <f t="shared" ca="1" si="58"/>
        <v>0</v>
      </c>
      <c r="BG30" s="187">
        <f t="shared" ca="1" si="58"/>
        <v>0</v>
      </c>
      <c r="BH30" s="43"/>
    </row>
    <row r="31" spans="1:60" ht="12.75" x14ac:dyDescent="0.2">
      <c r="B31" s="101" t="s">
        <v>158</v>
      </c>
      <c r="F31" s="92"/>
      <c r="G31" s="92"/>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row>
    <row r="32" spans="1:60" ht="12.75" x14ac:dyDescent="0.2">
      <c r="B32" s="101"/>
      <c r="C32" s="90" t="s">
        <v>144</v>
      </c>
      <c r="F32" s="92"/>
      <c r="G32" s="92" t="s">
        <v>142</v>
      </c>
      <c r="I32" s="99"/>
      <c r="J32" s="10">
        <f t="shared" ref="J32:Q32" ca="1" si="59">J25*J9</f>
        <v>40816326.530612245</v>
      </c>
      <c r="K32" s="10">
        <f t="shared" ca="1" si="59"/>
        <v>0</v>
      </c>
      <c r="L32" s="10">
        <f t="shared" ca="1" si="59"/>
        <v>0</v>
      </c>
      <c r="M32" s="10">
        <f t="shared" ca="1" si="59"/>
        <v>0</v>
      </c>
      <c r="N32" s="10">
        <f t="shared" ca="1" si="59"/>
        <v>0</v>
      </c>
      <c r="O32" s="10">
        <f t="shared" ca="1" si="59"/>
        <v>0</v>
      </c>
      <c r="P32" s="10">
        <f t="shared" ca="1" si="59"/>
        <v>0</v>
      </c>
      <c r="Q32" s="10">
        <f t="shared" ca="1" si="59"/>
        <v>0</v>
      </c>
      <c r="R32" s="10">
        <f t="shared" ref="R32" ca="1" si="60">R25*R9</f>
        <v>0</v>
      </c>
      <c r="S32" s="10">
        <f t="shared" ref="S32:BG32" ca="1" si="61">S25*S9</f>
        <v>0</v>
      </c>
      <c r="T32" s="10">
        <f t="shared" ca="1" si="61"/>
        <v>18078415.935999997</v>
      </c>
      <c r="U32" s="10">
        <f t="shared" ca="1" si="61"/>
        <v>0</v>
      </c>
      <c r="V32" s="10">
        <f t="shared" ca="1" si="61"/>
        <v>0</v>
      </c>
      <c r="W32" s="10">
        <f t="shared" ca="1" si="61"/>
        <v>0</v>
      </c>
      <c r="X32" s="10">
        <f t="shared" ca="1" si="61"/>
        <v>0</v>
      </c>
      <c r="Y32" s="10">
        <f t="shared" ca="1" si="61"/>
        <v>0</v>
      </c>
      <c r="Z32" s="10">
        <f t="shared" ca="1" si="61"/>
        <v>0</v>
      </c>
      <c r="AA32" s="10">
        <f t="shared" ca="1" si="61"/>
        <v>0</v>
      </c>
      <c r="AB32" s="10">
        <f t="shared" ca="1" si="61"/>
        <v>0</v>
      </c>
      <c r="AC32" s="10">
        <f t="shared" ca="1" si="61"/>
        <v>0</v>
      </c>
      <c r="AD32" s="10">
        <f t="shared" ca="1" si="61"/>
        <v>14771382.052908072</v>
      </c>
      <c r="AE32" s="10">
        <f t="shared" ca="1" si="61"/>
        <v>0</v>
      </c>
      <c r="AF32" s="10">
        <f t="shared" ca="1" si="61"/>
        <v>0</v>
      </c>
      <c r="AG32" s="10">
        <f t="shared" ca="1" si="61"/>
        <v>0</v>
      </c>
      <c r="AH32" s="10">
        <f t="shared" ca="1" si="61"/>
        <v>0</v>
      </c>
      <c r="AI32" s="10">
        <f t="shared" ca="1" si="61"/>
        <v>0</v>
      </c>
      <c r="AJ32" s="10">
        <f t="shared" ca="1" si="61"/>
        <v>0</v>
      </c>
      <c r="AK32" s="10">
        <f t="shared" ca="1" si="61"/>
        <v>0</v>
      </c>
      <c r="AL32" s="10">
        <f t="shared" ca="1" si="61"/>
        <v>0</v>
      </c>
      <c r="AM32" s="10">
        <f t="shared" ca="1" si="61"/>
        <v>0</v>
      </c>
      <c r="AN32" s="10">
        <f t="shared" ca="1" si="61"/>
        <v>12069294.595577931</v>
      </c>
      <c r="AO32" s="10">
        <f t="shared" ca="1" si="61"/>
        <v>0</v>
      </c>
      <c r="AP32" s="10">
        <f t="shared" ca="1" si="61"/>
        <v>11591350.529593045</v>
      </c>
      <c r="AQ32" s="10">
        <f t="shared" ca="1" si="61"/>
        <v>0</v>
      </c>
      <c r="AR32" s="10">
        <f t="shared" ca="1" si="61"/>
        <v>0</v>
      </c>
      <c r="AS32" s="10">
        <f t="shared" ca="1" si="61"/>
        <v>0</v>
      </c>
      <c r="AT32" s="10">
        <f t="shared" ca="1" si="61"/>
        <v>0</v>
      </c>
      <c r="AU32" s="10">
        <f t="shared" ca="1" si="61"/>
        <v>0</v>
      </c>
      <c r="AV32" s="10">
        <f t="shared" ca="1" si="61"/>
        <v>0</v>
      </c>
      <c r="AW32" s="10">
        <f t="shared" ca="1" si="61"/>
        <v>0</v>
      </c>
      <c r="AX32" s="10">
        <f t="shared" ca="1" si="61"/>
        <v>9861492.4123615604</v>
      </c>
      <c r="AY32" s="10">
        <f t="shared" ca="1" si="61"/>
        <v>0</v>
      </c>
      <c r="AZ32" s="10">
        <f t="shared" ca="1" si="61"/>
        <v>9470977.3128320426</v>
      </c>
      <c r="BA32" s="10">
        <f t="shared" ca="1" si="61"/>
        <v>0</v>
      </c>
      <c r="BB32" s="10">
        <f t="shared" ca="1" si="61"/>
        <v>0</v>
      </c>
      <c r="BC32" s="10">
        <f t="shared" ca="1" si="61"/>
        <v>0</v>
      </c>
      <c r="BD32" s="10">
        <f t="shared" ca="1" si="61"/>
        <v>0</v>
      </c>
      <c r="BE32" s="10">
        <f t="shared" ca="1" si="61"/>
        <v>0</v>
      </c>
      <c r="BF32" s="10">
        <f t="shared" ca="1" si="61"/>
        <v>0</v>
      </c>
      <c r="BG32" s="10">
        <f t="shared" ca="1" si="61"/>
        <v>0</v>
      </c>
    </row>
    <row r="33" spans="2:59" ht="12.75" x14ac:dyDescent="0.2">
      <c r="B33" s="101"/>
      <c r="C33" s="90" t="s">
        <v>162</v>
      </c>
      <c r="F33" s="92"/>
      <c r="G33" s="92" t="s">
        <v>142</v>
      </c>
      <c r="I33" s="99"/>
      <c r="J33" s="10">
        <f t="shared" ref="J33:Q33" ca="1" si="62">J26*J10</f>
        <v>122448979.59183674</v>
      </c>
      <c r="K33" s="10">
        <f t="shared" ca="1" si="62"/>
        <v>0</v>
      </c>
      <c r="L33" s="10">
        <f t="shared" ca="1" si="62"/>
        <v>0</v>
      </c>
      <c r="M33" s="10">
        <f t="shared" ca="1" si="62"/>
        <v>0</v>
      </c>
      <c r="N33" s="10">
        <f t="shared" ca="1" si="62"/>
        <v>0</v>
      </c>
      <c r="O33" s="10">
        <f t="shared" ca="1" si="62"/>
        <v>0</v>
      </c>
      <c r="P33" s="10">
        <f t="shared" ca="1" si="62"/>
        <v>0</v>
      </c>
      <c r="Q33" s="10">
        <f t="shared" ca="1" si="62"/>
        <v>0</v>
      </c>
      <c r="R33" s="10">
        <f t="shared" ref="R33" ca="1" si="63">R26*R10</f>
        <v>0</v>
      </c>
      <c r="S33" s="10">
        <f t="shared" ref="S33:BG33" ca="1" si="64">S26*S10</f>
        <v>0</v>
      </c>
      <c r="T33" s="10">
        <f t="shared" ca="1" si="64"/>
        <v>54235247.807999991</v>
      </c>
      <c r="U33" s="10">
        <f t="shared" ca="1" si="64"/>
        <v>0</v>
      </c>
      <c r="V33" s="10">
        <f t="shared" ca="1" si="64"/>
        <v>0</v>
      </c>
      <c r="W33" s="10">
        <f t="shared" ca="1" si="64"/>
        <v>0</v>
      </c>
      <c r="X33" s="10">
        <f t="shared" ca="1" si="64"/>
        <v>0</v>
      </c>
      <c r="Y33" s="10">
        <f t="shared" ca="1" si="64"/>
        <v>0</v>
      </c>
      <c r="Z33" s="10">
        <f t="shared" ca="1" si="64"/>
        <v>0</v>
      </c>
      <c r="AA33" s="10">
        <f t="shared" ca="1" si="64"/>
        <v>0</v>
      </c>
      <c r="AB33" s="10">
        <f t="shared" ca="1" si="64"/>
        <v>0</v>
      </c>
      <c r="AC33" s="10">
        <f t="shared" ca="1" si="64"/>
        <v>0</v>
      </c>
      <c r="AD33" s="10">
        <f t="shared" ca="1" si="64"/>
        <v>44314146.158724219</v>
      </c>
      <c r="AE33" s="10">
        <f t="shared" ca="1" si="64"/>
        <v>0</v>
      </c>
      <c r="AF33" s="10">
        <f t="shared" ca="1" si="64"/>
        <v>0</v>
      </c>
      <c r="AG33" s="10">
        <f t="shared" ca="1" si="64"/>
        <v>0</v>
      </c>
      <c r="AH33" s="10">
        <f t="shared" ca="1" si="64"/>
        <v>0</v>
      </c>
      <c r="AI33" s="10">
        <f t="shared" ca="1" si="64"/>
        <v>0</v>
      </c>
      <c r="AJ33" s="10">
        <f t="shared" ca="1" si="64"/>
        <v>0</v>
      </c>
      <c r="AK33" s="10">
        <f t="shared" ca="1" si="64"/>
        <v>0</v>
      </c>
      <c r="AL33" s="10">
        <f t="shared" ca="1" si="64"/>
        <v>0</v>
      </c>
      <c r="AM33" s="10">
        <f t="shared" ca="1" si="64"/>
        <v>0</v>
      </c>
      <c r="AN33" s="10">
        <f t="shared" ca="1" si="64"/>
        <v>36207883.786733791</v>
      </c>
      <c r="AO33" s="10">
        <f t="shared" ca="1" si="64"/>
        <v>0</v>
      </c>
      <c r="AP33" s="10">
        <f t="shared" ca="1" si="64"/>
        <v>34774051.588779137</v>
      </c>
      <c r="AQ33" s="10">
        <f t="shared" ca="1" si="64"/>
        <v>0</v>
      </c>
      <c r="AR33" s="10">
        <f t="shared" ca="1" si="64"/>
        <v>0</v>
      </c>
      <c r="AS33" s="10">
        <f t="shared" ca="1" si="64"/>
        <v>0</v>
      </c>
      <c r="AT33" s="10">
        <f t="shared" ca="1" si="64"/>
        <v>0</v>
      </c>
      <c r="AU33" s="10">
        <f t="shared" ca="1" si="64"/>
        <v>0</v>
      </c>
      <c r="AV33" s="10">
        <f t="shared" ca="1" si="64"/>
        <v>0</v>
      </c>
      <c r="AW33" s="10">
        <f t="shared" ca="1" si="64"/>
        <v>0</v>
      </c>
      <c r="AX33" s="10">
        <f t="shared" ca="1" si="64"/>
        <v>29584477.237084679</v>
      </c>
      <c r="AY33" s="10">
        <f t="shared" ca="1" si="64"/>
        <v>0</v>
      </c>
      <c r="AZ33" s="10">
        <f t="shared" ca="1" si="64"/>
        <v>28412931.938496124</v>
      </c>
      <c r="BA33" s="10">
        <f t="shared" ca="1" si="64"/>
        <v>0</v>
      </c>
      <c r="BB33" s="10">
        <f t="shared" ca="1" si="64"/>
        <v>0</v>
      </c>
      <c r="BC33" s="10">
        <f t="shared" ca="1" si="64"/>
        <v>0</v>
      </c>
      <c r="BD33" s="10">
        <f t="shared" ca="1" si="64"/>
        <v>0</v>
      </c>
      <c r="BE33" s="10">
        <f t="shared" ca="1" si="64"/>
        <v>0</v>
      </c>
      <c r="BF33" s="10">
        <f t="shared" ca="1" si="64"/>
        <v>0</v>
      </c>
      <c r="BG33" s="10">
        <f t="shared" ca="1" si="64"/>
        <v>0</v>
      </c>
    </row>
    <row r="34" spans="2:59" ht="12.75" x14ac:dyDescent="0.2">
      <c r="B34" s="101"/>
      <c r="C34" s="90" t="s">
        <v>231</v>
      </c>
      <c r="F34" s="92"/>
      <c r="G34" s="92" t="s">
        <v>142</v>
      </c>
      <c r="I34" s="99"/>
      <c r="J34" s="10">
        <f t="shared" ref="J34:Q34" ca="1" si="65">J27*J11</f>
        <v>0</v>
      </c>
      <c r="K34" s="10">
        <f t="shared" ca="1" si="65"/>
        <v>0</v>
      </c>
      <c r="L34" s="10">
        <f t="shared" ca="1" si="65"/>
        <v>0</v>
      </c>
      <c r="M34" s="10">
        <f t="shared" ca="1" si="65"/>
        <v>0</v>
      </c>
      <c r="N34" s="10">
        <f t="shared" ca="1" si="65"/>
        <v>0</v>
      </c>
      <c r="O34" s="10">
        <f t="shared" ca="1" si="65"/>
        <v>0</v>
      </c>
      <c r="P34" s="10">
        <f t="shared" ca="1" si="65"/>
        <v>0</v>
      </c>
      <c r="Q34" s="10">
        <f t="shared" ca="1" si="65"/>
        <v>0</v>
      </c>
      <c r="R34" s="10">
        <f t="shared" ref="R34" ca="1" si="66">R27*R11</f>
        <v>0</v>
      </c>
      <c r="S34" s="10">
        <f t="shared" ref="S34:BG34" ca="1" si="67">S27*S11</f>
        <v>0</v>
      </c>
      <c r="T34" s="10">
        <f t="shared" ca="1" si="67"/>
        <v>0</v>
      </c>
      <c r="U34" s="10">
        <f t="shared" ca="1" si="67"/>
        <v>0</v>
      </c>
      <c r="V34" s="10">
        <f t="shared" ca="1" si="67"/>
        <v>0</v>
      </c>
      <c r="W34" s="10">
        <f t="shared" ca="1" si="67"/>
        <v>0</v>
      </c>
      <c r="X34" s="10">
        <f t="shared" ca="1" si="67"/>
        <v>0</v>
      </c>
      <c r="Y34" s="10">
        <f t="shared" ca="1" si="67"/>
        <v>0</v>
      </c>
      <c r="Z34" s="10">
        <f t="shared" ca="1" si="67"/>
        <v>0</v>
      </c>
      <c r="AA34" s="10">
        <f t="shared" ca="1" si="67"/>
        <v>0</v>
      </c>
      <c r="AB34" s="10">
        <f t="shared" ca="1" si="67"/>
        <v>0</v>
      </c>
      <c r="AC34" s="10">
        <f t="shared" ca="1" si="67"/>
        <v>0</v>
      </c>
      <c r="AD34" s="10">
        <f t="shared" ca="1" si="67"/>
        <v>0</v>
      </c>
      <c r="AE34" s="10">
        <f t="shared" ca="1" si="67"/>
        <v>0</v>
      </c>
      <c r="AF34" s="10">
        <f t="shared" ca="1" si="67"/>
        <v>0</v>
      </c>
      <c r="AG34" s="10">
        <f t="shared" ca="1" si="67"/>
        <v>0</v>
      </c>
      <c r="AH34" s="10">
        <f t="shared" ca="1" si="67"/>
        <v>0</v>
      </c>
      <c r="AI34" s="10">
        <f t="shared" ca="1" si="67"/>
        <v>0</v>
      </c>
      <c r="AJ34" s="10">
        <f t="shared" ca="1" si="67"/>
        <v>0</v>
      </c>
      <c r="AK34" s="10">
        <f t="shared" ca="1" si="67"/>
        <v>0</v>
      </c>
      <c r="AL34" s="10">
        <f t="shared" ca="1" si="67"/>
        <v>0</v>
      </c>
      <c r="AM34" s="10">
        <f t="shared" ca="1" si="67"/>
        <v>0</v>
      </c>
      <c r="AN34" s="10">
        <f t="shared" ca="1" si="67"/>
        <v>0</v>
      </c>
      <c r="AO34" s="10">
        <f t="shared" ca="1" si="67"/>
        <v>0</v>
      </c>
      <c r="AP34" s="10">
        <f t="shared" ca="1" si="67"/>
        <v>0</v>
      </c>
      <c r="AQ34" s="10">
        <f t="shared" ca="1" si="67"/>
        <v>0</v>
      </c>
      <c r="AR34" s="10">
        <f t="shared" ca="1" si="67"/>
        <v>0</v>
      </c>
      <c r="AS34" s="10">
        <f t="shared" ca="1" si="67"/>
        <v>0</v>
      </c>
      <c r="AT34" s="10">
        <f t="shared" ca="1" si="67"/>
        <v>0</v>
      </c>
      <c r="AU34" s="10">
        <f t="shared" ca="1" si="67"/>
        <v>0</v>
      </c>
      <c r="AV34" s="10">
        <f t="shared" ca="1" si="67"/>
        <v>0</v>
      </c>
      <c r="AW34" s="10">
        <f t="shared" ca="1" si="67"/>
        <v>0</v>
      </c>
      <c r="AX34" s="10">
        <f t="shared" ca="1" si="67"/>
        <v>0</v>
      </c>
      <c r="AY34" s="10">
        <f t="shared" ca="1" si="67"/>
        <v>0</v>
      </c>
      <c r="AZ34" s="10">
        <f t="shared" ca="1" si="67"/>
        <v>0</v>
      </c>
      <c r="BA34" s="10">
        <f t="shared" ca="1" si="67"/>
        <v>0</v>
      </c>
      <c r="BB34" s="10">
        <f t="shared" ca="1" si="67"/>
        <v>0</v>
      </c>
      <c r="BC34" s="10">
        <f t="shared" ca="1" si="67"/>
        <v>0</v>
      </c>
      <c r="BD34" s="10">
        <f t="shared" ca="1" si="67"/>
        <v>0</v>
      </c>
      <c r="BE34" s="10">
        <f t="shared" ca="1" si="67"/>
        <v>0</v>
      </c>
      <c r="BF34" s="10">
        <f t="shared" ca="1" si="67"/>
        <v>0</v>
      </c>
      <c r="BG34" s="10">
        <f t="shared" ca="1" si="67"/>
        <v>0</v>
      </c>
    </row>
    <row r="35" spans="2:59" ht="12.75" x14ac:dyDescent="0.2">
      <c r="B35" s="101"/>
      <c r="C35" s="90" t="s">
        <v>311</v>
      </c>
      <c r="F35" s="92"/>
      <c r="G35" s="92" t="s">
        <v>142</v>
      </c>
      <c r="I35" s="99"/>
      <c r="J35" s="10">
        <f t="shared" ref="J35:Q35" ca="1" si="68">J28*J12</f>
        <v>0</v>
      </c>
      <c r="K35" s="10">
        <f t="shared" ca="1" si="68"/>
        <v>0</v>
      </c>
      <c r="L35" s="10">
        <f t="shared" ca="1" si="68"/>
        <v>0</v>
      </c>
      <c r="M35" s="10">
        <f t="shared" ca="1" si="68"/>
        <v>0</v>
      </c>
      <c r="N35" s="10">
        <f t="shared" ca="1" si="68"/>
        <v>0</v>
      </c>
      <c r="O35" s="10">
        <f t="shared" ca="1" si="68"/>
        <v>0</v>
      </c>
      <c r="P35" s="10">
        <f t="shared" ca="1" si="68"/>
        <v>0</v>
      </c>
      <c r="Q35" s="10">
        <f t="shared" ca="1" si="68"/>
        <v>0</v>
      </c>
      <c r="R35" s="10">
        <f t="shared" ref="R35" ca="1" si="69">R28*R12</f>
        <v>0</v>
      </c>
      <c r="S35" s="10">
        <f t="shared" ref="S35:BG35" ca="1" si="70">S28*S12</f>
        <v>0</v>
      </c>
      <c r="T35" s="10">
        <f t="shared" ca="1" si="70"/>
        <v>0</v>
      </c>
      <c r="U35" s="10">
        <f t="shared" ca="1" si="70"/>
        <v>0</v>
      </c>
      <c r="V35" s="10">
        <f t="shared" ca="1" si="70"/>
        <v>0</v>
      </c>
      <c r="W35" s="10">
        <f t="shared" ca="1" si="70"/>
        <v>0</v>
      </c>
      <c r="X35" s="10">
        <f t="shared" ca="1" si="70"/>
        <v>0</v>
      </c>
      <c r="Y35" s="10">
        <f t="shared" ca="1" si="70"/>
        <v>0</v>
      </c>
      <c r="Z35" s="10">
        <f t="shared" ca="1" si="70"/>
        <v>0</v>
      </c>
      <c r="AA35" s="10">
        <f t="shared" ca="1" si="70"/>
        <v>0</v>
      </c>
      <c r="AB35" s="10">
        <f t="shared" ca="1" si="70"/>
        <v>0</v>
      </c>
      <c r="AC35" s="10">
        <f t="shared" ca="1" si="70"/>
        <v>0</v>
      </c>
      <c r="AD35" s="10">
        <f t="shared" ca="1" si="70"/>
        <v>0</v>
      </c>
      <c r="AE35" s="10">
        <f t="shared" ca="1" si="70"/>
        <v>0</v>
      </c>
      <c r="AF35" s="10">
        <f t="shared" ca="1" si="70"/>
        <v>0</v>
      </c>
      <c r="AG35" s="10">
        <f t="shared" ca="1" si="70"/>
        <v>0</v>
      </c>
      <c r="AH35" s="10">
        <f t="shared" ca="1" si="70"/>
        <v>0</v>
      </c>
      <c r="AI35" s="10">
        <f t="shared" ca="1" si="70"/>
        <v>0</v>
      </c>
      <c r="AJ35" s="10">
        <f t="shared" ca="1" si="70"/>
        <v>0</v>
      </c>
      <c r="AK35" s="10">
        <f t="shared" ca="1" si="70"/>
        <v>0</v>
      </c>
      <c r="AL35" s="10">
        <f t="shared" ca="1" si="70"/>
        <v>0</v>
      </c>
      <c r="AM35" s="10">
        <f t="shared" ca="1" si="70"/>
        <v>0</v>
      </c>
      <c r="AN35" s="10">
        <f t="shared" ca="1" si="70"/>
        <v>0</v>
      </c>
      <c r="AO35" s="10">
        <f t="shared" ca="1" si="70"/>
        <v>0</v>
      </c>
      <c r="AP35" s="10">
        <f t="shared" ca="1" si="70"/>
        <v>0</v>
      </c>
      <c r="AQ35" s="10">
        <f t="shared" ca="1" si="70"/>
        <v>0</v>
      </c>
      <c r="AR35" s="10">
        <f t="shared" ca="1" si="70"/>
        <v>0</v>
      </c>
      <c r="AS35" s="10">
        <f t="shared" ca="1" si="70"/>
        <v>0</v>
      </c>
      <c r="AT35" s="10">
        <f t="shared" ca="1" si="70"/>
        <v>0</v>
      </c>
      <c r="AU35" s="10">
        <f t="shared" ca="1" si="70"/>
        <v>0</v>
      </c>
      <c r="AV35" s="10">
        <f t="shared" ca="1" si="70"/>
        <v>0</v>
      </c>
      <c r="AW35" s="10">
        <f t="shared" ca="1" si="70"/>
        <v>0</v>
      </c>
      <c r="AX35" s="10">
        <f t="shared" ca="1" si="70"/>
        <v>0</v>
      </c>
      <c r="AY35" s="10">
        <f t="shared" ca="1" si="70"/>
        <v>0</v>
      </c>
      <c r="AZ35" s="10">
        <f t="shared" ca="1" si="70"/>
        <v>0</v>
      </c>
      <c r="BA35" s="10">
        <f t="shared" ca="1" si="70"/>
        <v>0</v>
      </c>
      <c r="BB35" s="10">
        <f t="shared" ca="1" si="70"/>
        <v>0</v>
      </c>
      <c r="BC35" s="10">
        <f t="shared" ca="1" si="70"/>
        <v>0</v>
      </c>
      <c r="BD35" s="10">
        <f t="shared" ca="1" si="70"/>
        <v>0</v>
      </c>
      <c r="BE35" s="10">
        <f t="shared" ca="1" si="70"/>
        <v>0</v>
      </c>
      <c r="BF35" s="10">
        <f t="shared" ca="1" si="70"/>
        <v>0</v>
      </c>
      <c r="BG35" s="10">
        <f t="shared" ca="1" si="70"/>
        <v>0</v>
      </c>
    </row>
    <row r="36" spans="2:59" ht="12.75" x14ac:dyDescent="0.2">
      <c r="B36" s="101"/>
      <c r="C36" s="179" t="s">
        <v>255</v>
      </c>
      <c r="F36" s="92"/>
      <c r="G36" s="92" t="s">
        <v>142</v>
      </c>
      <c r="I36" s="99"/>
      <c r="J36" s="187">
        <f t="shared" ref="J36:BG36" ca="1" si="71">J29*J13</f>
        <v>0</v>
      </c>
      <c r="K36" s="187">
        <f t="shared" ca="1" si="71"/>
        <v>0</v>
      </c>
      <c r="L36" s="187">
        <f t="shared" ca="1" si="71"/>
        <v>0</v>
      </c>
      <c r="M36" s="187">
        <f t="shared" ca="1" si="71"/>
        <v>0</v>
      </c>
      <c r="N36" s="187">
        <f t="shared" ca="1" si="71"/>
        <v>0</v>
      </c>
      <c r="O36" s="187">
        <f t="shared" ca="1" si="71"/>
        <v>0</v>
      </c>
      <c r="P36" s="187">
        <f t="shared" ca="1" si="71"/>
        <v>0</v>
      </c>
      <c r="Q36" s="187">
        <f t="shared" ca="1" si="71"/>
        <v>0</v>
      </c>
      <c r="R36" s="187">
        <f t="shared" ca="1" si="71"/>
        <v>0</v>
      </c>
      <c r="S36" s="187">
        <f t="shared" ca="1" si="71"/>
        <v>0</v>
      </c>
      <c r="T36" s="187">
        <f t="shared" ca="1" si="71"/>
        <v>0</v>
      </c>
      <c r="U36" s="187">
        <f t="shared" ca="1" si="71"/>
        <v>0</v>
      </c>
      <c r="V36" s="187">
        <f t="shared" ca="1" si="71"/>
        <v>0</v>
      </c>
      <c r="W36" s="187">
        <f t="shared" ca="1" si="71"/>
        <v>0</v>
      </c>
      <c r="X36" s="187">
        <f t="shared" ca="1" si="71"/>
        <v>0</v>
      </c>
      <c r="Y36" s="187">
        <f t="shared" ca="1" si="71"/>
        <v>0</v>
      </c>
      <c r="Z36" s="187">
        <f t="shared" ca="1" si="71"/>
        <v>0</v>
      </c>
      <c r="AA36" s="187">
        <f t="shared" ca="1" si="71"/>
        <v>0</v>
      </c>
      <c r="AB36" s="187">
        <f t="shared" ca="1" si="71"/>
        <v>0</v>
      </c>
      <c r="AC36" s="187">
        <f t="shared" ca="1" si="71"/>
        <v>0</v>
      </c>
      <c r="AD36" s="187">
        <f t="shared" ca="1" si="71"/>
        <v>0</v>
      </c>
      <c r="AE36" s="187">
        <f t="shared" ca="1" si="71"/>
        <v>0</v>
      </c>
      <c r="AF36" s="187">
        <f t="shared" ca="1" si="71"/>
        <v>0</v>
      </c>
      <c r="AG36" s="187">
        <f t="shared" ca="1" si="71"/>
        <v>0</v>
      </c>
      <c r="AH36" s="187">
        <f t="shared" ca="1" si="71"/>
        <v>0</v>
      </c>
      <c r="AI36" s="187">
        <f t="shared" ca="1" si="71"/>
        <v>0</v>
      </c>
      <c r="AJ36" s="187">
        <f t="shared" ca="1" si="71"/>
        <v>0</v>
      </c>
      <c r="AK36" s="187">
        <f t="shared" ca="1" si="71"/>
        <v>0</v>
      </c>
      <c r="AL36" s="187">
        <f t="shared" ca="1" si="71"/>
        <v>0</v>
      </c>
      <c r="AM36" s="187">
        <f t="shared" ca="1" si="71"/>
        <v>0</v>
      </c>
      <c r="AN36" s="187">
        <f t="shared" ca="1" si="71"/>
        <v>0</v>
      </c>
      <c r="AO36" s="187">
        <f t="shared" ca="1" si="71"/>
        <v>0</v>
      </c>
      <c r="AP36" s="187">
        <f t="shared" ca="1" si="71"/>
        <v>0</v>
      </c>
      <c r="AQ36" s="187">
        <f t="shared" ca="1" si="71"/>
        <v>0</v>
      </c>
      <c r="AR36" s="187">
        <f t="shared" ca="1" si="71"/>
        <v>0</v>
      </c>
      <c r="AS36" s="187">
        <f t="shared" ca="1" si="71"/>
        <v>0</v>
      </c>
      <c r="AT36" s="187">
        <f t="shared" ca="1" si="71"/>
        <v>0</v>
      </c>
      <c r="AU36" s="187">
        <f t="shared" ca="1" si="71"/>
        <v>0</v>
      </c>
      <c r="AV36" s="187">
        <f t="shared" ca="1" si="71"/>
        <v>0</v>
      </c>
      <c r="AW36" s="187">
        <f t="shared" ca="1" si="71"/>
        <v>0</v>
      </c>
      <c r="AX36" s="187">
        <f t="shared" ca="1" si="71"/>
        <v>0</v>
      </c>
      <c r="AY36" s="187">
        <f t="shared" ca="1" si="71"/>
        <v>0</v>
      </c>
      <c r="AZ36" s="187">
        <f t="shared" ca="1" si="71"/>
        <v>0</v>
      </c>
      <c r="BA36" s="187">
        <f t="shared" ca="1" si="71"/>
        <v>0</v>
      </c>
      <c r="BB36" s="187">
        <f t="shared" ca="1" si="71"/>
        <v>0</v>
      </c>
      <c r="BC36" s="187">
        <f t="shared" ca="1" si="71"/>
        <v>0</v>
      </c>
      <c r="BD36" s="187">
        <f t="shared" ca="1" si="71"/>
        <v>0</v>
      </c>
      <c r="BE36" s="187">
        <f t="shared" ca="1" si="71"/>
        <v>0</v>
      </c>
      <c r="BF36" s="187">
        <f t="shared" ca="1" si="71"/>
        <v>0</v>
      </c>
      <c r="BG36" s="187">
        <f t="shared" ca="1" si="71"/>
        <v>0</v>
      </c>
    </row>
    <row r="37" spans="2:59" ht="12.75" x14ac:dyDescent="0.2">
      <c r="B37" s="101"/>
      <c r="C37" s="179" t="s">
        <v>256</v>
      </c>
      <c r="F37" s="92"/>
      <c r="G37" s="92" t="s">
        <v>142</v>
      </c>
      <c r="I37" s="99"/>
      <c r="J37" s="187">
        <f t="shared" ref="J37:BG37" ca="1" si="72">J30*J14</f>
        <v>0</v>
      </c>
      <c r="K37" s="187">
        <f t="shared" ca="1" si="72"/>
        <v>0</v>
      </c>
      <c r="L37" s="187">
        <f t="shared" ca="1" si="72"/>
        <v>0</v>
      </c>
      <c r="M37" s="187">
        <f t="shared" ca="1" si="72"/>
        <v>0</v>
      </c>
      <c r="N37" s="187">
        <f t="shared" ca="1" si="72"/>
        <v>0</v>
      </c>
      <c r="O37" s="187">
        <f t="shared" ca="1" si="72"/>
        <v>0</v>
      </c>
      <c r="P37" s="187">
        <f t="shared" ca="1" si="72"/>
        <v>0</v>
      </c>
      <c r="Q37" s="187">
        <f t="shared" ca="1" si="72"/>
        <v>0</v>
      </c>
      <c r="R37" s="187">
        <f t="shared" ca="1" si="72"/>
        <v>0</v>
      </c>
      <c r="S37" s="187">
        <f t="shared" ca="1" si="72"/>
        <v>0</v>
      </c>
      <c r="T37" s="187">
        <f t="shared" ca="1" si="72"/>
        <v>0</v>
      </c>
      <c r="U37" s="187">
        <f t="shared" ca="1" si="72"/>
        <v>0</v>
      </c>
      <c r="V37" s="187">
        <f t="shared" ca="1" si="72"/>
        <v>0</v>
      </c>
      <c r="W37" s="187">
        <f t="shared" ca="1" si="72"/>
        <v>0</v>
      </c>
      <c r="X37" s="187">
        <f t="shared" ca="1" si="72"/>
        <v>0</v>
      </c>
      <c r="Y37" s="187">
        <f t="shared" ca="1" si="72"/>
        <v>0</v>
      </c>
      <c r="Z37" s="187">
        <f t="shared" ca="1" si="72"/>
        <v>0</v>
      </c>
      <c r="AA37" s="187">
        <f t="shared" ca="1" si="72"/>
        <v>0</v>
      </c>
      <c r="AB37" s="187">
        <f t="shared" ca="1" si="72"/>
        <v>0</v>
      </c>
      <c r="AC37" s="187">
        <f t="shared" ca="1" si="72"/>
        <v>0</v>
      </c>
      <c r="AD37" s="187">
        <f t="shared" ca="1" si="72"/>
        <v>0</v>
      </c>
      <c r="AE37" s="187">
        <f t="shared" ca="1" si="72"/>
        <v>0</v>
      </c>
      <c r="AF37" s="187">
        <f t="shared" ca="1" si="72"/>
        <v>0</v>
      </c>
      <c r="AG37" s="187">
        <f t="shared" ca="1" si="72"/>
        <v>0</v>
      </c>
      <c r="AH37" s="187">
        <f t="shared" ca="1" si="72"/>
        <v>0</v>
      </c>
      <c r="AI37" s="187">
        <f t="shared" ca="1" si="72"/>
        <v>0</v>
      </c>
      <c r="AJ37" s="187">
        <f t="shared" ca="1" si="72"/>
        <v>0</v>
      </c>
      <c r="AK37" s="187">
        <f t="shared" ca="1" si="72"/>
        <v>0</v>
      </c>
      <c r="AL37" s="187">
        <f t="shared" ca="1" si="72"/>
        <v>0</v>
      </c>
      <c r="AM37" s="187">
        <f t="shared" ca="1" si="72"/>
        <v>0</v>
      </c>
      <c r="AN37" s="187">
        <f t="shared" ca="1" si="72"/>
        <v>0</v>
      </c>
      <c r="AO37" s="187">
        <f t="shared" ca="1" si="72"/>
        <v>0</v>
      </c>
      <c r="AP37" s="187">
        <f t="shared" ca="1" si="72"/>
        <v>0</v>
      </c>
      <c r="AQ37" s="187">
        <f t="shared" ca="1" si="72"/>
        <v>0</v>
      </c>
      <c r="AR37" s="187">
        <f t="shared" ca="1" si="72"/>
        <v>0</v>
      </c>
      <c r="AS37" s="187">
        <f t="shared" ca="1" si="72"/>
        <v>0</v>
      </c>
      <c r="AT37" s="187">
        <f t="shared" ca="1" si="72"/>
        <v>0</v>
      </c>
      <c r="AU37" s="187">
        <f t="shared" ca="1" si="72"/>
        <v>0</v>
      </c>
      <c r="AV37" s="187">
        <f t="shared" ca="1" si="72"/>
        <v>0</v>
      </c>
      <c r="AW37" s="187">
        <f t="shared" ca="1" si="72"/>
        <v>0</v>
      </c>
      <c r="AX37" s="187">
        <f t="shared" ca="1" si="72"/>
        <v>0</v>
      </c>
      <c r="AY37" s="187">
        <f t="shared" ca="1" si="72"/>
        <v>0</v>
      </c>
      <c r="AZ37" s="187">
        <f t="shared" ca="1" si="72"/>
        <v>0</v>
      </c>
      <c r="BA37" s="187">
        <f t="shared" ca="1" si="72"/>
        <v>0</v>
      </c>
      <c r="BB37" s="187">
        <f t="shared" ca="1" si="72"/>
        <v>0</v>
      </c>
      <c r="BC37" s="187">
        <f t="shared" ca="1" si="72"/>
        <v>0</v>
      </c>
      <c r="BD37" s="187">
        <f t="shared" ca="1" si="72"/>
        <v>0</v>
      </c>
      <c r="BE37" s="187">
        <f t="shared" ca="1" si="72"/>
        <v>0</v>
      </c>
      <c r="BF37" s="187">
        <f t="shared" ca="1" si="72"/>
        <v>0</v>
      </c>
      <c r="BG37" s="187">
        <f t="shared" ca="1" si="72"/>
        <v>0</v>
      </c>
    </row>
    <row r="38" spans="2:59" ht="12.75" x14ac:dyDescent="0.2">
      <c r="B38" s="101" t="s">
        <v>261</v>
      </c>
      <c r="F38" s="92"/>
      <c r="G38" s="92"/>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row>
    <row r="39" spans="2:59" ht="12.75" x14ac:dyDescent="0.2">
      <c r="B39" s="101"/>
      <c r="C39" s="90" t="s">
        <v>144</v>
      </c>
      <c r="F39" s="92"/>
      <c r="G39" s="92"/>
      <c r="I39" s="99"/>
      <c r="J39" s="10">
        <f t="array" ref="J39:BG39">promedio_usuarios_fijos*recibos_ano</f>
        <v>182430726</v>
      </c>
      <c r="K39" s="10">
        <v>176391564</v>
      </c>
      <c r="L39" s="10">
        <v>168579720</v>
      </c>
      <c r="M39" s="10">
        <v>161242824</v>
      </c>
      <c r="N39" s="10">
        <v>154614972</v>
      </c>
      <c r="O39" s="10">
        <v>152050188</v>
      </c>
      <c r="P39" s="10">
        <v>145221386.11196351</v>
      </c>
      <c r="Q39" s="10">
        <v>146276829.12</v>
      </c>
      <c r="R39" s="10">
        <v>146752346.19378754</v>
      </c>
      <c r="S39" s="10">
        <v>147858762.73110256</v>
      </c>
      <c r="T39" s="10">
        <v>148912982.4798969</v>
      </c>
      <c r="U39" s="10">
        <v>149896324.66225678</v>
      </c>
      <c r="V39" s="10">
        <v>150789531.90868017</v>
      </c>
      <c r="W39" s="10">
        <v>151594171.79763663</v>
      </c>
      <c r="X39" s="10">
        <v>152327364.05171376</v>
      </c>
      <c r="Y39" s="10">
        <v>152996989.08144623</v>
      </c>
      <c r="Z39" s="10">
        <v>154362705.75488728</v>
      </c>
      <c r="AA39" s="10">
        <v>156416887.65030879</v>
      </c>
      <c r="AB39" s="10">
        <v>158395617.14858621</v>
      </c>
      <c r="AC39" s="10">
        <v>160313392.4818022</v>
      </c>
      <c r="AD39" s="10">
        <v>162198648.55537546</v>
      </c>
      <c r="AE39" s="10">
        <v>164061688.4272221</v>
      </c>
      <c r="AF39" s="10">
        <v>165869797.83722383</v>
      </c>
      <c r="AG39" s="10">
        <v>167602904.52330935</v>
      </c>
      <c r="AH39" s="10">
        <v>169269404.16169351</v>
      </c>
      <c r="AI39" s="10">
        <v>170875812.75187552</v>
      </c>
      <c r="AJ39" s="10">
        <v>172418805.69558275</v>
      </c>
      <c r="AK39" s="10">
        <v>173890925.02380535</v>
      </c>
      <c r="AL39" s="10">
        <v>175290963.43851677</v>
      </c>
      <c r="AM39" s="10">
        <v>176623750.1318233</v>
      </c>
      <c r="AN39" s="10">
        <v>177892723.71866924</v>
      </c>
      <c r="AO39" s="10">
        <v>179093610.17223665</v>
      </c>
      <c r="AP39" s="10">
        <v>180219162.50763696</v>
      </c>
      <c r="AQ39" s="10">
        <v>181267579.90080583</v>
      </c>
      <c r="AR39" s="10">
        <v>182242612.11498728</v>
      </c>
      <c r="AS39" s="10">
        <v>183147567.76480854</v>
      </c>
      <c r="AT39" s="10">
        <v>183979744.54859662</v>
      </c>
      <c r="AU39" s="10">
        <v>184733808.19104606</v>
      </c>
      <c r="AV39" s="10">
        <v>185408751.72248778</v>
      </c>
      <c r="AW39" s="10">
        <v>186008284.41426378</v>
      </c>
      <c r="AX39" s="10">
        <v>186421928.37396631</v>
      </c>
      <c r="AY39" s="10">
        <v>186686261.37008685</v>
      </c>
      <c r="AZ39" s="10">
        <v>186950969.17153978</v>
      </c>
      <c r="BA39" s="10">
        <v>187216052.30977243</v>
      </c>
      <c r="BB39" s="10">
        <v>187481511.31698549</v>
      </c>
      <c r="BC39" s="10">
        <v>187747346.72613439</v>
      </c>
      <c r="BD39" s="10">
        <v>188013559.07093027</v>
      </c>
      <c r="BE39" s="10">
        <v>188280148.88584089</v>
      </c>
      <c r="BF39" s="10">
        <v>188547116.70609203</v>
      </c>
      <c r="BG39" s="10">
        <v>188814463.06766829</v>
      </c>
    </row>
    <row r="40" spans="2:59" ht="12.75" x14ac:dyDescent="0.2">
      <c r="B40" s="101"/>
      <c r="C40" s="90" t="s">
        <v>162</v>
      </c>
      <c r="F40" s="92"/>
      <c r="G40" s="92"/>
      <c r="I40" s="99"/>
      <c r="J40" s="10">
        <f t="array" ref="J40:BG40">promedio_usuarios_fijos*recibos_ano</f>
        <v>182430726</v>
      </c>
      <c r="K40" s="10">
        <v>176391564</v>
      </c>
      <c r="L40" s="10">
        <v>168579720</v>
      </c>
      <c r="M40" s="10">
        <v>161242824</v>
      </c>
      <c r="N40" s="10">
        <v>154614972</v>
      </c>
      <c r="O40" s="10">
        <v>152050188</v>
      </c>
      <c r="P40" s="10">
        <v>145221386.11196351</v>
      </c>
      <c r="Q40" s="10">
        <v>146276829.12</v>
      </c>
      <c r="R40" s="10">
        <v>146752346.19378754</v>
      </c>
      <c r="S40" s="10">
        <v>147858762.73110256</v>
      </c>
      <c r="T40" s="10">
        <v>148912982.4798969</v>
      </c>
      <c r="U40" s="10">
        <v>149896324.66225678</v>
      </c>
      <c r="V40" s="10">
        <v>150789531.90868017</v>
      </c>
      <c r="W40" s="10">
        <v>151594171.79763663</v>
      </c>
      <c r="X40" s="10">
        <v>152327364.05171376</v>
      </c>
      <c r="Y40" s="10">
        <v>152996989.08144623</v>
      </c>
      <c r="Z40" s="10">
        <v>154362705.75488728</v>
      </c>
      <c r="AA40" s="10">
        <v>156416887.65030879</v>
      </c>
      <c r="AB40" s="10">
        <v>158395617.14858621</v>
      </c>
      <c r="AC40" s="10">
        <v>160313392.4818022</v>
      </c>
      <c r="AD40" s="10">
        <v>162198648.55537546</v>
      </c>
      <c r="AE40" s="10">
        <v>164061688.4272221</v>
      </c>
      <c r="AF40" s="10">
        <v>165869797.83722383</v>
      </c>
      <c r="AG40" s="10">
        <v>167602904.52330935</v>
      </c>
      <c r="AH40" s="10">
        <v>169269404.16169351</v>
      </c>
      <c r="AI40" s="10">
        <v>170875812.75187552</v>
      </c>
      <c r="AJ40" s="10">
        <v>172418805.69558275</v>
      </c>
      <c r="AK40" s="10">
        <v>173890925.02380535</v>
      </c>
      <c r="AL40" s="10">
        <v>175290963.43851677</v>
      </c>
      <c r="AM40" s="10">
        <v>176623750.1318233</v>
      </c>
      <c r="AN40" s="10">
        <v>177892723.71866924</v>
      </c>
      <c r="AO40" s="10">
        <v>179093610.17223665</v>
      </c>
      <c r="AP40" s="10">
        <v>180219162.50763696</v>
      </c>
      <c r="AQ40" s="10">
        <v>181267579.90080583</v>
      </c>
      <c r="AR40" s="10">
        <v>182242612.11498728</v>
      </c>
      <c r="AS40" s="10">
        <v>183147567.76480854</v>
      </c>
      <c r="AT40" s="10">
        <v>183979744.54859662</v>
      </c>
      <c r="AU40" s="10">
        <v>184733808.19104606</v>
      </c>
      <c r="AV40" s="10">
        <v>185408751.72248778</v>
      </c>
      <c r="AW40" s="10">
        <v>186008284.41426378</v>
      </c>
      <c r="AX40" s="10">
        <v>186421928.37396631</v>
      </c>
      <c r="AY40" s="10">
        <v>186686261.37008685</v>
      </c>
      <c r="AZ40" s="10">
        <v>186950969.17153978</v>
      </c>
      <c r="BA40" s="10">
        <v>187216052.30977243</v>
      </c>
      <c r="BB40" s="10">
        <v>187481511.31698549</v>
      </c>
      <c r="BC40" s="10">
        <v>187747346.72613439</v>
      </c>
      <c r="BD40" s="10">
        <v>188013559.07093027</v>
      </c>
      <c r="BE40" s="10">
        <v>188280148.88584089</v>
      </c>
      <c r="BF40" s="10">
        <v>188547116.70609203</v>
      </c>
      <c r="BG40" s="10">
        <v>188814463.06766829</v>
      </c>
    </row>
    <row r="41" spans="2:59" ht="12.75" x14ac:dyDescent="0.2">
      <c r="B41" s="101"/>
      <c r="C41" s="90" t="s">
        <v>231</v>
      </c>
      <c r="F41" s="92"/>
      <c r="G41" s="92"/>
      <c r="I41" s="99"/>
      <c r="J41" s="10">
        <f t="array" ref="J41:BG41">promedio_usuarios_fijos*recibos_ano</f>
        <v>182430726</v>
      </c>
      <c r="K41" s="10">
        <v>176391564</v>
      </c>
      <c r="L41" s="10">
        <v>168579720</v>
      </c>
      <c r="M41" s="10">
        <v>161242824</v>
      </c>
      <c r="N41" s="10">
        <v>154614972</v>
      </c>
      <c r="O41" s="10">
        <v>152050188</v>
      </c>
      <c r="P41" s="10">
        <v>145221386.11196351</v>
      </c>
      <c r="Q41" s="10">
        <v>146276829.12</v>
      </c>
      <c r="R41" s="10">
        <v>146752346.19378754</v>
      </c>
      <c r="S41" s="10">
        <v>147858762.73110256</v>
      </c>
      <c r="T41" s="10">
        <v>148912982.4798969</v>
      </c>
      <c r="U41" s="10">
        <v>149896324.66225678</v>
      </c>
      <c r="V41" s="10">
        <v>150789531.90868017</v>
      </c>
      <c r="W41" s="10">
        <v>151594171.79763663</v>
      </c>
      <c r="X41" s="10">
        <v>152327364.05171376</v>
      </c>
      <c r="Y41" s="10">
        <v>152996989.08144623</v>
      </c>
      <c r="Z41" s="10">
        <v>154362705.75488728</v>
      </c>
      <c r="AA41" s="10">
        <v>156416887.65030879</v>
      </c>
      <c r="AB41" s="10">
        <v>158395617.14858621</v>
      </c>
      <c r="AC41" s="10">
        <v>160313392.4818022</v>
      </c>
      <c r="AD41" s="10">
        <v>162198648.55537546</v>
      </c>
      <c r="AE41" s="10">
        <v>164061688.4272221</v>
      </c>
      <c r="AF41" s="10">
        <v>165869797.83722383</v>
      </c>
      <c r="AG41" s="10">
        <v>167602904.52330935</v>
      </c>
      <c r="AH41" s="10">
        <v>169269404.16169351</v>
      </c>
      <c r="AI41" s="10">
        <v>170875812.75187552</v>
      </c>
      <c r="AJ41" s="10">
        <v>172418805.69558275</v>
      </c>
      <c r="AK41" s="10">
        <v>173890925.02380535</v>
      </c>
      <c r="AL41" s="10">
        <v>175290963.43851677</v>
      </c>
      <c r="AM41" s="10">
        <v>176623750.1318233</v>
      </c>
      <c r="AN41" s="10">
        <v>177892723.71866924</v>
      </c>
      <c r="AO41" s="10">
        <v>179093610.17223665</v>
      </c>
      <c r="AP41" s="10">
        <v>180219162.50763696</v>
      </c>
      <c r="AQ41" s="10">
        <v>181267579.90080583</v>
      </c>
      <c r="AR41" s="10">
        <v>182242612.11498728</v>
      </c>
      <c r="AS41" s="10">
        <v>183147567.76480854</v>
      </c>
      <c r="AT41" s="10">
        <v>183979744.54859662</v>
      </c>
      <c r="AU41" s="10">
        <v>184733808.19104606</v>
      </c>
      <c r="AV41" s="10">
        <v>185408751.72248778</v>
      </c>
      <c r="AW41" s="10">
        <v>186008284.41426378</v>
      </c>
      <c r="AX41" s="10">
        <v>186421928.37396631</v>
      </c>
      <c r="AY41" s="10">
        <v>186686261.37008685</v>
      </c>
      <c r="AZ41" s="10">
        <v>186950969.17153978</v>
      </c>
      <c r="BA41" s="10">
        <v>187216052.30977243</v>
      </c>
      <c r="BB41" s="10">
        <v>187481511.31698549</v>
      </c>
      <c r="BC41" s="10">
        <v>187747346.72613439</v>
      </c>
      <c r="BD41" s="10">
        <v>188013559.07093027</v>
      </c>
      <c r="BE41" s="10">
        <v>188280148.88584089</v>
      </c>
      <c r="BF41" s="10">
        <v>188547116.70609203</v>
      </c>
      <c r="BG41" s="10">
        <v>188814463.06766829</v>
      </c>
    </row>
    <row r="42" spans="2:59" ht="12.75" x14ac:dyDescent="0.2">
      <c r="B42" s="101"/>
      <c r="C42" s="90" t="s">
        <v>311</v>
      </c>
      <c r="F42" s="92"/>
      <c r="G42" s="92"/>
      <c r="I42" s="99"/>
      <c r="J42" s="10">
        <f t="array" ref="J42:BG42">promedio_usuarios_fijos*recibos_ano</f>
        <v>182430726</v>
      </c>
      <c r="K42" s="10">
        <v>176391564</v>
      </c>
      <c r="L42" s="10">
        <v>168579720</v>
      </c>
      <c r="M42" s="10">
        <v>161242824</v>
      </c>
      <c r="N42" s="10">
        <v>154614972</v>
      </c>
      <c r="O42" s="10">
        <v>152050188</v>
      </c>
      <c r="P42" s="10">
        <v>145221386.11196351</v>
      </c>
      <c r="Q42" s="10">
        <v>146276829.12</v>
      </c>
      <c r="R42" s="10">
        <v>146752346.19378754</v>
      </c>
      <c r="S42" s="10">
        <v>147858762.73110256</v>
      </c>
      <c r="T42" s="10">
        <v>148912982.4798969</v>
      </c>
      <c r="U42" s="10">
        <v>149896324.66225678</v>
      </c>
      <c r="V42" s="10">
        <v>150789531.90868017</v>
      </c>
      <c r="W42" s="10">
        <v>151594171.79763663</v>
      </c>
      <c r="X42" s="10">
        <v>152327364.05171376</v>
      </c>
      <c r="Y42" s="10">
        <v>152996989.08144623</v>
      </c>
      <c r="Z42" s="10">
        <v>154362705.75488728</v>
      </c>
      <c r="AA42" s="10">
        <v>156416887.65030879</v>
      </c>
      <c r="AB42" s="10">
        <v>158395617.14858621</v>
      </c>
      <c r="AC42" s="10">
        <v>160313392.4818022</v>
      </c>
      <c r="AD42" s="10">
        <v>162198648.55537546</v>
      </c>
      <c r="AE42" s="10">
        <v>164061688.4272221</v>
      </c>
      <c r="AF42" s="10">
        <v>165869797.83722383</v>
      </c>
      <c r="AG42" s="10">
        <v>167602904.52330935</v>
      </c>
      <c r="AH42" s="10">
        <v>169269404.16169351</v>
      </c>
      <c r="AI42" s="10">
        <v>170875812.75187552</v>
      </c>
      <c r="AJ42" s="10">
        <v>172418805.69558275</v>
      </c>
      <c r="AK42" s="10">
        <v>173890925.02380535</v>
      </c>
      <c r="AL42" s="10">
        <v>175290963.43851677</v>
      </c>
      <c r="AM42" s="10">
        <v>176623750.1318233</v>
      </c>
      <c r="AN42" s="10">
        <v>177892723.71866924</v>
      </c>
      <c r="AO42" s="10">
        <v>179093610.17223665</v>
      </c>
      <c r="AP42" s="10">
        <v>180219162.50763696</v>
      </c>
      <c r="AQ42" s="10">
        <v>181267579.90080583</v>
      </c>
      <c r="AR42" s="10">
        <v>182242612.11498728</v>
      </c>
      <c r="AS42" s="10">
        <v>183147567.76480854</v>
      </c>
      <c r="AT42" s="10">
        <v>183979744.54859662</v>
      </c>
      <c r="AU42" s="10">
        <v>184733808.19104606</v>
      </c>
      <c r="AV42" s="10">
        <v>185408751.72248778</v>
      </c>
      <c r="AW42" s="10">
        <v>186008284.41426378</v>
      </c>
      <c r="AX42" s="10">
        <v>186421928.37396631</v>
      </c>
      <c r="AY42" s="10">
        <v>186686261.37008685</v>
      </c>
      <c r="AZ42" s="10">
        <v>186950969.17153978</v>
      </c>
      <c r="BA42" s="10">
        <v>187216052.30977243</v>
      </c>
      <c r="BB42" s="10">
        <v>187481511.31698549</v>
      </c>
      <c r="BC42" s="10">
        <v>187747346.72613439</v>
      </c>
      <c r="BD42" s="10">
        <v>188013559.07093027</v>
      </c>
      <c r="BE42" s="10">
        <v>188280148.88584089</v>
      </c>
      <c r="BF42" s="10">
        <v>188547116.70609203</v>
      </c>
      <c r="BG42" s="10">
        <v>188814463.06766829</v>
      </c>
    </row>
    <row r="43" spans="2:59" ht="12.75" x14ac:dyDescent="0.2">
      <c r="B43" s="101"/>
      <c r="C43" s="179" t="s">
        <v>255</v>
      </c>
      <c r="F43" s="92"/>
      <c r="G43" s="92"/>
      <c r="I43" s="99"/>
      <c r="J43" s="187">
        <f>'Datos de entrada'!J$8*recibos_ano</f>
        <v>182430726</v>
      </c>
      <c r="K43" s="187">
        <f>'Datos de entrada'!K$8*recibos_ano</f>
        <v>176391564</v>
      </c>
      <c r="L43" s="187">
        <f>'Datos de entrada'!L$8*recibos_ano</f>
        <v>168579720</v>
      </c>
      <c r="M43" s="187">
        <f>'Datos de entrada'!M$8*recibos_ano</f>
        <v>161242824</v>
      </c>
      <c r="N43" s="187">
        <f>'Datos de entrada'!N$8*recibos_ano</f>
        <v>154614972</v>
      </c>
      <c r="O43" s="187">
        <f>'Datos de entrada'!O$8*recibos_ano</f>
        <v>152050188</v>
      </c>
      <c r="P43" s="187">
        <f>'Datos de entrada'!P$8*recibos_ano</f>
        <v>145221386.11196351</v>
      </c>
      <c r="Q43" s="187">
        <f>'Datos de entrada'!Q$8*recibos_ano</f>
        <v>146276829.12</v>
      </c>
      <c r="R43" s="187">
        <f>'Datos de entrada'!R$8*recibos_ano</f>
        <v>146752346.19378754</v>
      </c>
      <c r="S43" s="187">
        <f>'Datos de entrada'!S$8*recibos_ano</f>
        <v>147858762.73110256</v>
      </c>
      <c r="T43" s="187">
        <f>'Datos de entrada'!T$8*recibos_ano</f>
        <v>148912982.4798969</v>
      </c>
      <c r="U43" s="187">
        <f>'Datos de entrada'!U$8*recibos_ano</f>
        <v>149896324.66225678</v>
      </c>
      <c r="V43" s="187">
        <f>'Datos de entrada'!V$8*recibos_ano</f>
        <v>150789531.90868017</v>
      </c>
      <c r="W43" s="187">
        <f>'Datos de entrada'!W$8*recibos_ano</f>
        <v>151594171.79763663</v>
      </c>
      <c r="X43" s="187">
        <f>'Datos de entrada'!X$8*recibos_ano</f>
        <v>152327364.05171376</v>
      </c>
      <c r="Y43" s="187">
        <f>'Datos de entrada'!Y$8*recibos_ano</f>
        <v>152996989.08144623</v>
      </c>
      <c r="Z43" s="187">
        <f>'Datos de entrada'!Z$8*recibos_ano</f>
        <v>154362705.75488728</v>
      </c>
      <c r="AA43" s="187">
        <f>'Datos de entrada'!AA$8*recibos_ano</f>
        <v>156416887.65030879</v>
      </c>
      <c r="AB43" s="187">
        <f>'Datos de entrada'!AB$8*recibos_ano</f>
        <v>158395617.14858621</v>
      </c>
      <c r="AC43" s="187">
        <f>'Datos de entrada'!AC$8*recibos_ano</f>
        <v>160313392.4818022</v>
      </c>
      <c r="AD43" s="187">
        <f>'Datos de entrada'!AD$8*recibos_ano</f>
        <v>162198648.55537546</v>
      </c>
      <c r="AE43" s="187">
        <f>'Datos de entrada'!AE$8*recibos_ano</f>
        <v>164061688.4272221</v>
      </c>
      <c r="AF43" s="187">
        <f>'Datos de entrada'!AF$8*recibos_ano</f>
        <v>165869797.83722383</v>
      </c>
      <c r="AG43" s="187">
        <f>'Datos de entrada'!AG$8*recibos_ano</f>
        <v>167602904.52330935</v>
      </c>
      <c r="AH43" s="187">
        <f>'Datos de entrada'!AH$8*recibos_ano</f>
        <v>169269404.16169351</v>
      </c>
      <c r="AI43" s="187">
        <f>'Datos de entrada'!AI$8*recibos_ano</f>
        <v>170875812.75187552</v>
      </c>
      <c r="AJ43" s="187">
        <f>'Datos de entrada'!AJ$8*recibos_ano</f>
        <v>172418805.69558275</v>
      </c>
      <c r="AK43" s="187">
        <f>'Datos de entrada'!AK$8*recibos_ano</f>
        <v>173890925.02380535</v>
      </c>
      <c r="AL43" s="187">
        <f>'Datos de entrada'!AL$8*recibos_ano</f>
        <v>175290963.43851677</v>
      </c>
      <c r="AM43" s="187">
        <f>'Datos de entrada'!AM$8*recibos_ano</f>
        <v>176623750.1318233</v>
      </c>
      <c r="AN43" s="187">
        <f>'Datos de entrada'!AN$8*recibos_ano</f>
        <v>177892723.71866924</v>
      </c>
      <c r="AO43" s="187">
        <f>'Datos de entrada'!AO$8*recibos_ano</f>
        <v>179093610.17223665</v>
      </c>
      <c r="AP43" s="187">
        <f>'Datos de entrada'!AP$8*recibos_ano</f>
        <v>180219162.50763696</v>
      </c>
      <c r="AQ43" s="187">
        <f>'Datos de entrada'!AQ$8*recibos_ano</f>
        <v>181267579.90080583</v>
      </c>
      <c r="AR43" s="187">
        <f>'Datos de entrada'!AR$8*recibos_ano</f>
        <v>182242612.11498728</v>
      </c>
      <c r="AS43" s="187">
        <f>'Datos de entrada'!AS$8*recibos_ano</f>
        <v>183147567.76480854</v>
      </c>
      <c r="AT43" s="187">
        <f>'Datos de entrada'!AT$8*recibos_ano</f>
        <v>183979744.54859662</v>
      </c>
      <c r="AU43" s="187">
        <f>'Datos de entrada'!AU$8*recibos_ano</f>
        <v>184733808.19104606</v>
      </c>
      <c r="AV43" s="187">
        <f>'Datos de entrada'!AV$8*recibos_ano</f>
        <v>185408751.72248778</v>
      </c>
      <c r="AW43" s="187">
        <f>'Datos de entrada'!AW$8*recibos_ano</f>
        <v>186008284.41426378</v>
      </c>
      <c r="AX43" s="187">
        <f>'Datos de entrada'!AX$8*recibos_ano</f>
        <v>186421928.37396631</v>
      </c>
      <c r="AY43" s="187">
        <f>'Datos de entrada'!AY$8*recibos_ano</f>
        <v>186686261.37008685</v>
      </c>
      <c r="AZ43" s="187">
        <f>'Datos de entrada'!AZ$8*recibos_ano</f>
        <v>186950969.17153978</v>
      </c>
      <c r="BA43" s="187">
        <f>'Datos de entrada'!BA$8*recibos_ano</f>
        <v>187216052.30977243</v>
      </c>
      <c r="BB43" s="187">
        <f>'Datos de entrada'!BB$8*recibos_ano</f>
        <v>187481511.31698549</v>
      </c>
      <c r="BC43" s="187">
        <f>'Datos de entrada'!BC$8*recibos_ano</f>
        <v>187747346.72613439</v>
      </c>
      <c r="BD43" s="187">
        <f>'Datos de entrada'!BD$8*recibos_ano</f>
        <v>188013559.07093027</v>
      </c>
      <c r="BE43" s="187">
        <f>'Datos de entrada'!BE$8*recibos_ano</f>
        <v>188280148.88584089</v>
      </c>
      <c r="BF43" s="187">
        <f>'Datos de entrada'!BF$8*recibos_ano</f>
        <v>188547116.70609203</v>
      </c>
      <c r="BG43" s="187">
        <f>'Datos de entrada'!BG$8*recibos_ano</f>
        <v>188814463.06766829</v>
      </c>
    </row>
    <row r="44" spans="2:59" ht="12.75" x14ac:dyDescent="0.2">
      <c r="B44" s="101"/>
      <c r="C44" s="179" t="s">
        <v>256</v>
      </c>
      <c r="F44" s="92"/>
      <c r="G44" s="92"/>
      <c r="I44" s="99"/>
      <c r="J44" s="187">
        <f>'Datos de entrada'!J$8*recibos_ano</f>
        <v>182430726</v>
      </c>
      <c r="K44" s="187">
        <f>'Datos de entrada'!K$8*recibos_ano</f>
        <v>176391564</v>
      </c>
      <c r="L44" s="187">
        <f>'Datos de entrada'!L$8*recibos_ano</f>
        <v>168579720</v>
      </c>
      <c r="M44" s="187">
        <f>'Datos de entrada'!M$8*recibos_ano</f>
        <v>161242824</v>
      </c>
      <c r="N44" s="187">
        <f>'Datos de entrada'!N$8*recibos_ano</f>
        <v>154614972</v>
      </c>
      <c r="O44" s="187">
        <f>'Datos de entrada'!O$8*recibos_ano</f>
        <v>152050188</v>
      </c>
      <c r="P44" s="187">
        <f>'Datos de entrada'!P$8*recibos_ano</f>
        <v>145221386.11196351</v>
      </c>
      <c r="Q44" s="187">
        <f>'Datos de entrada'!Q$8*recibos_ano</f>
        <v>146276829.12</v>
      </c>
      <c r="R44" s="187">
        <f>'Datos de entrada'!R$8*recibos_ano</f>
        <v>146752346.19378754</v>
      </c>
      <c r="S44" s="187">
        <f>'Datos de entrada'!S$8*recibos_ano</f>
        <v>147858762.73110256</v>
      </c>
      <c r="T44" s="187">
        <f>'Datos de entrada'!T$8*recibos_ano</f>
        <v>148912982.4798969</v>
      </c>
      <c r="U44" s="187">
        <f>'Datos de entrada'!U$8*recibos_ano</f>
        <v>149896324.66225678</v>
      </c>
      <c r="V44" s="187">
        <f>'Datos de entrada'!V$8*recibos_ano</f>
        <v>150789531.90868017</v>
      </c>
      <c r="W44" s="187">
        <f>'Datos de entrada'!W$8*recibos_ano</f>
        <v>151594171.79763663</v>
      </c>
      <c r="X44" s="187">
        <f>'Datos de entrada'!X$8*recibos_ano</f>
        <v>152327364.05171376</v>
      </c>
      <c r="Y44" s="187">
        <f>'Datos de entrada'!Y$8*recibos_ano</f>
        <v>152996989.08144623</v>
      </c>
      <c r="Z44" s="187">
        <f>'Datos de entrada'!Z$8*recibos_ano</f>
        <v>154362705.75488728</v>
      </c>
      <c r="AA44" s="187">
        <f>'Datos de entrada'!AA$8*recibos_ano</f>
        <v>156416887.65030879</v>
      </c>
      <c r="AB44" s="187">
        <f>'Datos de entrada'!AB$8*recibos_ano</f>
        <v>158395617.14858621</v>
      </c>
      <c r="AC44" s="187">
        <f>'Datos de entrada'!AC$8*recibos_ano</f>
        <v>160313392.4818022</v>
      </c>
      <c r="AD44" s="187">
        <f>'Datos de entrada'!AD$8*recibos_ano</f>
        <v>162198648.55537546</v>
      </c>
      <c r="AE44" s="187">
        <f>'Datos de entrada'!AE$8*recibos_ano</f>
        <v>164061688.4272221</v>
      </c>
      <c r="AF44" s="187">
        <f>'Datos de entrada'!AF$8*recibos_ano</f>
        <v>165869797.83722383</v>
      </c>
      <c r="AG44" s="187">
        <f>'Datos de entrada'!AG$8*recibos_ano</f>
        <v>167602904.52330935</v>
      </c>
      <c r="AH44" s="187">
        <f>'Datos de entrada'!AH$8*recibos_ano</f>
        <v>169269404.16169351</v>
      </c>
      <c r="AI44" s="187">
        <f>'Datos de entrada'!AI$8*recibos_ano</f>
        <v>170875812.75187552</v>
      </c>
      <c r="AJ44" s="187">
        <f>'Datos de entrada'!AJ$8*recibos_ano</f>
        <v>172418805.69558275</v>
      </c>
      <c r="AK44" s="187">
        <f>'Datos de entrada'!AK$8*recibos_ano</f>
        <v>173890925.02380535</v>
      </c>
      <c r="AL44" s="187">
        <f>'Datos de entrada'!AL$8*recibos_ano</f>
        <v>175290963.43851677</v>
      </c>
      <c r="AM44" s="187">
        <f>'Datos de entrada'!AM$8*recibos_ano</f>
        <v>176623750.1318233</v>
      </c>
      <c r="AN44" s="187">
        <f>'Datos de entrada'!AN$8*recibos_ano</f>
        <v>177892723.71866924</v>
      </c>
      <c r="AO44" s="187">
        <f>'Datos de entrada'!AO$8*recibos_ano</f>
        <v>179093610.17223665</v>
      </c>
      <c r="AP44" s="187">
        <f>'Datos de entrada'!AP$8*recibos_ano</f>
        <v>180219162.50763696</v>
      </c>
      <c r="AQ44" s="187">
        <f>'Datos de entrada'!AQ$8*recibos_ano</f>
        <v>181267579.90080583</v>
      </c>
      <c r="AR44" s="187">
        <f>'Datos de entrada'!AR$8*recibos_ano</f>
        <v>182242612.11498728</v>
      </c>
      <c r="AS44" s="187">
        <f>'Datos de entrada'!AS$8*recibos_ano</f>
        <v>183147567.76480854</v>
      </c>
      <c r="AT44" s="187">
        <f>'Datos de entrada'!AT$8*recibos_ano</f>
        <v>183979744.54859662</v>
      </c>
      <c r="AU44" s="187">
        <f>'Datos de entrada'!AU$8*recibos_ano</f>
        <v>184733808.19104606</v>
      </c>
      <c r="AV44" s="187">
        <f>'Datos de entrada'!AV$8*recibos_ano</f>
        <v>185408751.72248778</v>
      </c>
      <c r="AW44" s="187">
        <f>'Datos de entrada'!AW$8*recibos_ano</f>
        <v>186008284.41426378</v>
      </c>
      <c r="AX44" s="187">
        <f>'Datos de entrada'!AX$8*recibos_ano</f>
        <v>186421928.37396631</v>
      </c>
      <c r="AY44" s="187">
        <f>'Datos de entrada'!AY$8*recibos_ano</f>
        <v>186686261.37008685</v>
      </c>
      <c r="AZ44" s="187">
        <f>'Datos de entrada'!AZ$8*recibos_ano</f>
        <v>186950969.17153978</v>
      </c>
      <c r="BA44" s="187">
        <f>'Datos de entrada'!BA$8*recibos_ano</f>
        <v>187216052.30977243</v>
      </c>
      <c r="BB44" s="187">
        <f>'Datos de entrada'!BB$8*recibos_ano</f>
        <v>187481511.31698549</v>
      </c>
      <c r="BC44" s="187">
        <f>'Datos de entrada'!BC$8*recibos_ano</f>
        <v>187747346.72613439</v>
      </c>
      <c r="BD44" s="187">
        <f>'Datos de entrada'!BD$8*recibos_ano</f>
        <v>188013559.07093027</v>
      </c>
      <c r="BE44" s="187">
        <f>'Datos de entrada'!BE$8*recibos_ano</f>
        <v>188280148.88584089</v>
      </c>
      <c r="BF44" s="187">
        <f>'Datos de entrada'!BF$8*recibos_ano</f>
        <v>188547116.70609203</v>
      </c>
      <c r="BG44" s="187">
        <f>'Datos de entrada'!BG$8*recibos_ano</f>
        <v>188814463.06766829</v>
      </c>
    </row>
    <row r="45" spans="2:59" ht="12.75" x14ac:dyDescent="0.2">
      <c r="B45" s="101" t="s">
        <v>170</v>
      </c>
      <c r="F45" s="92"/>
      <c r="G45" s="92"/>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row>
    <row r="46" spans="2:59" ht="12.75" x14ac:dyDescent="0.2">
      <c r="B46" s="101"/>
      <c r="C46" s="90" t="s">
        <v>144</v>
      </c>
      <c r="F46" s="92"/>
      <c r="G46" s="92"/>
      <c r="I46" s="99"/>
      <c r="J46" s="10">
        <f t="shared" ref="J46:Q46" si="73">J39*J$16</f>
        <v>186153802.04081634</v>
      </c>
      <c r="K46" s="10">
        <f t="shared" si="73"/>
        <v>179991391.83673471</v>
      </c>
      <c r="L46" s="10">
        <f t="shared" si="73"/>
        <v>172020122.44897959</v>
      </c>
      <c r="M46" s="10">
        <f t="shared" si="73"/>
        <v>164533493.87755102</v>
      </c>
      <c r="N46" s="10">
        <f t="shared" si="73"/>
        <v>157770379.59183675</v>
      </c>
      <c r="O46" s="10">
        <f t="shared" si="73"/>
        <v>152050188</v>
      </c>
      <c r="P46" s="10">
        <f t="shared" si="73"/>
        <v>142316958.38972422</v>
      </c>
      <c r="Q46" s="10">
        <f t="shared" si="73"/>
        <v>140484266.68684798</v>
      </c>
      <c r="R46" s="10">
        <f t="shared" ref="R46:BG51" si="74">R39*R$16</f>
        <v>138122134.21882328</v>
      </c>
      <c r="S46" s="10">
        <f t="shared" si="74"/>
        <v>136380214.92016363</v>
      </c>
      <c r="T46" s="10">
        <f t="shared" si="74"/>
        <v>134605541.77709281</v>
      </c>
      <c r="U46" s="10">
        <f t="shared" si="74"/>
        <v>132784517.12157664</v>
      </c>
      <c r="V46" s="10">
        <f t="shared" si="74"/>
        <v>130904242.79624625</v>
      </c>
      <c r="W46" s="10">
        <f t="shared" si="74"/>
        <v>128970715.80433978</v>
      </c>
      <c r="X46" s="10">
        <f t="shared" si="74"/>
        <v>127002598.88930096</v>
      </c>
      <c r="Y46" s="10">
        <f t="shared" si="74"/>
        <v>125009679.31412061</v>
      </c>
      <c r="Z46" s="10">
        <f t="shared" si="74"/>
        <v>123603057.88450415</v>
      </c>
      <c r="AA46" s="10">
        <f t="shared" si="74"/>
        <v>122742947.61374459</v>
      </c>
      <c r="AB46" s="10">
        <f t="shared" si="74"/>
        <v>121809775.94793443</v>
      </c>
      <c r="AC46" s="10">
        <f t="shared" si="74"/>
        <v>120818896.35441332</v>
      </c>
      <c r="AD46" s="10">
        <f t="shared" si="74"/>
        <v>119794910.31384085</v>
      </c>
      <c r="AE46" s="10">
        <f t="shared" si="74"/>
        <v>118747476.12017956</v>
      </c>
      <c r="AF46" s="10">
        <f t="shared" si="74"/>
        <v>117655057.95792624</v>
      </c>
      <c r="AG46" s="10">
        <f t="shared" si="74"/>
        <v>116506700.48841031</v>
      </c>
      <c r="AH46" s="10">
        <f t="shared" si="74"/>
        <v>115311840.40059339</v>
      </c>
      <c r="AI46" s="10">
        <f t="shared" si="74"/>
        <v>114078054.77328289</v>
      </c>
      <c r="AJ46" s="10">
        <f t="shared" si="74"/>
        <v>112806005.7796064</v>
      </c>
      <c r="AK46" s="10">
        <f t="shared" si="74"/>
        <v>111493765.43839416</v>
      </c>
      <c r="AL46" s="10">
        <f t="shared" si="74"/>
        <v>110143600.46241874</v>
      </c>
      <c r="AM46" s="10">
        <f t="shared" si="74"/>
        <v>108761432.29166949</v>
      </c>
      <c r="AN46" s="10">
        <f t="shared" si="74"/>
        <v>107351984.44851863</v>
      </c>
      <c r="AO46" s="10">
        <f t="shared" si="74"/>
        <v>105915143.52636151</v>
      </c>
      <c r="AP46" s="10">
        <f t="shared" si="74"/>
        <v>104449174.23878564</v>
      </c>
      <c r="AQ46" s="10">
        <f t="shared" si="74"/>
        <v>102955666.85578151</v>
      </c>
      <c r="AR46" s="10">
        <f t="shared" si="74"/>
        <v>101439272.68573602</v>
      </c>
      <c r="AS46" s="10">
        <f t="shared" si="74"/>
        <v>99904126.348735332</v>
      </c>
      <c r="AT46" s="10">
        <f t="shared" si="74"/>
        <v>98350904.420540914</v>
      </c>
      <c r="AU46" s="10">
        <f t="shared" si="74"/>
        <v>96778927.561148867</v>
      </c>
      <c r="AV46" s="10">
        <f t="shared" si="74"/>
        <v>95189868.715990305</v>
      </c>
      <c r="AW46" s="10">
        <f t="shared" si="74"/>
        <v>93587718.642227218</v>
      </c>
      <c r="AX46" s="10">
        <f t="shared" si="74"/>
        <v>91919921.607883945</v>
      </c>
      <c r="AY46" s="10">
        <f t="shared" si="74"/>
        <v>90209252.349669665</v>
      </c>
      <c r="AZ46" s="10">
        <f t="shared" si="74"/>
        <v>88530419.381780788</v>
      </c>
      <c r="BA46" s="10">
        <f t="shared" si="74"/>
        <v>86882830.21716775</v>
      </c>
      <c r="BB46" s="10">
        <f t="shared" si="74"/>
        <v>85265903.395219564</v>
      </c>
      <c r="BC46" s="10">
        <f t="shared" si="74"/>
        <v>83679068.276557311</v>
      </c>
      <c r="BD46" s="10">
        <f t="shared" si="74"/>
        <v>82121764.841646165</v>
      </c>
      <c r="BE46" s="10">
        <f t="shared" si="74"/>
        <v>80593443.493155599</v>
      </c>
      <c r="BF46" s="10">
        <f t="shared" si="74"/>
        <v>79093564.861997709</v>
      </c>
      <c r="BG46" s="10">
        <f t="shared" si="74"/>
        <v>77621599.616975218</v>
      </c>
    </row>
    <row r="47" spans="2:59" ht="12.75" x14ac:dyDescent="0.2">
      <c r="B47" s="101"/>
      <c r="C47" s="90" t="s">
        <v>162</v>
      </c>
      <c r="F47" s="92"/>
      <c r="G47" s="92"/>
      <c r="I47" s="99"/>
      <c r="J47" s="10">
        <f t="shared" ref="J47:Q47" si="75">J40*J$16</f>
        <v>186153802.04081634</v>
      </c>
      <c r="K47" s="10">
        <f t="shared" si="75"/>
        <v>179991391.83673471</v>
      </c>
      <c r="L47" s="10">
        <f t="shared" si="75"/>
        <v>172020122.44897959</v>
      </c>
      <c r="M47" s="10">
        <f t="shared" si="75"/>
        <v>164533493.87755102</v>
      </c>
      <c r="N47" s="10">
        <f t="shared" si="75"/>
        <v>157770379.59183675</v>
      </c>
      <c r="O47" s="10">
        <f t="shared" si="75"/>
        <v>152050188</v>
      </c>
      <c r="P47" s="10">
        <f t="shared" si="75"/>
        <v>142316958.38972422</v>
      </c>
      <c r="Q47" s="10">
        <f t="shared" si="75"/>
        <v>140484266.68684798</v>
      </c>
      <c r="R47" s="10">
        <f t="shared" ref="R47:AB47" si="76">R40*R$16</f>
        <v>138122134.21882328</v>
      </c>
      <c r="S47" s="10">
        <f t="shared" si="76"/>
        <v>136380214.92016363</v>
      </c>
      <c r="T47" s="10">
        <f t="shared" si="76"/>
        <v>134605541.77709281</v>
      </c>
      <c r="U47" s="10">
        <f t="shared" si="76"/>
        <v>132784517.12157664</v>
      </c>
      <c r="V47" s="10">
        <f t="shared" si="76"/>
        <v>130904242.79624625</v>
      </c>
      <c r="W47" s="10">
        <f t="shared" si="76"/>
        <v>128970715.80433978</v>
      </c>
      <c r="X47" s="10">
        <f t="shared" si="76"/>
        <v>127002598.88930096</v>
      </c>
      <c r="Y47" s="10">
        <f t="shared" si="76"/>
        <v>125009679.31412061</v>
      </c>
      <c r="Z47" s="10">
        <f t="shared" si="76"/>
        <v>123603057.88450415</v>
      </c>
      <c r="AA47" s="10">
        <f t="shared" si="76"/>
        <v>122742947.61374459</v>
      </c>
      <c r="AB47" s="10">
        <f t="shared" si="76"/>
        <v>121809775.94793443</v>
      </c>
      <c r="AC47" s="10">
        <f t="shared" si="74"/>
        <v>120818896.35441332</v>
      </c>
      <c r="AD47" s="10">
        <f t="shared" si="74"/>
        <v>119794910.31384085</v>
      </c>
      <c r="AE47" s="10">
        <f t="shared" si="74"/>
        <v>118747476.12017956</v>
      </c>
      <c r="AF47" s="10">
        <f t="shared" si="74"/>
        <v>117655057.95792624</v>
      </c>
      <c r="AG47" s="10">
        <f t="shared" si="74"/>
        <v>116506700.48841031</v>
      </c>
      <c r="AH47" s="10">
        <f t="shared" si="74"/>
        <v>115311840.40059339</v>
      </c>
      <c r="AI47" s="10">
        <f t="shared" si="74"/>
        <v>114078054.77328289</v>
      </c>
      <c r="AJ47" s="10">
        <f t="shared" si="74"/>
        <v>112806005.7796064</v>
      </c>
      <c r="AK47" s="10">
        <f t="shared" si="74"/>
        <v>111493765.43839416</v>
      </c>
      <c r="AL47" s="10">
        <f t="shared" si="74"/>
        <v>110143600.46241874</v>
      </c>
      <c r="AM47" s="10">
        <f t="shared" si="74"/>
        <v>108761432.29166949</v>
      </c>
      <c r="AN47" s="10">
        <f t="shared" si="74"/>
        <v>107351984.44851863</v>
      </c>
      <c r="AO47" s="10">
        <f t="shared" si="74"/>
        <v>105915143.52636151</v>
      </c>
      <c r="AP47" s="10">
        <f t="shared" si="74"/>
        <v>104449174.23878564</v>
      </c>
      <c r="AQ47" s="10">
        <f t="shared" si="74"/>
        <v>102955666.85578151</v>
      </c>
      <c r="AR47" s="10">
        <f t="shared" si="74"/>
        <v>101439272.68573602</v>
      </c>
      <c r="AS47" s="10">
        <f t="shared" si="74"/>
        <v>99904126.348735332</v>
      </c>
      <c r="AT47" s="10">
        <f t="shared" si="74"/>
        <v>98350904.420540914</v>
      </c>
      <c r="AU47" s="10">
        <f t="shared" si="74"/>
        <v>96778927.561148867</v>
      </c>
      <c r="AV47" s="10">
        <f t="shared" si="74"/>
        <v>95189868.715990305</v>
      </c>
      <c r="AW47" s="10">
        <f t="shared" si="74"/>
        <v>93587718.642227218</v>
      </c>
      <c r="AX47" s="10">
        <f t="shared" si="74"/>
        <v>91919921.607883945</v>
      </c>
      <c r="AY47" s="10">
        <f t="shared" si="74"/>
        <v>90209252.349669665</v>
      </c>
      <c r="AZ47" s="10">
        <f t="shared" si="74"/>
        <v>88530419.381780788</v>
      </c>
      <c r="BA47" s="10">
        <f t="shared" si="74"/>
        <v>86882830.21716775</v>
      </c>
      <c r="BB47" s="10">
        <f t="shared" si="74"/>
        <v>85265903.395219564</v>
      </c>
      <c r="BC47" s="10">
        <f t="shared" si="74"/>
        <v>83679068.276557311</v>
      </c>
      <c r="BD47" s="10">
        <f t="shared" si="74"/>
        <v>82121764.841646165</v>
      </c>
      <c r="BE47" s="10">
        <f t="shared" si="74"/>
        <v>80593443.493155599</v>
      </c>
      <c r="BF47" s="10">
        <f t="shared" si="74"/>
        <v>79093564.861997709</v>
      </c>
      <c r="BG47" s="10">
        <f t="shared" si="74"/>
        <v>77621599.616975218</v>
      </c>
    </row>
    <row r="48" spans="2:59" ht="12.75" x14ac:dyDescent="0.2">
      <c r="B48" s="101"/>
      <c r="C48" s="90" t="s">
        <v>231</v>
      </c>
      <c r="F48" s="92"/>
      <c r="G48" s="92"/>
      <c r="I48" s="99"/>
      <c r="J48" s="10">
        <f t="shared" ref="J48:Q48" si="77">J41*J$16</f>
        <v>186153802.04081634</v>
      </c>
      <c r="K48" s="10">
        <f t="shared" si="77"/>
        <v>179991391.83673471</v>
      </c>
      <c r="L48" s="10">
        <f t="shared" si="77"/>
        <v>172020122.44897959</v>
      </c>
      <c r="M48" s="10">
        <f t="shared" si="77"/>
        <v>164533493.87755102</v>
      </c>
      <c r="N48" s="10">
        <f t="shared" si="77"/>
        <v>157770379.59183675</v>
      </c>
      <c r="O48" s="10">
        <f t="shared" si="77"/>
        <v>152050188</v>
      </c>
      <c r="P48" s="10">
        <f t="shared" si="77"/>
        <v>142316958.38972422</v>
      </c>
      <c r="Q48" s="10">
        <f t="shared" si="77"/>
        <v>140484266.68684798</v>
      </c>
      <c r="R48" s="10">
        <f t="shared" si="74"/>
        <v>138122134.21882328</v>
      </c>
      <c r="S48" s="10">
        <f t="shared" si="74"/>
        <v>136380214.92016363</v>
      </c>
      <c r="T48" s="10">
        <f t="shared" si="74"/>
        <v>134605541.77709281</v>
      </c>
      <c r="U48" s="10">
        <f t="shared" si="74"/>
        <v>132784517.12157664</v>
      </c>
      <c r="V48" s="10">
        <f t="shared" si="74"/>
        <v>130904242.79624625</v>
      </c>
      <c r="W48" s="10">
        <f t="shared" si="74"/>
        <v>128970715.80433978</v>
      </c>
      <c r="X48" s="10">
        <f t="shared" si="74"/>
        <v>127002598.88930096</v>
      </c>
      <c r="Y48" s="10">
        <f t="shared" si="74"/>
        <v>125009679.31412061</v>
      </c>
      <c r="Z48" s="10">
        <f t="shared" si="74"/>
        <v>123603057.88450415</v>
      </c>
      <c r="AA48" s="10">
        <f t="shared" si="74"/>
        <v>122742947.61374459</v>
      </c>
      <c r="AB48" s="10">
        <f t="shared" si="74"/>
        <v>121809775.94793443</v>
      </c>
      <c r="AC48" s="10">
        <f t="shared" si="74"/>
        <v>120818896.35441332</v>
      </c>
      <c r="AD48" s="10">
        <f t="shared" si="74"/>
        <v>119794910.31384085</v>
      </c>
      <c r="AE48" s="10">
        <f t="shared" si="74"/>
        <v>118747476.12017956</v>
      </c>
      <c r="AF48" s="10">
        <f t="shared" si="74"/>
        <v>117655057.95792624</v>
      </c>
      <c r="AG48" s="10">
        <f t="shared" si="74"/>
        <v>116506700.48841031</v>
      </c>
      <c r="AH48" s="10">
        <f t="shared" si="74"/>
        <v>115311840.40059339</v>
      </c>
      <c r="AI48" s="10">
        <f t="shared" si="74"/>
        <v>114078054.77328289</v>
      </c>
      <c r="AJ48" s="10">
        <f t="shared" si="74"/>
        <v>112806005.7796064</v>
      </c>
      <c r="AK48" s="10">
        <f t="shared" si="74"/>
        <v>111493765.43839416</v>
      </c>
      <c r="AL48" s="10">
        <f t="shared" si="74"/>
        <v>110143600.46241874</v>
      </c>
      <c r="AM48" s="10">
        <f t="shared" si="74"/>
        <v>108761432.29166949</v>
      </c>
      <c r="AN48" s="10">
        <f t="shared" si="74"/>
        <v>107351984.44851863</v>
      </c>
      <c r="AO48" s="10">
        <f t="shared" si="74"/>
        <v>105915143.52636151</v>
      </c>
      <c r="AP48" s="10">
        <f t="shared" si="74"/>
        <v>104449174.23878564</v>
      </c>
      <c r="AQ48" s="10">
        <f t="shared" si="74"/>
        <v>102955666.85578151</v>
      </c>
      <c r="AR48" s="10">
        <f t="shared" si="74"/>
        <v>101439272.68573602</v>
      </c>
      <c r="AS48" s="10">
        <f t="shared" si="74"/>
        <v>99904126.348735332</v>
      </c>
      <c r="AT48" s="10">
        <f t="shared" si="74"/>
        <v>98350904.420540914</v>
      </c>
      <c r="AU48" s="10">
        <f t="shared" si="74"/>
        <v>96778927.561148867</v>
      </c>
      <c r="AV48" s="10">
        <f t="shared" si="74"/>
        <v>95189868.715990305</v>
      </c>
      <c r="AW48" s="10">
        <f t="shared" si="74"/>
        <v>93587718.642227218</v>
      </c>
      <c r="AX48" s="10">
        <f t="shared" si="74"/>
        <v>91919921.607883945</v>
      </c>
      <c r="AY48" s="10">
        <f t="shared" si="74"/>
        <v>90209252.349669665</v>
      </c>
      <c r="AZ48" s="10">
        <f t="shared" si="74"/>
        <v>88530419.381780788</v>
      </c>
      <c r="BA48" s="10">
        <f t="shared" si="74"/>
        <v>86882830.21716775</v>
      </c>
      <c r="BB48" s="10">
        <f t="shared" si="74"/>
        <v>85265903.395219564</v>
      </c>
      <c r="BC48" s="10">
        <f t="shared" si="74"/>
        <v>83679068.276557311</v>
      </c>
      <c r="BD48" s="10">
        <f t="shared" si="74"/>
        <v>82121764.841646165</v>
      </c>
      <c r="BE48" s="10">
        <f t="shared" si="74"/>
        <v>80593443.493155599</v>
      </c>
      <c r="BF48" s="10">
        <f t="shared" si="74"/>
        <v>79093564.861997709</v>
      </c>
      <c r="BG48" s="10">
        <f t="shared" si="74"/>
        <v>77621599.616975218</v>
      </c>
    </row>
    <row r="49" spans="1:158" ht="12.75" x14ac:dyDescent="0.2">
      <c r="B49" s="101"/>
      <c r="C49" s="90" t="s">
        <v>311</v>
      </c>
      <c r="F49" s="92"/>
      <c r="G49" s="92"/>
      <c r="I49" s="99"/>
      <c r="J49" s="10">
        <f t="shared" ref="J49:Q49" si="78">J42*J$16</f>
        <v>186153802.04081634</v>
      </c>
      <c r="K49" s="10">
        <f t="shared" si="78"/>
        <v>179991391.83673471</v>
      </c>
      <c r="L49" s="10">
        <f t="shared" si="78"/>
        <v>172020122.44897959</v>
      </c>
      <c r="M49" s="10">
        <f t="shared" si="78"/>
        <v>164533493.87755102</v>
      </c>
      <c r="N49" s="10">
        <f t="shared" si="78"/>
        <v>157770379.59183675</v>
      </c>
      <c r="O49" s="10">
        <f t="shared" si="78"/>
        <v>152050188</v>
      </c>
      <c r="P49" s="10">
        <f t="shared" si="78"/>
        <v>142316958.38972422</v>
      </c>
      <c r="Q49" s="10">
        <f t="shared" si="78"/>
        <v>140484266.68684798</v>
      </c>
      <c r="R49" s="10">
        <f t="shared" si="74"/>
        <v>138122134.21882328</v>
      </c>
      <c r="S49" s="10">
        <f t="shared" si="74"/>
        <v>136380214.92016363</v>
      </c>
      <c r="T49" s="10">
        <f t="shared" si="74"/>
        <v>134605541.77709281</v>
      </c>
      <c r="U49" s="10">
        <f t="shared" si="74"/>
        <v>132784517.12157664</v>
      </c>
      <c r="V49" s="10">
        <f t="shared" si="74"/>
        <v>130904242.79624625</v>
      </c>
      <c r="W49" s="10">
        <f t="shared" si="74"/>
        <v>128970715.80433978</v>
      </c>
      <c r="X49" s="10">
        <f t="shared" si="74"/>
        <v>127002598.88930096</v>
      </c>
      <c r="Y49" s="10">
        <f t="shared" si="74"/>
        <v>125009679.31412061</v>
      </c>
      <c r="Z49" s="10">
        <f t="shared" si="74"/>
        <v>123603057.88450415</v>
      </c>
      <c r="AA49" s="10">
        <f t="shared" si="74"/>
        <v>122742947.61374459</v>
      </c>
      <c r="AB49" s="10">
        <f t="shared" si="74"/>
        <v>121809775.94793443</v>
      </c>
      <c r="AC49" s="10">
        <f t="shared" si="74"/>
        <v>120818896.35441332</v>
      </c>
      <c r="AD49" s="10">
        <f t="shared" si="74"/>
        <v>119794910.31384085</v>
      </c>
      <c r="AE49" s="10">
        <f t="shared" si="74"/>
        <v>118747476.12017956</v>
      </c>
      <c r="AF49" s="10">
        <f t="shared" si="74"/>
        <v>117655057.95792624</v>
      </c>
      <c r="AG49" s="10">
        <f t="shared" si="74"/>
        <v>116506700.48841031</v>
      </c>
      <c r="AH49" s="10">
        <f t="shared" si="74"/>
        <v>115311840.40059339</v>
      </c>
      <c r="AI49" s="10">
        <f t="shared" si="74"/>
        <v>114078054.77328289</v>
      </c>
      <c r="AJ49" s="10">
        <f t="shared" si="74"/>
        <v>112806005.7796064</v>
      </c>
      <c r="AK49" s="10">
        <f t="shared" si="74"/>
        <v>111493765.43839416</v>
      </c>
      <c r="AL49" s="10">
        <f t="shared" si="74"/>
        <v>110143600.46241874</v>
      </c>
      <c r="AM49" s="10">
        <f t="shared" si="74"/>
        <v>108761432.29166949</v>
      </c>
      <c r="AN49" s="10">
        <f t="shared" si="74"/>
        <v>107351984.44851863</v>
      </c>
      <c r="AO49" s="10">
        <f t="shared" si="74"/>
        <v>105915143.52636151</v>
      </c>
      <c r="AP49" s="10">
        <f t="shared" si="74"/>
        <v>104449174.23878564</v>
      </c>
      <c r="AQ49" s="10">
        <f t="shared" si="74"/>
        <v>102955666.85578151</v>
      </c>
      <c r="AR49" s="10">
        <f t="shared" si="74"/>
        <v>101439272.68573602</v>
      </c>
      <c r="AS49" s="10">
        <f t="shared" si="74"/>
        <v>99904126.348735332</v>
      </c>
      <c r="AT49" s="10">
        <f t="shared" si="74"/>
        <v>98350904.420540914</v>
      </c>
      <c r="AU49" s="10">
        <f t="shared" si="74"/>
        <v>96778927.561148867</v>
      </c>
      <c r="AV49" s="10">
        <f t="shared" si="74"/>
        <v>95189868.715990305</v>
      </c>
      <c r="AW49" s="10">
        <f t="shared" si="74"/>
        <v>93587718.642227218</v>
      </c>
      <c r="AX49" s="10">
        <f t="shared" si="74"/>
        <v>91919921.607883945</v>
      </c>
      <c r="AY49" s="10">
        <f t="shared" si="74"/>
        <v>90209252.349669665</v>
      </c>
      <c r="AZ49" s="10">
        <f t="shared" si="74"/>
        <v>88530419.381780788</v>
      </c>
      <c r="BA49" s="10">
        <f t="shared" si="74"/>
        <v>86882830.21716775</v>
      </c>
      <c r="BB49" s="10">
        <f t="shared" si="74"/>
        <v>85265903.395219564</v>
      </c>
      <c r="BC49" s="10">
        <f t="shared" si="74"/>
        <v>83679068.276557311</v>
      </c>
      <c r="BD49" s="10">
        <f t="shared" si="74"/>
        <v>82121764.841646165</v>
      </c>
      <c r="BE49" s="10">
        <f t="shared" si="74"/>
        <v>80593443.493155599</v>
      </c>
      <c r="BF49" s="10">
        <f t="shared" si="74"/>
        <v>79093564.861997709</v>
      </c>
      <c r="BG49" s="10">
        <f t="shared" si="74"/>
        <v>77621599.616975218</v>
      </c>
    </row>
    <row r="50" spans="1:158" ht="12.75" x14ac:dyDescent="0.2">
      <c r="B50" s="101"/>
      <c r="C50" s="179" t="s">
        <v>255</v>
      </c>
      <c r="F50" s="92"/>
      <c r="G50" s="92"/>
      <c r="I50" s="99"/>
      <c r="J50" s="187">
        <f t="shared" ref="J50:Q50" si="79">J43*J$16</f>
        <v>186153802.04081634</v>
      </c>
      <c r="K50" s="187">
        <f t="shared" si="79"/>
        <v>179991391.83673471</v>
      </c>
      <c r="L50" s="187">
        <f t="shared" si="79"/>
        <v>172020122.44897959</v>
      </c>
      <c r="M50" s="187">
        <f t="shared" si="79"/>
        <v>164533493.87755102</v>
      </c>
      <c r="N50" s="187">
        <f t="shared" si="79"/>
        <v>157770379.59183675</v>
      </c>
      <c r="O50" s="187">
        <f t="shared" si="79"/>
        <v>152050188</v>
      </c>
      <c r="P50" s="187">
        <f t="shared" si="79"/>
        <v>142316958.38972422</v>
      </c>
      <c r="Q50" s="187">
        <f t="shared" si="79"/>
        <v>140484266.68684798</v>
      </c>
      <c r="R50" s="187">
        <f t="shared" si="74"/>
        <v>138122134.21882328</v>
      </c>
      <c r="S50" s="187">
        <f t="shared" si="74"/>
        <v>136380214.92016363</v>
      </c>
      <c r="T50" s="187">
        <f t="shared" si="74"/>
        <v>134605541.77709281</v>
      </c>
      <c r="U50" s="187">
        <f t="shared" si="74"/>
        <v>132784517.12157664</v>
      </c>
      <c r="V50" s="187">
        <f t="shared" si="74"/>
        <v>130904242.79624625</v>
      </c>
      <c r="W50" s="187">
        <f t="shared" si="74"/>
        <v>128970715.80433978</v>
      </c>
      <c r="X50" s="187">
        <f t="shared" si="74"/>
        <v>127002598.88930096</v>
      </c>
      <c r="Y50" s="187">
        <f t="shared" si="74"/>
        <v>125009679.31412061</v>
      </c>
      <c r="Z50" s="187">
        <f t="shared" si="74"/>
        <v>123603057.88450415</v>
      </c>
      <c r="AA50" s="187">
        <f t="shared" si="74"/>
        <v>122742947.61374459</v>
      </c>
      <c r="AB50" s="187">
        <f t="shared" si="74"/>
        <v>121809775.94793443</v>
      </c>
      <c r="AC50" s="187">
        <f t="shared" si="74"/>
        <v>120818896.35441332</v>
      </c>
      <c r="AD50" s="187">
        <f t="shared" si="74"/>
        <v>119794910.31384085</v>
      </c>
      <c r="AE50" s="187">
        <f t="shared" si="74"/>
        <v>118747476.12017956</v>
      </c>
      <c r="AF50" s="187">
        <f t="shared" si="74"/>
        <v>117655057.95792624</v>
      </c>
      <c r="AG50" s="187">
        <f t="shared" si="74"/>
        <v>116506700.48841031</v>
      </c>
      <c r="AH50" s="187">
        <f t="shared" si="74"/>
        <v>115311840.40059339</v>
      </c>
      <c r="AI50" s="187">
        <f t="shared" si="74"/>
        <v>114078054.77328289</v>
      </c>
      <c r="AJ50" s="187">
        <f t="shared" si="74"/>
        <v>112806005.7796064</v>
      </c>
      <c r="AK50" s="187">
        <f t="shared" si="74"/>
        <v>111493765.43839416</v>
      </c>
      <c r="AL50" s="187">
        <f t="shared" si="74"/>
        <v>110143600.46241874</v>
      </c>
      <c r="AM50" s="187">
        <f t="shared" si="74"/>
        <v>108761432.29166949</v>
      </c>
      <c r="AN50" s="187">
        <f t="shared" si="74"/>
        <v>107351984.44851863</v>
      </c>
      <c r="AO50" s="187">
        <f t="shared" si="74"/>
        <v>105915143.52636151</v>
      </c>
      <c r="AP50" s="187">
        <f t="shared" si="74"/>
        <v>104449174.23878564</v>
      </c>
      <c r="AQ50" s="187">
        <f t="shared" si="74"/>
        <v>102955666.85578151</v>
      </c>
      <c r="AR50" s="187">
        <f t="shared" si="74"/>
        <v>101439272.68573602</v>
      </c>
      <c r="AS50" s="187">
        <f t="shared" si="74"/>
        <v>99904126.348735332</v>
      </c>
      <c r="AT50" s="187">
        <f t="shared" si="74"/>
        <v>98350904.420540914</v>
      </c>
      <c r="AU50" s="187">
        <f t="shared" si="74"/>
        <v>96778927.561148867</v>
      </c>
      <c r="AV50" s="187">
        <f t="shared" si="74"/>
        <v>95189868.715990305</v>
      </c>
      <c r="AW50" s="187">
        <f t="shared" si="74"/>
        <v>93587718.642227218</v>
      </c>
      <c r="AX50" s="187">
        <f t="shared" si="74"/>
        <v>91919921.607883945</v>
      </c>
      <c r="AY50" s="187">
        <f t="shared" si="74"/>
        <v>90209252.349669665</v>
      </c>
      <c r="AZ50" s="187">
        <f t="shared" si="74"/>
        <v>88530419.381780788</v>
      </c>
      <c r="BA50" s="187">
        <f t="shared" si="74"/>
        <v>86882830.21716775</v>
      </c>
      <c r="BB50" s="187">
        <f t="shared" si="74"/>
        <v>85265903.395219564</v>
      </c>
      <c r="BC50" s="187">
        <f t="shared" si="74"/>
        <v>83679068.276557311</v>
      </c>
      <c r="BD50" s="187">
        <f t="shared" si="74"/>
        <v>82121764.841646165</v>
      </c>
      <c r="BE50" s="187">
        <f t="shared" si="74"/>
        <v>80593443.493155599</v>
      </c>
      <c r="BF50" s="187">
        <f t="shared" si="74"/>
        <v>79093564.861997709</v>
      </c>
      <c r="BG50" s="187">
        <f t="shared" si="74"/>
        <v>77621599.616975218</v>
      </c>
    </row>
    <row r="51" spans="1:158" ht="12.75" x14ac:dyDescent="0.2">
      <c r="B51" s="101"/>
      <c r="C51" s="179" t="s">
        <v>256</v>
      </c>
      <c r="F51" s="92"/>
      <c r="G51" s="92"/>
      <c r="I51" s="99"/>
      <c r="J51" s="187">
        <f t="shared" ref="J51:Q51" si="80">J44*J$16</f>
        <v>186153802.04081634</v>
      </c>
      <c r="K51" s="187">
        <f t="shared" si="80"/>
        <v>179991391.83673471</v>
      </c>
      <c r="L51" s="187">
        <f t="shared" si="80"/>
        <v>172020122.44897959</v>
      </c>
      <c r="M51" s="187">
        <f t="shared" si="80"/>
        <v>164533493.87755102</v>
      </c>
      <c r="N51" s="187">
        <f t="shared" si="80"/>
        <v>157770379.59183675</v>
      </c>
      <c r="O51" s="187">
        <f t="shared" si="80"/>
        <v>152050188</v>
      </c>
      <c r="P51" s="187">
        <f t="shared" si="80"/>
        <v>142316958.38972422</v>
      </c>
      <c r="Q51" s="187">
        <f t="shared" si="80"/>
        <v>140484266.68684798</v>
      </c>
      <c r="R51" s="187">
        <f t="shared" si="74"/>
        <v>138122134.21882328</v>
      </c>
      <c r="S51" s="187">
        <f t="shared" si="74"/>
        <v>136380214.92016363</v>
      </c>
      <c r="T51" s="187">
        <f t="shared" si="74"/>
        <v>134605541.77709281</v>
      </c>
      <c r="U51" s="187">
        <f t="shared" si="74"/>
        <v>132784517.12157664</v>
      </c>
      <c r="V51" s="187">
        <f t="shared" si="74"/>
        <v>130904242.79624625</v>
      </c>
      <c r="W51" s="187">
        <f t="shared" si="74"/>
        <v>128970715.80433978</v>
      </c>
      <c r="X51" s="187">
        <f t="shared" si="74"/>
        <v>127002598.88930096</v>
      </c>
      <c r="Y51" s="187">
        <f t="shared" si="74"/>
        <v>125009679.31412061</v>
      </c>
      <c r="Z51" s="187">
        <f t="shared" si="74"/>
        <v>123603057.88450415</v>
      </c>
      <c r="AA51" s="187">
        <f t="shared" si="74"/>
        <v>122742947.61374459</v>
      </c>
      <c r="AB51" s="187">
        <f t="shared" si="74"/>
        <v>121809775.94793443</v>
      </c>
      <c r="AC51" s="187">
        <f t="shared" si="74"/>
        <v>120818896.35441332</v>
      </c>
      <c r="AD51" s="187">
        <f t="shared" si="74"/>
        <v>119794910.31384085</v>
      </c>
      <c r="AE51" s="187">
        <f t="shared" si="74"/>
        <v>118747476.12017956</v>
      </c>
      <c r="AF51" s="187">
        <f t="shared" si="74"/>
        <v>117655057.95792624</v>
      </c>
      <c r="AG51" s="187">
        <f t="shared" si="74"/>
        <v>116506700.48841031</v>
      </c>
      <c r="AH51" s="187">
        <f t="shared" si="74"/>
        <v>115311840.40059339</v>
      </c>
      <c r="AI51" s="187">
        <f t="shared" si="74"/>
        <v>114078054.77328289</v>
      </c>
      <c r="AJ51" s="187">
        <f t="shared" si="74"/>
        <v>112806005.7796064</v>
      </c>
      <c r="AK51" s="187">
        <f t="shared" si="74"/>
        <v>111493765.43839416</v>
      </c>
      <c r="AL51" s="187">
        <f t="shared" si="74"/>
        <v>110143600.46241874</v>
      </c>
      <c r="AM51" s="187">
        <f t="shared" si="74"/>
        <v>108761432.29166949</v>
      </c>
      <c r="AN51" s="187">
        <f t="shared" si="74"/>
        <v>107351984.44851863</v>
      </c>
      <c r="AO51" s="187">
        <f t="shared" si="74"/>
        <v>105915143.52636151</v>
      </c>
      <c r="AP51" s="187">
        <f t="shared" si="74"/>
        <v>104449174.23878564</v>
      </c>
      <c r="AQ51" s="187">
        <f t="shared" si="74"/>
        <v>102955666.85578151</v>
      </c>
      <c r="AR51" s="187">
        <f t="shared" si="74"/>
        <v>101439272.68573602</v>
      </c>
      <c r="AS51" s="187">
        <f t="shared" si="74"/>
        <v>99904126.348735332</v>
      </c>
      <c r="AT51" s="187">
        <f t="shared" si="74"/>
        <v>98350904.420540914</v>
      </c>
      <c r="AU51" s="187">
        <f t="shared" si="74"/>
        <v>96778927.561148867</v>
      </c>
      <c r="AV51" s="187">
        <f t="shared" si="74"/>
        <v>95189868.715990305</v>
      </c>
      <c r="AW51" s="187">
        <f t="shared" si="74"/>
        <v>93587718.642227218</v>
      </c>
      <c r="AX51" s="187">
        <f t="shared" si="74"/>
        <v>91919921.607883945</v>
      </c>
      <c r="AY51" s="187">
        <f t="shared" si="74"/>
        <v>90209252.349669665</v>
      </c>
      <c r="AZ51" s="187">
        <f t="shared" si="74"/>
        <v>88530419.381780788</v>
      </c>
      <c r="BA51" s="187">
        <f t="shared" si="74"/>
        <v>86882830.21716775</v>
      </c>
      <c r="BB51" s="187">
        <f t="shared" ref="BB51:BG51" si="81">BB44*BB$16</f>
        <v>85265903.395219564</v>
      </c>
      <c r="BC51" s="187">
        <f t="shared" si="81"/>
        <v>83679068.276557311</v>
      </c>
      <c r="BD51" s="187">
        <f t="shared" si="81"/>
        <v>82121764.841646165</v>
      </c>
      <c r="BE51" s="187">
        <f t="shared" si="81"/>
        <v>80593443.493155599</v>
      </c>
      <c r="BF51" s="187">
        <f t="shared" si="81"/>
        <v>79093564.861997709</v>
      </c>
      <c r="BG51" s="187">
        <f t="shared" si="81"/>
        <v>77621599.616975218</v>
      </c>
    </row>
    <row r="52" spans="1:158" ht="12.75" x14ac:dyDescent="0.2">
      <c r="B52" s="101" t="s">
        <v>171</v>
      </c>
      <c r="F52" s="92"/>
      <c r="G52" s="92"/>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row>
    <row r="53" spans="1:158" ht="12.75" x14ac:dyDescent="0.2">
      <c r="B53" s="101"/>
      <c r="C53" s="90" t="s">
        <v>144</v>
      </c>
      <c r="F53" s="92"/>
      <c r="G53" s="92"/>
      <c r="I53" s="113"/>
      <c r="J53" s="124">
        <f t="shared" ref="J53:AO53" ca="1" si="82">IF(SUMPRODUCT($J46:$BG46,discount_rate_divider)=0,0,SUMPRODUCT($J32:$BG32,discount_rate_divider)/SUMPRODUCT($J46:$BG46,discount_rate_divider))*J$16</f>
        <v>3.1361916739687176E-2</v>
      </c>
      <c r="K53" s="124">
        <f t="shared" ca="1" si="82"/>
        <v>3.1361916739687176E-2</v>
      </c>
      <c r="L53" s="124">
        <f t="shared" ca="1" si="82"/>
        <v>3.1361916739687176E-2</v>
      </c>
      <c r="M53" s="124">
        <f t="shared" ca="1" si="82"/>
        <v>3.1361916739687176E-2</v>
      </c>
      <c r="N53" s="124">
        <f t="shared" ca="1" si="82"/>
        <v>3.1361916739687176E-2</v>
      </c>
      <c r="O53" s="124">
        <f t="shared" ca="1" si="82"/>
        <v>3.0734678404893433E-2</v>
      </c>
      <c r="P53" s="124">
        <f t="shared" ca="1" si="82"/>
        <v>3.0119984836795562E-2</v>
      </c>
      <c r="Q53" s="124">
        <f t="shared" ca="1" si="82"/>
        <v>2.951758514005965E-2</v>
      </c>
      <c r="R53" s="124">
        <f t="shared" ca="1" si="82"/>
        <v>2.8927233437258459E-2</v>
      </c>
      <c r="S53" s="124">
        <f t="shared" ca="1" si="82"/>
        <v>2.8348688768513288E-2</v>
      </c>
      <c r="T53" s="124">
        <f t="shared" ca="1" si="82"/>
        <v>2.7781714993143018E-2</v>
      </c>
      <c r="U53" s="124">
        <f t="shared" ca="1" si="82"/>
        <v>2.7226080693280159E-2</v>
      </c>
      <c r="V53" s="124">
        <f t="shared" ca="1" si="82"/>
        <v>2.6681559079414555E-2</v>
      </c>
      <c r="W53" s="124">
        <f t="shared" ca="1" si="82"/>
        <v>2.6147927897826263E-2</v>
      </c>
      <c r="X53" s="124">
        <f t="shared" ca="1" si="82"/>
        <v>2.5624969339869737E-2</v>
      </c>
      <c r="Y53" s="124">
        <f t="shared" ca="1" si="82"/>
        <v>2.5112469953072342E-2</v>
      </c>
      <c r="Z53" s="124">
        <f t="shared" ca="1" si="82"/>
        <v>2.4610220554010895E-2</v>
      </c>
      <c r="AA53" s="124">
        <f t="shared" ca="1" si="82"/>
        <v>2.4118016142930677E-2</v>
      </c>
      <c r="AB53" s="124">
        <f t="shared" ca="1" si="82"/>
        <v>2.3635655820072064E-2</v>
      </c>
      <c r="AC53" s="124">
        <f t="shared" ca="1" si="82"/>
        <v>2.3162942703670621E-2</v>
      </c>
      <c r="AD53" s="124">
        <f t="shared" ca="1" si="82"/>
        <v>2.269968384959721E-2</v>
      </c>
      <c r="AE53" s="124">
        <f t="shared" ca="1" si="82"/>
        <v>2.2245690172605265E-2</v>
      </c>
      <c r="AF53" s="124">
        <f t="shared" ca="1" si="82"/>
        <v>2.180077636915316E-2</v>
      </c>
      <c r="AG53" s="124">
        <f t="shared" ca="1" si="82"/>
        <v>2.1364760841770095E-2</v>
      </c>
      <c r="AH53" s="124">
        <f t="shared" ca="1" si="82"/>
        <v>2.0937465624934693E-2</v>
      </c>
      <c r="AI53" s="124">
        <f t="shared" ca="1" si="82"/>
        <v>2.0518716312436E-2</v>
      </c>
      <c r="AJ53" s="124">
        <f t="shared" ca="1" si="82"/>
        <v>2.0108341986187279E-2</v>
      </c>
      <c r="AK53" s="124">
        <f t="shared" ca="1" si="82"/>
        <v>1.9706175146463532E-2</v>
      </c>
      <c r="AL53" s="124">
        <f t="shared" ca="1" si="82"/>
        <v>1.9312051643534261E-2</v>
      </c>
      <c r="AM53" s="124">
        <f t="shared" ca="1" si="82"/>
        <v>1.8925810610663577E-2</v>
      </c>
      <c r="AN53" s="124">
        <f t="shared" ca="1" si="82"/>
        <v>1.8547294398450303E-2</v>
      </c>
      <c r="AO53" s="124">
        <f t="shared" ca="1" si="82"/>
        <v>1.8176348510481295E-2</v>
      </c>
      <c r="AP53" s="124">
        <f t="shared" ref="AP53:BG53" ca="1" si="83">IF(SUMPRODUCT($J46:$BG46,discount_rate_divider)=0,0,SUMPRODUCT($J32:$BG32,discount_rate_divider)/SUMPRODUCT($J46:$BG46,discount_rate_divider))*AP$16</f>
        <v>1.7812821540271671E-2</v>
      </c>
      <c r="AQ53" s="124">
        <f t="shared" ca="1" si="83"/>
        <v>1.7456565109466238E-2</v>
      </c>
      <c r="AR53" s="124">
        <f t="shared" ca="1" si="83"/>
        <v>1.7107433807276914E-2</v>
      </c>
      <c r="AS53" s="124">
        <f t="shared" ca="1" si="83"/>
        <v>1.6765285131131374E-2</v>
      </c>
      <c r="AT53" s="124">
        <f t="shared" ca="1" si="83"/>
        <v>1.6429979428508747E-2</v>
      </c>
      <c r="AU53" s="124">
        <f t="shared" ca="1" si="83"/>
        <v>1.6101379839938573E-2</v>
      </c>
      <c r="AV53" s="124">
        <f t="shared" ca="1" si="83"/>
        <v>1.57793522431398E-2</v>
      </c>
      <c r="AW53" s="124">
        <f t="shared" ca="1" si="83"/>
        <v>1.5463765198277005E-2</v>
      </c>
      <c r="AX53" s="124">
        <f t="shared" ca="1" si="83"/>
        <v>1.5154489894311464E-2</v>
      </c>
      <c r="AY53" s="124">
        <f t="shared" ca="1" si="83"/>
        <v>1.4851400096425235E-2</v>
      </c>
      <c r="AZ53" s="124">
        <f t="shared" ca="1" si="83"/>
        <v>1.4554372094496729E-2</v>
      </c>
      <c r="BA53" s="124">
        <f t="shared" ca="1" si="83"/>
        <v>1.4263284652606794E-2</v>
      </c>
      <c r="BB53" s="124">
        <f t="shared" ca="1" si="83"/>
        <v>1.397801895955466E-2</v>
      </c>
      <c r="BC53" s="124">
        <f t="shared" ca="1" si="83"/>
        <v>1.3698458580363565E-2</v>
      </c>
      <c r="BD53" s="124">
        <f t="shared" ca="1" si="83"/>
        <v>1.3424489408756292E-2</v>
      </c>
      <c r="BE53" s="124">
        <f t="shared" ca="1" si="83"/>
        <v>1.3155999620581166E-2</v>
      </c>
      <c r="BF53" s="124">
        <f t="shared" ca="1" si="83"/>
        <v>1.2892879628169542E-2</v>
      </c>
      <c r="BG53" s="124">
        <f t="shared" ca="1" si="83"/>
        <v>1.2635022035606151E-2</v>
      </c>
    </row>
    <row r="54" spans="1:158" ht="12.75" x14ac:dyDescent="0.2">
      <c r="B54" s="101"/>
      <c r="C54" s="90" t="s">
        <v>162</v>
      </c>
      <c r="F54" s="92"/>
      <c r="G54" s="92"/>
      <c r="I54" s="113"/>
      <c r="J54" s="124">
        <f t="shared" ref="J54:AO54" ca="1" si="84">IF(SUMPRODUCT($J47:$BG47,discount_rate_divider)=0,0,SUMPRODUCT($J33:$BG33,discount_rate_divider)/SUMPRODUCT($J47:$BG47,discount_rate_divider))*J$16</f>
        <v>9.4085750219061542E-2</v>
      </c>
      <c r="K54" s="124">
        <f t="shared" ca="1" si="84"/>
        <v>9.4085750219061542E-2</v>
      </c>
      <c r="L54" s="124">
        <f t="shared" ca="1" si="84"/>
        <v>9.4085750219061542E-2</v>
      </c>
      <c r="M54" s="124">
        <f t="shared" ca="1" si="84"/>
        <v>9.4085750219061542E-2</v>
      </c>
      <c r="N54" s="124">
        <f t="shared" ca="1" si="84"/>
        <v>9.4085750219061542E-2</v>
      </c>
      <c r="O54" s="124">
        <f t="shared" ca="1" si="84"/>
        <v>9.2204035214680305E-2</v>
      </c>
      <c r="P54" s="124">
        <f t="shared" ca="1" si="84"/>
        <v>9.0359954510386697E-2</v>
      </c>
      <c r="Q54" s="124">
        <f t="shared" ca="1" si="84"/>
        <v>8.8552755420178958E-2</v>
      </c>
      <c r="R54" s="124">
        <f t="shared" ca="1" si="84"/>
        <v>8.6781700311775373E-2</v>
      </c>
      <c r="S54" s="124">
        <f t="shared" ca="1" si="84"/>
        <v>8.5046066305539861E-2</v>
      </c>
      <c r="T54" s="124">
        <f t="shared" ca="1" si="84"/>
        <v>8.3345144979429062E-2</v>
      </c>
      <c r="U54" s="124">
        <f t="shared" ca="1" si="84"/>
        <v>8.167824207984048E-2</v>
      </c>
      <c r="V54" s="124">
        <f t="shared" ca="1" si="84"/>
        <v>8.0044677238243669E-2</v>
      </c>
      <c r="W54" s="124">
        <f t="shared" ca="1" si="84"/>
        <v>7.8443783693478791E-2</v>
      </c>
      <c r="X54" s="124">
        <f t="shared" ca="1" si="84"/>
        <v>7.6874908019609223E-2</v>
      </c>
      <c r="Y54" s="124">
        <f t="shared" ca="1" si="84"/>
        <v>7.5337409859217039E-2</v>
      </c>
      <c r="Z54" s="124">
        <f t="shared" ca="1" si="84"/>
        <v>7.3830661662032698E-2</v>
      </c>
      <c r="AA54" s="124">
        <f t="shared" ca="1" si="84"/>
        <v>7.2354048428792034E-2</v>
      </c>
      <c r="AB54" s="124">
        <f t="shared" ca="1" si="84"/>
        <v>7.09069674602162E-2</v>
      </c>
      <c r="AC54" s="124">
        <f t="shared" ca="1" si="84"/>
        <v>6.9488828111011869E-2</v>
      </c>
      <c r="AD54" s="124">
        <f t="shared" ca="1" si="84"/>
        <v>6.8099051548791631E-2</v>
      </c>
      <c r="AE54" s="124">
        <f t="shared" ca="1" si="84"/>
        <v>6.67370705178158E-2</v>
      </c>
      <c r="AF54" s="124">
        <f t="shared" ca="1" si="84"/>
        <v>6.5402329107459481E-2</v>
      </c>
      <c r="AG54" s="124">
        <f t="shared" ca="1" si="84"/>
        <v>6.4094282525310284E-2</v>
      </c>
      <c r="AH54" s="124">
        <f t="shared" ca="1" si="84"/>
        <v>6.2812396874804083E-2</v>
      </c>
      <c r="AI54" s="124">
        <f t="shared" ca="1" si="84"/>
        <v>6.1556148937308E-2</v>
      </c>
      <c r="AJ54" s="124">
        <f t="shared" ca="1" si="84"/>
        <v>6.0325025958561838E-2</v>
      </c>
      <c r="AK54" s="124">
        <f t="shared" ca="1" si="84"/>
        <v>5.9118525439390598E-2</v>
      </c>
      <c r="AL54" s="124">
        <f t="shared" ca="1" si="84"/>
        <v>5.7936154930602786E-2</v>
      </c>
      <c r="AM54" s="124">
        <f t="shared" ca="1" si="84"/>
        <v>5.677743183199073E-2</v>
      </c>
      <c r="AN54" s="124">
        <f t="shared" ca="1" si="84"/>
        <v>5.5641883195350912E-2</v>
      </c>
      <c r="AO54" s="124">
        <f t="shared" ca="1" si="84"/>
        <v>5.4529045531443894E-2</v>
      </c>
      <c r="AP54" s="124">
        <f t="shared" ref="AP54:BG54" ca="1" si="85">IF(SUMPRODUCT($J47:$BG47,discount_rate_divider)=0,0,SUMPRODUCT($J33:$BG33,discount_rate_divider)/SUMPRODUCT($J47:$BG47,discount_rate_divider))*AP$16</f>
        <v>5.3438464620815015E-2</v>
      </c>
      <c r="AQ54" s="124">
        <f t="shared" ca="1" si="85"/>
        <v>5.2369695328398719E-2</v>
      </c>
      <c r="AR54" s="124">
        <f t="shared" ca="1" si="85"/>
        <v>5.1322301421830745E-2</v>
      </c>
      <c r="AS54" s="124">
        <f t="shared" ca="1" si="85"/>
        <v>5.029585539339413E-2</v>
      </c>
      <c r="AT54" s="124">
        <f t="shared" ca="1" si="85"/>
        <v>4.9289938285526247E-2</v>
      </c>
      <c r="AU54" s="124">
        <f t="shared" ca="1" si="85"/>
        <v>4.8304139519815721E-2</v>
      </c>
      <c r="AV54" s="124">
        <f t="shared" ca="1" si="85"/>
        <v>4.733805672941941E-2</v>
      </c>
      <c r="AW54" s="124">
        <f t="shared" ca="1" si="85"/>
        <v>4.6391295594831017E-2</v>
      </c>
      <c r="AX54" s="124">
        <f t="shared" ca="1" si="85"/>
        <v>4.5463469682934396E-2</v>
      </c>
      <c r="AY54" s="124">
        <f t="shared" ca="1" si="85"/>
        <v>4.455420028927571E-2</v>
      </c>
      <c r="AZ54" s="124">
        <f t="shared" ca="1" si="85"/>
        <v>4.3663116283490191E-2</v>
      </c>
      <c r="BA54" s="124">
        <f t="shared" ca="1" si="85"/>
        <v>4.2789853957820388E-2</v>
      </c>
      <c r="BB54" s="124">
        <f t="shared" ca="1" si="85"/>
        <v>4.1934056878663979E-2</v>
      </c>
      <c r="BC54" s="124">
        <f t="shared" ca="1" si="85"/>
        <v>4.1095375741090699E-2</v>
      </c>
      <c r="BD54" s="124">
        <f t="shared" ca="1" si="85"/>
        <v>4.0273468226268878E-2</v>
      </c>
      <c r="BE54" s="124">
        <f t="shared" ca="1" si="85"/>
        <v>3.94679988617435E-2</v>
      </c>
      <c r="BF54" s="124">
        <f t="shared" ca="1" si="85"/>
        <v>3.8678638884508634E-2</v>
      </c>
      <c r="BG54" s="124">
        <f t="shared" ca="1" si="85"/>
        <v>3.7905066106818458E-2</v>
      </c>
    </row>
    <row r="55" spans="1:158" ht="12.75" x14ac:dyDescent="0.2">
      <c r="B55" s="101"/>
      <c r="C55" s="90" t="s">
        <v>231</v>
      </c>
      <c r="F55" s="92"/>
      <c r="G55" s="92"/>
      <c r="I55" s="113"/>
      <c r="J55" s="124">
        <f t="shared" ref="J55:AO55" ca="1" si="86">IF(SUMPRODUCT($J48:$BG48,discount_rate_divider)=0,0,SUMPRODUCT($J34:$BG34,discount_rate_divider)/SUMPRODUCT($J48:$BG48,discount_rate_divider))*J$16</f>
        <v>0</v>
      </c>
      <c r="K55" s="124">
        <f t="shared" ca="1" si="86"/>
        <v>0</v>
      </c>
      <c r="L55" s="124">
        <f t="shared" ca="1" si="86"/>
        <v>0</v>
      </c>
      <c r="M55" s="124">
        <f t="shared" ca="1" si="86"/>
        <v>0</v>
      </c>
      <c r="N55" s="124">
        <f t="shared" ca="1" si="86"/>
        <v>0</v>
      </c>
      <c r="O55" s="124">
        <f t="shared" ca="1" si="86"/>
        <v>0</v>
      </c>
      <c r="P55" s="124">
        <f t="shared" ca="1" si="86"/>
        <v>0</v>
      </c>
      <c r="Q55" s="124">
        <f t="shared" ca="1" si="86"/>
        <v>0</v>
      </c>
      <c r="R55" s="124">
        <f t="shared" ca="1" si="86"/>
        <v>0</v>
      </c>
      <c r="S55" s="124">
        <f t="shared" ca="1" si="86"/>
        <v>0</v>
      </c>
      <c r="T55" s="124">
        <f t="shared" ca="1" si="86"/>
        <v>0</v>
      </c>
      <c r="U55" s="124">
        <f t="shared" ca="1" si="86"/>
        <v>0</v>
      </c>
      <c r="V55" s="124">
        <f t="shared" ca="1" si="86"/>
        <v>0</v>
      </c>
      <c r="W55" s="124">
        <f t="shared" ca="1" si="86"/>
        <v>0</v>
      </c>
      <c r="X55" s="124">
        <f t="shared" ca="1" si="86"/>
        <v>0</v>
      </c>
      <c r="Y55" s="124">
        <f t="shared" ca="1" si="86"/>
        <v>0</v>
      </c>
      <c r="Z55" s="124">
        <f t="shared" ca="1" si="86"/>
        <v>0</v>
      </c>
      <c r="AA55" s="124">
        <f t="shared" ca="1" si="86"/>
        <v>0</v>
      </c>
      <c r="AB55" s="124">
        <f t="shared" ca="1" si="86"/>
        <v>0</v>
      </c>
      <c r="AC55" s="124">
        <f t="shared" ca="1" si="86"/>
        <v>0</v>
      </c>
      <c r="AD55" s="124">
        <f t="shared" ca="1" si="86"/>
        <v>0</v>
      </c>
      <c r="AE55" s="124">
        <f t="shared" ca="1" si="86"/>
        <v>0</v>
      </c>
      <c r="AF55" s="124">
        <f t="shared" ca="1" si="86"/>
        <v>0</v>
      </c>
      <c r="AG55" s="124">
        <f t="shared" ca="1" si="86"/>
        <v>0</v>
      </c>
      <c r="AH55" s="124">
        <f t="shared" ca="1" si="86"/>
        <v>0</v>
      </c>
      <c r="AI55" s="124">
        <f t="shared" ca="1" si="86"/>
        <v>0</v>
      </c>
      <c r="AJ55" s="124">
        <f t="shared" ca="1" si="86"/>
        <v>0</v>
      </c>
      <c r="AK55" s="124">
        <f t="shared" ca="1" si="86"/>
        <v>0</v>
      </c>
      <c r="AL55" s="124">
        <f t="shared" ca="1" si="86"/>
        <v>0</v>
      </c>
      <c r="AM55" s="124">
        <f t="shared" ca="1" si="86"/>
        <v>0</v>
      </c>
      <c r="AN55" s="124">
        <f t="shared" ca="1" si="86"/>
        <v>0</v>
      </c>
      <c r="AO55" s="124">
        <f t="shared" ca="1" si="86"/>
        <v>0</v>
      </c>
      <c r="AP55" s="124">
        <f t="shared" ref="AP55:BG55" ca="1" si="87">IF(SUMPRODUCT($J48:$BG48,discount_rate_divider)=0,0,SUMPRODUCT($J34:$BG34,discount_rate_divider)/SUMPRODUCT($J48:$BG48,discount_rate_divider))*AP$16</f>
        <v>0</v>
      </c>
      <c r="AQ55" s="124">
        <f t="shared" ca="1" si="87"/>
        <v>0</v>
      </c>
      <c r="AR55" s="124">
        <f t="shared" ca="1" si="87"/>
        <v>0</v>
      </c>
      <c r="AS55" s="124">
        <f t="shared" ca="1" si="87"/>
        <v>0</v>
      </c>
      <c r="AT55" s="124">
        <f t="shared" ca="1" si="87"/>
        <v>0</v>
      </c>
      <c r="AU55" s="124">
        <f t="shared" ca="1" si="87"/>
        <v>0</v>
      </c>
      <c r="AV55" s="124">
        <f t="shared" ca="1" si="87"/>
        <v>0</v>
      </c>
      <c r="AW55" s="124">
        <f t="shared" ca="1" si="87"/>
        <v>0</v>
      </c>
      <c r="AX55" s="124">
        <f t="shared" ca="1" si="87"/>
        <v>0</v>
      </c>
      <c r="AY55" s="124">
        <f t="shared" ca="1" si="87"/>
        <v>0</v>
      </c>
      <c r="AZ55" s="124">
        <f t="shared" ca="1" si="87"/>
        <v>0</v>
      </c>
      <c r="BA55" s="124">
        <f t="shared" ca="1" si="87"/>
        <v>0</v>
      </c>
      <c r="BB55" s="124">
        <f t="shared" ca="1" si="87"/>
        <v>0</v>
      </c>
      <c r="BC55" s="124">
        <f t="shared" ca="1" si="87"/>
        <v>0</v>
      </c>
      <c r="BD55" s="124">
        <f t="shared" ca="1" si="87"/>
        <v>0</v>
      </c>
      <c r="BE55" s="124">
        <f t="shared" ca="1" si="87"/>
        <v>0</v>
      </c>
      <c r="BF55" s="124">
        <f t="shared" ca="1" si="87"/>
        <v>0</v>
      </c>
      <c r="BG55" s="124">
        <f t="shared" ca="1" si="87"/>
        <v>0</v>
      </c>
    </row>
    <row r="56" spans="1:158" ht="12.75" x14ac:dyDescent="0.2">
      <c r="B56" s="101"/>
      <c r="C56" s="90" t="s">
        <v>311</v>
      </c>
      <c r="F56" s="92"/>
      <c r="G56" s="92"/>
      <c r="I56" s="113"/>
      <c r="J56" s="124">
        <f t="shared" ref="J56:AO56" ca="1" si="88">IF(SUMPRODUCT($J49:$BG49,discount_rate_divider)=0,0,SUMPRODUCT($J35:$BG35,discount_rate_divider)/SUMPRODUCT($J49:$BG49,discount_rate_divider))*J$16</f>
        <v>0</v>
      </c>
      <c r="K56" s="124">
        <f t="shared" ca="1" si="88"/>
        <v>0</v>
      </c>
      <c r="L56" s="124">
        <f t="shared" ca="1" si="88"/>
        <v>0</v>
      </c>
      <c r="M56" s="124">
        <f t="shared" ca="1" si="88"/>
        <v>0</v>
      </c>
      <c r="N56" s="124">
        <f t="shared" ca="1" si="88"/>
        <v>0</v>
      </c>
      <c r="O56" s="124">
        <f t="shared" ca="1" si="88"/>
        <v>0</v>
      </c>
      <c r="P56" s="124">
        <f t="shared" ca="1" si="88"/>
        <v>0</v>
      </c>
      <c r="Q56" s="124">
        <f t="shared" ca="1" si="88"/>
        <v>0</v>
      </c>
      <c r="R56" s="124">
        <f t="shared" ca="1" si="88"/>
        <v>0</v>
      </c>
      <c r="S56" s="124">
        <f t="shared" ca="1" si="88"/>
        <v>0</v>
      </c>
      <c r="T56" s="124">
        <f t="shared" ca="1" si="88"/>
        <v>0</v>
      </c>
      <c r="U56" s="124">
        <f t="shared" ca="1" si="88"/>
        <v>0</v>
      </c>
      <c r="V56" s="124">
        <f t="shared" ca="1" si="88"/>
        <v>0</v>
      </c>
      <c r="W56" s="124">
        <f t="shared" ca="1" si="88"/>
        <v>0</v>
      </c>
      <c r="X56" s="124">
        <f t="shared" ca="1" si="88"/>
        <v>0</v>
      </c>
      <c r="Y56" s="124">
        <f t="shared" ca="1" si="88"/>
        <v>0</v>
      </c>
      <c r="Z56" s="124">
        <f t="shared" ca="1" si="88"/>
        <v>0</v>
      </c>
      <c r="AA56" s="124">
        <f t="shared" ca="1" si="88"/>
        <v>0</v>
      </c>
      <c r="AB56" s="124">
        <f t="shared" ca="1" si="88"/>
        <v>0</v>
      </c>
      <c r="AC56" s="124">
        <f t="shared" ca="1" si="88"/>
        <v>0</v>
      </c>
      <c r="AD56" s="124">
        <f t="shared" ca="1" si="88"/>
        <v>0</v>
      </c>
      <c r="AE56" s="124">
        <f t="shared" ca="1" si="88"/>
        <v>0</v>
      </c>
      <c r="AF56" s="124">
        <f t="shared" ca="1" si="88"/>
        <v>0</v>
      </c>
      <c r="AG56" s="124">
        <f t="shared" ca="1" si="88"/>
        <v>0</v>
      </c>
      <c r="AH56" s="124">
        <f t="shared" ca="1" si="88"/>
        <v>0</v>
      </c>
      <c r="AI56" s="124">
        <f t="shared" ca="1" si="88"/>
        <v>0</v>
      </c>
      <c r="AJ56" s="124">
        <f t="shared" ca="1" si="88"/>
        <v>0</v>
      </c>
      <c r="AK56" s="124">
        <f t="shared" ca="1" si="88"/>
        <v>0</v>
      </c>
      <c r="AL56" s="124">
        <f t="shared" ca="1" si="88"/>
        <v>0</v>
      </c>
      <c r="AM56" s="124">
        <f t="shared" ca="1" si="88"/>
        <v>0</v>
      </c>
      <c r="AN56" s="124">
        <f t="shared" ca="1" si="88"/>
        <v>0</v>
      </c>
      <c r="AO56" s="124">
        <f t="shared" ca="1" si="88"/>
        <v>0</v>
      </c>
      <c r="AP56" s="124">
        <f t="shared" ref="AP56:BG56" ca="1" si="89">IF(SUMPRODUCT($J49:$BG49,discount_rate_divider)=0,0,SUMPRODUCT($J35:$BG35,discount_rate_divider)/SUMPRODUCT($J49:$BG49,discount_rate_divider))*AP$16</f>
        <v>0</v>
      </c>
      <c r="AQ56" s="124">
        <f t="shared" ca="1" si="89"/>
        <v>0</v>
      </c>
      <c r="AR56" s="124">
        <f t="shared" ca="1" si="89"/>
        <v>0</v>
      </c>
      <c r="AS56" s="124">
        <f t="shared" ca="1" si="89"/>
        <v>0</v>
      </c>
      <c r="AT56" s="124">
        <f t="shared" ca="1" si="89"/>
        <v>0</v>
      </c>
      <c r="AU56" s="124">
        <f t="shared" ca="1" si="89"/>
        <v>0</v>
      </c>
      <c r="AV56" s="124">
        <f t="shared" ca="1" si="89"/>
        <v>0</v>
      </c>
      <c r="AW56" s="124">
        <f t="shared" ca="1" si="89"/>
        <v>0</v>
      </c>
      <c r="AX56" s="124">
        <f t="shared" ca="1" si="89"/>
        <v>0</v>
      </c>
      <c r="AY56" s="124">
        <f t="shared" ca="1" si="89"/>
        <v>0</v>
      </c>
      <c r="AZ56" s="124">
        <f t="shared" ca="1" si="89"/>
        <v>0</v>
      </c>
      <c r="BA56" s="124">
        <f t="shared" ca="1" si="89"/>
        <v>0</v>
      </c>
      <c r="BB56" s="124">
        <f t="shared" ca="1" si="89"/>
        <v>0</v>
      </c>
      <c r="BC56" s="124">
        <f t="shared" ca="1" si="89"/>
        <v>0</v>
      </c>
      <c r="BD56" s="124">
        <f t="shared" ca="1" si="89"/>
        <v>0</v>
      </c>
      <c r="BE56" s="124">
        <f t="shared" ca="1" si="89"/>
        <v>0</v>
      </c>
      <c r="BF56" s="124">
        <f t="shared" ca="1" si="89"/>
        <v>0</v>
      </c>
      <c r="BG56" s="124">
        <f t="shared" ca="1" si="89"/>
        <v>0</v>
      </c>
    </row>
    <row r="57" spans="1:158" ht="12.75" x14ac:dyDescent="0.2">
      <c r="B57" s="101"/>
      <c r="C57" s="179" t="s">
        <v>255</v>
      </c>
      <c r="F57" s="92"/>
      <c r="G57" s="92"/>
      <c r="I57" s="113"/>
      <c r="J57" s="188">
        <f t="shared" ref="J57:AO57" ca="1" si="90">IF(SUMPRODUCT($J50:$BG50,discount_rate_divider)=0,0,SUMPRODUCT($J36:$BG36,discount_rate_divider)/SUMPRODUCT($J50:$BG50,discount_rate_divider))*J$16</f>
        <v>0</v>
      </c>
      <c r="K57" s="188">
        <f t="shared" ca="1" si="90"/>
        <v>0</v>
      </c>
      <c r="L57" s="188">
        <f t="shared" ca="1" si="90"/>
        <v>0</v>
      </c>
      <c r="M57" s="188">
        <f t="shared" ca="1" si="90"/>
        <v>0</v>
      </c>
      <c r="N57" s="188">
        <f t="shared" ca="1" si="90"/>
        <v>0</v>
      </c>
      <c r="O57" s="188">
        <f t="shared" ca="1" si="90"/>
        <v>0</v>
      </c>
      <c r="P57" s="188">
        <f t="shared" ca="1" si="90"/>
        <v>0</v>
      </c>
      <c r="Q57" s="188">
        <f t="shared" ca="1" si="90"/>
        <v>0</v>
      </c>
      <c r="R57" s="188">
        <f t="shared" ca="1" si="90"/>
        <v>0</v>
      </c>
      <c r="S57" s="188">
        <f t="shared" ca="1" si="90"/>
        <v>0</v>
      </c>
      <c r="T57" s="188">
        <f t="shared" ca="1" si="90"/>
        <v>0</v>
      </c>
      <c r="U57" s="188">
        <f t="shared" ca="1" si="90"/>
        <v>0</v>
      </c>
      <c r="V57" s="188">
        <f t="shared" ca="1" si="90"/>
        <v>0</v>
      </c>
      <c r="W57" s="188">
        <f t="shared" ca="1" si="90"/>
        <v>0</v>
      </c>
      <c r="X57" s="188">
        <f t="shared" ca="1" si="90"/>
        <v>0</v>
      </c>
      <c r="Y57" s="188">
        <f t="shared" ca="1" si="90"/>
        <v>0</v>
      </c>
      <c r="Z57" s="188">
        <f t="shared" ca="1" si="90"/>
        <v>0</v>
      </c>
      <c r="AA57" s="188">
        <f t="shared" ca="1" si="90"/>
        <v>0</v>
      </c>
      <c r="AB57" s="188">
        <f t="shared" ca="1" si="90"/>
        <v>0</v>
      </c>
      <c r="AC57" s="188">
        <f t="shared" ca="1" si="90"/>
        <v>0</v>
      </c>
      <c r="AD57" s="188">
        <f t="shared" ca="1" si="90"/>
        <v>0</v>
      </c>
      <c r="AE57" s="188">
        <f t="shared" ca="1" si="90"/>
        <v>0</v>
      </c>
      <c r="AF57" s="188">
        <f t="shared" ca="1" si="90"/>
        <v>0</v>
      </c>
      <c r="AG57" s="188">
        <f t="shared" ca="1" si="90"/>
        <v>0</v>
      </c>
      <c r="AH57" s="188">
        <f t="shared" ca="1" si="90"/>
        <v>0</v>
      </c>
      <c r="AI57" s="188">
        <f t="shared" ca="1" si="90"/>
        <v>0</v>
      </c>
      <c r="AJ57" s="188">
        <f t="shared" ca="1" si="90"/>
        <v>0</v>
      </c>
      <c r="AK57" s="188">
        <f t="shared" ca="1" si="90"/>
        <v>0</v>
      </c>
      <c r="AL57" s="188">
        <f t="shared" ca="1" si="90"/>
        <v>0</v>
      </c>
      <c r="AM57" s="188">
        <f t="shared" ca="1" si="90"/>
        <v>0</v>
      </c>
      <c r="AN57" s="188">
        <f t="shared" ca="1" si="90"/>
        <v>0</v>
      </c>
      <c r="AO57" s="188">
        <f t="shared" ca="1" si="90"/>
        <v>0</v>
      </c>
      <c r="AP57" s="188">
        <f t="shared" ref="AP57:BG57" ca="1" si="91">IF(SUMPRODUCT($J50:$BG50,discount_rate_divider)=0,0,SUMPRODUCT($J36:$BG36,discount_rate_divider)/SUMPRODUCT($J50:$BG50,discount_rate_divider))*AP$16</f>
        <v>0</v>
      </c>
      <c r="AQ57" s="188">
        <f t="shared" ca="1" si="91"/>
        <v>0</v>
      </c>
      <c r="AR57" s="188">
        <f t="shared" ca="1" si="91"/>
        <v>0</v>
      </c>
      <c r="AS57" s="188">
        <f t="shared" ca="1" si="91"/>
        <v>0</v>
      </c>
      <c r="AT57" s="188">
        <f t="shared" ca="1" si="91"/>
        <v>0</v>
      </c>
      <c r="AU57" s="188">
        <f t="shared" ca="1" si="91"/>
        <v>0</v>
      </c>
      <c r="AV57" s="188">
        <f t="shared" ca="1" si="91"/>
        <v>0</v>
      </c>
      <c r="AW57" s="188">
        <f t="shared" ca="1" si="91"/>
        <v>0</v>
      </c>
      <c r="AX57" s="188">
        <f t="shared" ca="1" si="91"/>
        <v>0</v>
      </c>
      <c r="AY57" s="188">
        <f t="shared" ca="1" si="91"/>
        <v>0</v>
      </c>
      <c r="AZ57" s="188">
        <f t="shared" ca="1" si="91"/>
        <v>0</v>
      </c>
      <c r="BA57" s="188">
        <f t="shared" ca="1" si="91"/>
        <v>0</v>
      </c>
      <c r="BB57" s="188">
        <f t="shared" ca="1" si="91"/>
        <v>0</v>
      </c>
      <c r="BC57" s="188">
        <f t="shared" ca="1" si="91"/>
        <v>0</v>
      </c>
      <c r="BD57" s="188">
        <f t="shared" ca="1" si="91"/>
        <v>0</v>
      </c>
      <c r="BE57" s="188">
        <f t="shared" ca="1" si="91"/>
        <v>0</v>
      </c>
      <c r="BF57" s="188">
        <f t="shared" ca="1" si="91"/>
        <v>0</v>
      </c>
      <c r="BG57" s="188">
        <f t="shared" ca="1" si="91"/>
        <v>0</v>
      </c>
    </row>
    <row r="58" spans="1:158" ht="12.75" x14ac:dyDescent="0.2">
      <c r="B58" s="101"/>
      <c r="C58" s="179" t="s">
        <v>256</v>
      </c>
      <c r="F58" s="92"/>
      <c r="G58" s="92"/>
      <c r="I58" s="113"/>
      <c r="J58" s="188">
        <f t="shared" ref="J58:AO58" ca="1" si="92">IF(SUMPRODUCT($J51:$BG51,discount_rate_divider)=0,0,SUMPRODUCT($J37:$BG37,discount_rate_divider)/SUMPRODUCT($J51:$BG51,discount_rate_divider))*J$16</f>
        <v>0</v>
      </c>
      <c r="K58" s="188">
        <f t="shared" ca="1" si="92"/>
        <v>0</v>
      </c>
      <c r="L58" s="188">
        <f t="shared" ca="1" si="92"/>
        <v>0</v>
      </c>
      <c r="M58" s="188">
        <f t="shared" ca="1" si="92"/>
        <v>0</v>
      </c>
      <c r="N58" s="188">
        <f t="shared" ca="1" si="92"/>
        <v>0</v>
      </c>
      <c r="O58" s="188">
        <f t="shared" ca="1" si="92"/>
        <v>0</v>
      </c>
      <c r="P58" s="188">
        <f t="shared" ca="1" si="92"/>
        <v>0</v>
      </c>
      <c r="Q58" s="188">
        <f t="shared" ca="1" si="92"/>
        <v>0</v>
      </c>
      <c r="R58" s="188">
        <f t="shared" ca="1" si="92"/>
        <v>0</v>
      </c>
      <c r="S58" s="188">
        <f t="shared" ca="1" si="92"/>
        <v>0</v>
      </c>
      <c r="T58" s="188">
        <f t="shared" ca="1" si="92"/>
        <v>0</v>
      </c>
      <c r="U58" s="188">
        <f t="shared" ca="1" si="92"/>
        <v>0</v>
      </c>
      <c r="V58" s="188">
        <f t="shared" ca="1" si="92"/>
        <v>0</v>
      </c>
      <c r="W58" s="188">
        <f t="shared" ca="1" si="92"/>
        <v>0</v>
      </c>
      <c r="X58" s="188">
        <f t="shared" ca="1" si="92"/>
        <v>0</v>
      </c>
      <c r="Y58" s="188">
        <f t="shared" ca="1" si="92"/>
        <v>0</v>
      </c>
      <c r="Z58" s="188">
        <f t="shared" ca="1" si="92"/>
        <v>0</v>
      </c>
      <c r="AA58" s="188">
        <f t="shared" ca="1" si="92"/>
        <v>0</v>
      </c>
      <c r="AB58" s="188">
        <f t="shared" ca="1" si="92"/>
        <v>0</v>
      </c>
      <c r="AC58" s="188">
        <f t="shared" ca="1" si="92"/>
        <v>0</v>
      </c>
      <c r="AD58" s="188">
        <f t="shared" ca="1" si="92"/>
        <v>0</v>
      </c>
      <c r="AE58" s="188">
        <f t="shared" ca="1" si="92"/>
        <v>0</v>
      </c>
      <c r="AF58" s="188">
        <f t="shared" ca="1" si="92"/>
        <v>0</v>
      </c>
      <c r="AG58" s="188">
        <f t="shared" ca="1" si="92"/>
        <v>0</v>
      </c>
      <c r="AH58" s="188">
        <f t="shared" ca="1" si="92"/>
        <v>0</v>
      </c>
      <c r="AI58" s="188">
        <f t="shared" ca="1" si="92"/>
        <v>0</v>
      </c>
      <c r="AJ58" s="188">
        <f t="shared" ca="1" si="92"/>
        <v>0</v>
      </c>
      <c r="AK58" s="188">
        <f t="shared" ca="1" si="92"/>
        <v>0</v>
      </c>
      <c r="AL58" s="188">
        <f t="shared" ca="1" si="92"/>
        <v>0</v>
      </c>
      <c r="AM58" s="188">
        <f t="shared" ca="1" si="92"/>
        <v>0</v>
      </c>
      <c r="AN58" s="188">
        <f t="shared" ca="1" si="92"/>
        <v>0</v>
      </c>
      <c r="AO58" s="188">
        <f t="shared" ca="1" si="92"/>
        <v>0</v>
      </c>
      <c r="AP58" s="188">
        <f t="shared" ref="AP58:BG58" ca="1" si="93">IF(SUMPRODUCT($J51:$BG51,discount_rate_divider)=0,0,SUMPRODUCT($J37:$BG37,discount_rate_divider)/SUMPRODUCT($J51:$BG51,discount_rate_divider))*AP$16</f>
        <v>0</v>
      </c>
      <c r="AQ58" s="188">
        <f t="shared" ca="1" si="93"/>
        <v>0</v>
      </c>
      <c r="AR58" s="188">
        <f t="shared" ca="1" si="93"/>
        <v>0</v>
      </c>
      <c r="AS58" s="188">
        <f t="shared" ca="1" si="93"/>
        <v>0</v>
      </c>
      <c r="AT58" s="188">
        <f t="shared" ca="1" si="93"/>
        <v>0</v>
      </c>
      <c r="AU58" s="188">
        <f t="shared" ca="1" si="93"/>
        <v>0</v>
      </c>
      <c r="AV58" s="188">
        <f t="shared" ca="1" si="93"/>
        <v>0</v>
      </c>
      <c r="AW58" s="188">
        <f t="shared" ca="1" si="93"/>
        <v>0</v>
      </c>
      <c r="AX58" s="188">
        <f t="shared" ca="1" si="93"/>
        <v>0</v>
      </c>
      <c r="AY58" s="188">
        <f t="shared" ca="1" si="93"/>
        <v>0</v>
      </c>
      <c r="AZ58" s="188">
        <f t="shared" ca="1" si="93"/>
        <v>0</v>
      </c>
      <c r="BA58" s="188">
        <f t="shared" ca="1" si="93"/>
        <v>0</v>
      </c>
      <c r="BB58" s="188">
        <f t="shared" ca="1" si="93"/>
        <v>0</v>
      </c>
      <c r="BC58" s="188">
        <f t="shared" ca="1" si="93"/>
        <v>0</v>
      </c>
      <c r="BD58" s="188">
        <f t="shared" ca="1" si="93"/>
        <v>0</v>
      </c>
      <c r="BE58" s="188">
        <f t="shared" ca="1" si="93"/>
        <v>0</v>
      </c>
      <c r="BF58" s="188">
        <f t="shared" ca="1" si="93"/>
        <v>0</v>
      </c>
      <c r="BG58" s="188">
        <f t="shared" ca="1" si="93"/>
        <v>0</v>
      </c>
    </row>
    <row r="59" spans="1:158" ht="12.75" x14ac:dyDescent="0.2">
      <c r="B59" s="101"/>
      <c r="F59" s="92"/>
      <c r="G59" s="92"/>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row>
    <row r="60" spans="1:158" ht="18" x14ac:dyDescent="0.25">
      <c r="A60" s="86">
        <v>2</v>
      </c>
      <c r="B60" s="87" t="s">
        <v>159</v>
      </c>
      <c r="C60" s="88"/>
      <c r="D60" s="88"/>
      <c r="E60" s="88"/>
      <c r="F60" s="91"/>
      <c r="G60" s="91"/>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88"/>
      <c r="BC60" s="88"/>
      <c r="BD60" s="88"/>
      <c r="BE60" s="88"/>
      <c r="BF60" s="88"/>
      <c r="BG60" s="88"/>
      <c r="BH60" s="88"/>
      <c r="BI60" s="88"/>
      <c r="BJ60" s="88"/>
      <c r="BK60" s="88"/>
      <c r="BL60" s="88"/>
      <c r="BM60" s="88"/>
      <c r="BN60" s="88"/>
      <c r="BO60" s="88"/>
      <c r="BP60" s="88"/>
      <c r="BQ60" s="88"/>
      <c r="BR60" s="88"/>
      <c r="BS60" s="88"/>
      <c r="BT60" s="88"/>
      <c r="BU60" s="88"/>
      <c r="BV60" s="88"/>
      <c r="BW60" s="88"/>
      <c r="BX60" s="88"/>
      <c r="BY60" s="88"/>
      <c r="BZ60" s="88"/>
      <c r="CA60" s="88"/>
      <c r="CB60" s="88"/>
      <c r="CC60" s="88"/>
      <c r="CD60" s="88"/>
      <c r="CE60" s="88"/>
      <c r="CF60" s="88"/>
      <c r="CG60" s="88"/>
      <c r="CH60" s="88"/>
      <c r="CI60" s="88"/>
      <c r="CJ60" s="88"/>
      <c r="CK60" s="88"/>
      <c r="CL60" s="88"/>
      <c r="CM60" s="88"/>
      <c r="CN60" s="88"/>
      <c r="CO60" s="88"/>
      <c r="CP60" s="88"/>
      <c r="CQ60" s="88"/>
      <c r="CR60" s="88"/>
      <c r="CS60" s="88"/>
      <c r="CT60" s="88"/>
      <c r="CU60" s="88"/>
      <c r="CV60" s="88"/>
      <c r="CW60" s="88"/>
      <c r="CX60" s="88"/>
      <c r="CY60" s="88"/>
      <c r="CZ60" s="88"/>
      <c r="DA60" s="88"/>
      <c r="DB60" s="88"/>
      <c r="DC60" s="88"/>
      <c r="DE60" s="88"/>
      <c r="DF60" s="88"/>
      <c r="DG60" s="88"/>
      <c r="DH60" s="88"/>
      <c r="DI60" s="88"/>
      <c r="DJ60" s="88"/>
      <c r="DK60" s="88"/>
      <c r="DL60" s="88"/>
      <c r="DM60" s="88"/>
      <c r="DN60" s="88"/>
      <c r="DO60" s="88"/>
      <c r="DP60" s="88"/>
      <c r="DQ60" s="88"/>
      <c r="DR60" s="88"/>
      <c r="DS60" s="88"/>
      <c r="DT60" s="88"/>
      <c r="DU60" s="88"/>
      <c r="DV60" s="88"/>
      <c r="DW60" s="88"/>
      <c r="DX60" s="88"/>
      <c r="DY60" s="88"/>
      <c r="DZ60" s="88"/>
      <c r="EA60" s="88"/>
      <c r="EB60" s="88"/>
      <c r="EC60" s="88"/>
      <c r="ED60" s="88"/>
      <c r="EE60" s="88"/>
      <c r="EF60" s="88"/>
      <c r="EG60" s="88"/>
      <c r="EH60" s="88"/>
      <c r="EI60" s="88"/>
      <c r="EJ60" s="88"/>
      <c r="EK60" s="88"/>
      <c r="EL60" s="88"/>
      <c r="EM60" s="88"/>
      <c r="EN60" s="88"/>
      <c r="EO60" s="88"/>
      <c r="EP60" s="88"/>
      <c r="EQ60" s="88"/>
      <c r="ER60" s="88"/>
      <c r="ES60" s="88"/>
      <c r="ET60" s="88"/>
      <c r="EU60" s="88"/>
      <c r="EV60" s="88"/>
      <c r="EW60" s="88"/>
      <c r="EX60" s="88"/>
      <c r="EY60" s="88"/>
      <c r="EZ60" s="88"/>
      <c r="FA60" s="88"/>
      <c r="FB60" s="88"/>
    </row>
    <row r="61" spans="1:158" s="90" customFormat="1" ht="12" customHeight="1" x14ac:dyDescent="0.2">
      <c r="A61" s="89"/>
      <c r="B61" s="95"/>
    </row>
    <row r="62" spans="1:158" s="90" customFormat="1" ht="12.75" x14ac:dyDescent="0.2">
      <c r="A62" s="89"/>
      <c r="B62" s="93" t="s">
        <v>166</v>
      </c>
      <c r="F62" s="92" t="s">
        <v>210</v>
      </c>
      <c r="G62" s="92"/>
      <c r="BH62" s="43"/>
    </row>
    <row r="63" spans="1:158" s="90" customFormat="1" ht="12.75" x14ac:dyDescent="0.2">
      <c r="A63" s="89"/>
      <c r="B63" s="93"/>
      <c r="C63" s="90" t="s">
        <v>144</v>
      </c>
      <c r="F63" s="190">
        <f>opex_billing</f>
        <v>0.12</v>
      </c>
      <c r="G63" s="92" t="s">
        <v>142</v>
      </c>
      <c r="I63" s="43"/>
      <c r="J63" s="125">
        <f t="shared" ref="J63:N66" si="94">$O63*J$72</f>
        <v>2019610.3212077771</v>
      </c>
      <c r="K63" s="125">
        <f t="shared" si="94"/>
        <v>2096759.4354779143</v>
      </c>
      <c r="L63" s="125">
        <f t="shared" si="94"/>
        <v>2171613.747324476</v>
      </c>
      <c r="M63" s="125">
        <f t="shared" si="94"/>
        <v>2257826.8130932581</v>
      </c>
      <c r="N63" s="125">
        <f t="shared" si="94"/>
        <v>2349946.147067463</v>
      </c>
      <c r="O63" s="10">
        <f>O9*F63</f>
        <v>2400000</v>
      </c>
      <c r="P63" s="125">
        <f t="shared" ref="P63:Y66" si="95">$O63*P$72</f>
        <v>2480640</v>
      </c>
      <c r="Q63" s="125">
        <f t="shared" si="95"/>
        <v>2648579.3280000002</v>
      </c>
      <c r="R63" s="125">
        <f t="shared" si="95"/>
        <v>2769354.5453568003</v>
      </c>
      <c r="S63" s="125">
        <f t="shared" si="95"/>
        <v>2874590.0180803589</v>
      </c>
      <c r="T63" s="125">
        <f t="shared" si="95"/>
        <v>2979800.0127420998</v>
      </c>
      <c r="U63" s="125">
        <f t="shared" si="95"/>
        <v>3069194.013124363</v>
      </c>
      <c r="V63" s="125">
        <f t="shared" si="95"/>
        <v>3161269.8335180939</v>
      </c>
      <c r="W63" s="125">
        <f t="shared" si="95"/>
        <v>3256107.9285236369</v>
      </c>
      <c r="X63" s="125">
        <f t="shared" si="95"/>
        <v>3353791.166379346</v>
      </c>
      <c r="Y63" s="125">
        <f t="shared" si="95"/>
        <v>3454404.9013707265</v>
      </c>
      <c r="Z63" s="125">
        <f t="shared" ref="Z63:AI66" si="96">$O63*Z$72</f>
        <v>3558037.048411848</v>
      </c>
      <c r="AA63" s="125">
        <f t="shared" si="96"/>
        <v>3664778.1598642035</v>
      </c>
      <c r="AB63" s="125">
        <f t="shared" si="96"/>
        <v>3774721.5046601295</v>
      </c>
      <c r="AC63" s="125">
        <f t="shared" si="96"/>
        <v>3887963.1497999341</v>
      </c>
      <c r="AD63" s="125">
        <f t="shared" si="96"/>
        <v>4004602.0442939322</v>
      </c>
      <c r="AE63" s="125">
        <f t="shared" si="96"/>
        <v>4124740.1056227498</v>
      </c>
      <c r="AF63" s="125">
        <f t="shared" si="96"/>
        <v>4248482.3087914325</v>
      </c>
      <c r="AG63" s="125">
        <f t="shared" si="96"/>
        <v>4375936.7780551761</v>
      </c>
      <c r="AH63" s="125">
        <f t="shared" si="96"/>
        <v>4507214.881396831</v>
      </c>
      <c r="AI63" s="125">
        <f t="shared" si="96"/>
        <v>4642431.3278387366</v>
      </c>
      <c r="AJ63" s="125">
        <f t="shared" ref="AJ63:AS66" si="97">$O63*AJ$72</f>
        <v>4781704.2676738985</v>
      </c>
      <c r="AK63" s="125">
        <f t="shared" si="97"/>
        <v>4925155.3957041157</v>
      </c>
      <c r="AL63" s="125">
        <f t="shared" si="97"/>
        <v>5072910.0575752398</v>
      </c>
      <c r="AM63" s="125">
        <f t="shared" si="97"/>
        <v>5225097.3593024965</v>
      </c>
      <c r="AN63" s="125">
        <f t="shared" si="97"/>
        <v>5381850.2800815711</v>
      </c>
      <c r="AO63" s="125">
        <f t="shared" si="97"/>
        <v>5543305.7884840192</v>
      </c>
      <c r="AP63" s="125">
        <f t="shared" si="97"/>
        <v>5709604.9621385401</v>
      </c>
      <c r="AQ63" s="125">
        <f t="shared" si="97"/>
        <v>5880893.1110026957</v>
      </c>
      <c r="AR63" s="125">
        <f t="shared" si="97"/>
        <v>6057319.9043327766</v>
      </c>
      <c r="AS63" s="125">
        <f t="shared" si="97"/>
        <v>6239039.5014627604</v>
      </c>
      <c r="AT63" s="125">
        <f t="shared" ref="AT63:BG66" si="98">$O63*AT$72</f>
        <v>6426210.686506642</v>
      </c>
      <c r="AU63" s="125">
        <f t="shared" si="98"/>
        <v>6618997.0071018422</v>
      </c>
      <c r="AV63" s="125">
        <f t="shared" si="98"/>
        <v>6817566.9173148973</v>
      </c>
      <c r="AW63" s="125">
        <f t="shared" si="98"/>
        <v>7022093.9248343445</v>
      </c>
      <c r="AX63" s="125">
        <f t="shared" si="98"/>
        <v>7232756.7425793745</v>
      </c>
      <c r="AY63" s="125">
        <f t="shared" si="98"/>
        <v>7449739.4448567564</v>
      </c>
      <c r="AZ63" s="125">
        <f t="shared" si="98"/>
        <v>7673231.6282024588</v>
      </c>
      <c r="BA63" s="125">
        <f t="shared" si="98"/>
        <v>7903428.5770485327</v>
      </c>
      <c r="BB63" s="125">
        <f t="shared" si="98"/>
        <v>8140531.4343599891</v>
      </c>
      <c r="BC63" s="125">
        <f t="shared" si="98"/>
        <v>8384747.3773907889</v>
      </c>
      <c r="BD63" s="125">
        <f t="shared" si="98"/>
        <v>8636289.7987125125</v>
      </c>
      <c r="BE63" s="125">
        <f t="shared" si="98"/>
        <v>8895378.4926738888</v>
      </c>
      <c r="BF63" s="125">
        <f t="shared" si="98"/>
        <v>9162239.8474541046</v>
      </c>
      <c r="BG63" s="125">
        <f t="shared" si="98"/>
        <v>9437107.0428777281</v>
      </c>
      <c r="BH63" s="43"/>
    </row>
    <row r="64" spans="1:158" s="90" customFormat="1" ht="12.75" x14ac:dyDescent="0.2">
      <c r="A64" s="89"/>
      <c r="B64" s="93"/>
      <c r="C64" s="90" t="s">
        <v>162</v>
      </c>
      <c r="F64" s="190">
        <f>opex_CRM</f>
        <v>0.12</v>
      </c>
      <c r="G64" s="92" t="s">
        <v>142</v>
      </c>
      <c r="I64" s="43"/>
      <c r="J64" s="125">
        <f t="shared" si="94"/>
        <v>6058830.9636233309</v>
      </c>
      <c r="K64" s="125">
        <f t="shared" si="94"/>
        <v>6290278.3064337429</v>
      </c>
      <c r="L64" s="125">
        <f t="shared" si="94"/>
        <v>6514841.2419734281</v>
      </c>
      <c r="M64" s="125">
        <f t="shared" si="94"/>
        <v>6773480.4392797733</v>
      </c>
      <c r="N64" s="125">
        <f t="shared" si="94"/>
        <v>7049838.4412023881</v>
      </c>
      <c r="O64" s="10">
        <f>O10*F64</f>
        <v>7200000</v>
      </c>
      <c r="P64" s="125">
        <f t="shared" si="95"/>
        <v>7441920.0000000009</v>
      </c>
      <c r="Q64" s="125">
        <f t="shared" si="95"/>
        <v>7945737.9840000011</v>
      </c>
      <c r="R64" s="125">
        <f t="shared" si="95"/>
        <v>8308063.6360704005</v>
      </c>
      <c r="S64" s="125">
        <f t="shared" si="95"/>
        <v>8623770.0542410761</v>
      </c>
      <c r="T64" s="125">
        <f t="shared" si="95"/>
        <v>8939400.0382263009</v>
      </c>
      <c r="U64" s="125">
        <f t="shared" si="95"/>
        <v>9207582.0393730886</v>
      </c>
      <c r="V64" s="125">
        <f t="shared" si="95"/>
        <v>9483809.5005542822</v>
      </c>
      <c r="W64" s="125">
        <f t="shared" si="95"/>
        <v>9768323.7855709102</v>
      </c>
      <c r="X64" s="125">
        <f t="shared" si="95"/>
        <v>10061373.499138039</v>
      </c>
      <c r="Y64" s="125">
        <f t="shared" si="95"/>
        <v>10363214.70411218</v>
      </c>
      <c r="Z64" s="125">
        <f t="shared" si="96"/>
        <v>10674111.145235544</v>
      </c>
      <c r="AA64" s="125">
        <f t="shared" si="96"/>
        <v>10994334.47959261</v>
      </c>
      <c r="AB64" s="125">
        <f t="shared" si="96"/>
        <v>11324164.513980389</v>
      </c>
      <c r="AC64" s="125">
        <f t="shared" si="96"/>
        <v>11663889.449399801</v>
      </c>
      <c r="AD64" s="125">
        <f t="shared" si="96"/>
        <v>12013806.132881796</v>
      </c>
      <c r="AE64" s="125">
        <f t="shared" si="96"/>
        <v>12374220.316868249</v>
      </c>
      <c r="AF64" s="125">
        <f t="shared" si="96"/>
        <v>12745446.926374298</v>
      </c>
      <c r="AG64" s="125">
        <f t="shared" si="96"/>
        <v>13127810.334165528</v>
      </c>
      <c r="AH64" s="125">
        <f t="shared" si="96"/>
        <v>13521644.644190494</v>
      </c>
      <c r="AI64" s="125">
        <f t="shared" si="96"/>
        <v>13927293.983516209</v>
      </c>
      <c r="AJ64" s="125">
        <f t="shared" si="97"/>
        <v>14345112.803021695</v>
      </c>
      <c r="AK64" s="125">
        <f t="shared" si="97"/>
        <v>14775466.187112348</v>
      </c>
      <c r="AL64" s="125">
        <f t="shared" si="97"/>
        <v>15218730.172725718</v>
      </c>
      <c r="AM64" s="125">
        <f t="shared" si="97"/>
        <v>15675292.07790749</v>
      </c>
      <c r="AN64" s="125">
        <f t="shared" si="97"/>
        <v>16145550.840244714</v>
      </c>
      <c r="AO64" s="125">
        <f t="shared" si="97"/>
        <v>16629917.365452057</v>
      </c>
      <c r="AP64" s="125">
        <f t="shared" si="97"/>
        <v>17128814.886415619</v>
      </c>
      <c r="AQ64" s="125">
        <f t="shared" si="97"/>
        <v>17642679.333008088</v>
      </c>
      <c r="AR64" s="125">
        <f t="shared" si="97"/>
        <v>18171959.712998331</v>
      </c>
      <c r="AS64" s="125">
        <f t="shared" si="97"/>
        <v>18717118.50438828</v>
      </c>
      <c r="AT64" s="125">
        <f t="shared" si="98"/>
        <v>19278632.059519928</v>
      </c>
      <c r="AU64" s="125">
        <f t="shared" si="98"/>
        <v>19856991.021305528</v>
      </c>
      <c r="AV64" s="125">
        <f t="shared" si="98"/>
        <v>20452700.751944691</v>
      </c>
      <c r="AW64" s="125">
        <f t="shared" si="98"/>
        <v>21066281.774503034</v>
      </c>
      <c r="AX64" s="125">
        <f t="shared" si="98"/>
        <v>21698270.227738123</v>
      </c>
      <c r="AY64" s="125">
        <f t="shared" si="98"/>
        <v>22349218.33457027</v>
      </c>
      <c r="AZ64" s="125">
        <f t="shared" si="98"/>
        <v>23019694.884607375</v>
      </c>
      <c r="BA64" s="125">
        <f t="shared" si="98"/>
        <v>23710285.731145598</v>
      </c>
      <c r="BB64" s="125">
        <f t="shared" si="98"/>
        <v>24421594.303079966</v>
      </c>
      <c r="BC64" s="125">
        <f t="shared" si="98"/>
        <v>25154242.132172365</v>
      </c>
      <c r="BD64" s="125">
        <f t="shared" si="98"/>
        <v>25908869.396137539</v>
      </c>
      <c r="BE64" s="125">
        <f t="shared" si="98"/>
        <v>26686135.478021663</v>
      </c>
      <c r="BF64" s="125">
        <f t="shared" si="98"/>
        <v>27486719.542362317</v>
      </c>
      <c r="BG64" s="125">
        <f t="shared" si="98"/>
        <v>28311321.128633186</v>
      </c>
      <c r="BH64" s="43"/>
    </row>
    <row r="65" spans="1:60" s="90" customFormat="1" ht="12.75" x14ac:dyDescent="0.2">
      <c r="A65" s="89"/>
      <c r="B65" s="93"/>
      <c r="C65" s="90" t="s">
        <v>231</v>
      </c>
      <c r="D65" s="93"/>
      <c r="E65" s="93"/>
      <c r="F65" s="181"/>
      <c r="G65" s="92" t="s">
        <v>142</v>
      </c>
      <c r="I65" s="43"/>
      <c r="J65" s="125">
        <f t="shared" si="94"/>
        <v>187460.23001450585</v>
      </c>
      <c r="K65" s="125">
        <f t="shared" si="94"/>
        <v>194621.21080105999</v>
      </c>
      <c r="L65" s="125">
        <f t="shared" si="94"/>
        <v>201569.18802665785</v>
      </c>
      <c r="M65" s="125">
        <f t="shared" si="94"/>
        <v>209571.48479131621</v>
      </c>
      <c r="N65" s="125">
        <f t="shared" si="94"/>
        <v>218122.00137080191</v>
      </c>
      <c r="O65" s="169">
        <f>costo_anual_equipo_impresion</f>
        <v>222768</v>
      </c>
      <c r="P65" s="125">
        <f t="shared" si="95"/>
        <v>230253.00480000002</v>
      </c>
      <c r="Q65" s="125">
        <f t="shared" si="95"/>
        <v>245841.13322496004</v>
      </c>
      <c r="R65" s="125">
        <f t="shared" si="95"/>
        <v>257051.48890001822</v>
      </c>
      <c r="S65" s="125">
        <f t="shared" si="95"/>
        <v>266819.4454782189</v>
      </c>
      <c r="T65" s="125">
        <f t="shared" si="95"/>
        <v>276585.03718272172</v>
      </c>
      <c r="U65" s="125">
        <f t="shared" si="95"/>
        <v>284882.58829820337</v>
      </c>
      <c r="V65" s="125">
        <f t="shared" si="95"/>
        <v>293429.06594714947</v>
      </c>
      <c r="W65" s="125">
        <f t="shared" si="95"/>
        <v>302231.93792556395</v>
      </c>
      <c r="X65" s="125">
        <f t="shared" si="95"/>
        <v>311298.89606333087</v>
      </c>
      <c r="Y65" s="125">
        <f t="shared" si="95"/>
        <v>320637.86294523085</v>
      </c>
      <c r="Z65" s="125">
        <f t="shared" si="96"/>
        <v>330256.99883358774</v>
      </c>
      <c r="AA65" s="125">
        <f t="shared" si="96"/>
        <v>340164.70879859535</v>
      </c>
      <c r="AB65" s="125">
        <f t="shared" si="96"/>
        <v>350369.65006255324</v>
      </c>
      <c r="AC65" s="125">
        <f t="shared" si="96"/>
        <v>360880.73956442985</v>
      </c>
      <c r="AD65" s="125">
        <f t="shared" si="96"/>
        <v>371707.16175136279</v>
      </c>
      <c r="AE65" s="125">
        <f t="shared" si="96"/>
        <v>382858.37660390366</v>
      </c>
      <c r="AF65" s="125">
        <f t="shared" si="96"/>
        <v>394344.12790202076</v>
      </c>
      <c r="AG65" s="125">
        <f t="shared" si="96"/>
        <v>406174.45173908141</v>
      </c>
      <c r="AH65" s="125">
        <f t="shared" si="96"/>
        <v>418359.6852912539</v>
      </c>
      <c r="AI65" s="125">
        <f t="shared" si="96"/>
        <v>430910.47584999149</v>
      </c>
      <c r="AJ65" s="125">
        <f t="shared" si="97"/>
        <v>443837.79012549127</v>
      </c>
      <c r="AK65" s="125">
        <f t="shared" si="97"/>
        <v>457152.92382925603</v>
      </c>
      <c r="AL65" s="125">
        <f t="shared" si="97"/>
        <v>470867.51154413377</v>
      </c>
      <c r="AM65" s="125">
        <f t="shared" si="97"/>
        <v>484993.53689045773</v>
      </c>
      <c r="AN65" s="125">
        <f t="shared" si="97"/>
        <v>499543.34299717145</v>
      </c>
      <c r="AO65" s="125">
        <f t="shared" si="97"/>
        <v>514529.64328708663</v>
      </c>
      <c r="AP65" s="125">
        <f t="shared" si="97"/>
        <v>529965.53258569934</v>
      </c>
      <c r="AQ65" s="125">
        <f t="shared" si="97"/>
        <v>545864.4985632702</v>
      </c>
      <c r="AR65" s="125">
        <f t="shared" si="97"/>
        <v>562240.4335201683</v>
      </c>
      <c r="AS65" s="125">
        <f t="shared" si="97"/>
        <v>579107.64652577334</v>
      </c>
      <c r="AT65" s="125">
        <f t="shared" si="98"/>
        <v>596480.8759215466</v>
      </c>
      <c r="AU65" s="125">
        <f t="shared" si="98"/>
        <v>614375.30219919304</v>
      </c>
      <c r="AV65" s="125">
        <f t="shared" si="98"/>
        <v>632806.56126516871</v>
      </c>
      <c r="AW65" s="125">
        <f t="shared" si="98"/>
        <v>651790.75810312387</v>
      </c>
      <c r="AX65" s="125">
        <f t="shared" si="98"/>
        <v>671344.4808462176</v>
      </c>
      <c r="AY65" s="125">
        <f t="shared" si="98"/>
        <v>691484.81527160411</v>
      </c>
      <c r="AZ65" s="125">
        <f t="shared" si="98"/>
        <v>712229.35972975218</v>
      </c>
      <c r="BA65" s="125">
        <f t="shared" si="98"/>
        <v>733596.24052164482</v>
      </c>
      <c r="BB65" s="125">
        <f t="shared" si="98"/>
        <v>755604.12773729418</v>
      </c>
      <c r="BC65" s="125">
        <f t="shared" si="98"/>
        <v>778272.251569413</v>
      </c>
      <c r="BD65" s="125">
        <f t="shared" si="98"/>
        <v>801620.41911649541</v>
      </c>
      <c r="BE65" s="125">
        <f t="shared" si="98"/>
        <v>825669.03168999031</v>
      </c>
      <c r="BF65" s="125">
        <f t="shared" si="98"/>
        <v>850439.10264069005</v>
      </c>
      <c r="BG65" s="125">
        <f t="shared" si="98"/>
        <v>875952.27571991074</v>
      </c>
      <c r="BH65" s="43"/>
    </row>
    <row r="66" spans="1:60" s="90" customFormat="1" ht="12.75" x14ac:dyDescent="0.2">
      <c r="A66" s="89"/>
      <c r="B66" s="93"/>
      <c r="C66" s="90" t="s">
        <v>311</v>
      </c>
      <c r="D66" s="93"/>
      <c r="E66" s="93"/>
      <c r="F66" s="181"/>
      <c r="G66" s="92" t="s">
        <v>142</v>
      </c>
      <c r="I66" s="43"/>
      <c r="J66" s="125">
        <f t="shared" si="94"/>
        <v>49923.619151231564</v>
      </c>
      <c r="K66" s="125">
        <f t="shared" si="94"/>
        <v>51830.701402808612</v>
      </c>
      <c r="L66" s="125">
        <f t="shared" si="94"/>
        <v>53681.057442888887</v>
      </c>
      <c r="M66" s="125">
        <f t="shared" si="94"/>
        <v>55812.195423371581</v>
      </c>
      <c r="N66" s="125">
        <f t="shared" si="94"/>
        <v>58089.332996645142</v>
      </c>
      <c r="O66" s="169">
        <f>costo_anual_equipo_sobreteo</f>
        <v>59326.635789473687</v>
      </c>
      <c r="P66" s="125">
        <f t="shared" si="95"/>
        <v>61320.010752000009</v>
      </c>
      <c r="Q66" s="125">
        <f t="shared" si="95"/>
        <v>65471.375479910406</v>
      </c>
      <c r="R66" s="125">
        <f t="shared" si="95"/>
        <v>68456.870201794329</v>
      </c>
      <c r="S66" s="125">
        <f t="shared" si="95"/>
        <v>71058.231269462514</v>
      </c>
      <c r="T66" s="125">
        <f t="shared" si="95"/>
        <v>73658.962533924845</v>
      </c>
      <c r="U66" s="125">
        <f t="shared" si="95"/>
        <v>75868.731409942586</v>
      </c>
      <c r="V66" s="125">
        <f t="shared" si="95"/>
        <v>78144.793352240857</v>
      </c>
      <c r="W66" s="125">
        <f t="shared" si="95"/>
        <v>80489.137152808093</v>
      </c>
      <c r="X66" s="125">
        <f t="shared" si="95"/>
        <v>82903.811267392332</v>
      </c>
      <c r="Y66" s="125">
        <f t="shared" si="95"/>
        <v>85390.925605414101</v>
      </c>
      <c r="Z66" s="125">
        <f t="shared" si="96"/>
        <v>87952.653373576526</v>
      </c>
      <c r="AA66" s="125">
        <f t="shared" si="96"/>
        <v>90591.232974783823</v>
      </c>
      <c r="AB66" s="125">
        <f t="shared" si="96"/>
        <v>93308.969964027347</v>
      </c>
      <c r="AC66" s="125">
        <f t="shared" si="96"/>
        <v>96108.239062948167</v>
      </c>
      <c r="AD66" s="125">
        <f t="shared" si="96"/>
        <v>98991.486234836615</v>
      </c>
      <c r="AE66" s="125">
        <f t="shared" si="96"/>
        <v>101961.23082188171</v>
      </c>
      <c r="AF66" s="125">
        <f t="shared" si="96"/>
        <v>105020.06774653817</v>
      </c>
      <c r="AG66" s="125">
        <f t="shared" si="96"/>
        <v>108170.66977893432</v>
      </c>
      <c r="AH66" s="125">
        <f t="shared" si="96"/>
        <v>111415.78987230235</v>
      </c>
      <c r="AI66" s="125">
        <f t="shared" si="96"/>
        <v>114758.26356847142</v>
      </c>
      <c r="AJ66" s="125">
        <f t="shared" si="97"/>
        <v>118201.01147552558</v>
      </c>
      <c r="AK66" s="125">
        <f t="shared" si="97"/>
        <v>121747.04181979135</v>
      </c>
      <c r="AL66" s="125">
        <f t="shared" si="97"/>
        <v>125399.45307438511</v>
      </c>
      <c r="AM66" s="125">
        <f t="shared" si="97"/>
        <v>129161.43666661665</v>
      </c>
      <c r="AN66" s="125">
        <f t="shared" si="97"/>
        <v>133036.27976661513</v>
      </c>
      <c r="AO66" s="125">
        <f t="shared" si="97"/>
        <v>137027.3681596136</v>
      </c>
      <c r="AP66" s="125">
        <f t="shared" si="97"/>
        <v>141138.18920440204</v>
      </c>
      <c r="AQ66" s="125">
        <f t="shared" si="97"/>
        <v>145372.33488053409</v>
      </c>
      <c r="AR66" s="125">
        <f t="shared" si="97"/>
        <v>149733.50492695009</v>
      </c>
      <c r="AS66" s="125">
        <f t="shared" si="97"/>
        <v>154225.51007475861</v>
      </c>
      <c r="AT66" s="125">
        <f t="shared" si="98"/>
        <v>158852.27537700135</v>
      </c>
      <c r="AU66" s="125">
        <f t="shared" si="98"/>
        <v>163617.8436383114</v>
      </c>
      <c r="AV66" s="125">
        <f t="shared" si="98"/>
        <v>168526.37894746073</v>
      </c>
      <c r="AW66" s="125">
        <f t="shared" si="98"/>
        <v>173582.17031588455</v>
      </c>
      <c r="AX66" s="125">
        <f t="shared" si="98"/>
        <v>178789.63542536111</v>
      </c>
      <c r="AY66" s="125">
        <f t="shared" si="98"/>
        <v>184153.32448812193</v>
      </c>
      <c r="AZ66" s="125">
        <f t="shared" si="98"/>
        <v>189677.92422276561</v>
      </c>
      <c r="BA66" s="125">
        <f t="shared" si="98"/>
        <v>195368.26194944858</v>
      </c>
      <c r="BB66" s="125">
        <f t="shared" si="98"/>
        <v>201229.30980793203</v>
      </c>
      <c r="BC66" s="125">
        <f t="shared" si="98"/>
        <v>207266.18910217</v>
      </c>
      <c r="BD66" s="125">
        <f t="shared" si="98"/>
        <v>213484.17477523509</v>
      </c>
      <c r="BE66" s="125">
        <f t="shared" si="98"/>
        <v>219888.70001849215</v>
      </c>
      <c r="BF66" s="125">
        <f t="shared" si="98"/>
        <v>226485.36101904695</v>
      </c>
      <c r="BG66" s="125">
        <f t="shared" si="98"/>
        <v>233279.92184961835</v>
      </c>
      <c r="BH66" s="43"/>
    </row>
    <row r="67" spans="1:60" s="90" customFormat="1" ht="12.75" x14ac:dyDescent="0.2">
      <c r="A67" s="89"/>
      <c r="B67" s="93"/>
      <c r="C67" s="179" t="s">
        <v>255</v>
      </c>
      <c r="D67" s="93"/>
      <c r="E67" s="93"/>
      <c r="F67" s="181"/>
      <c r="G67" s="92" t="s">
        <v>142</v>
      </c>
      <c r="I67" s="43"/>
      <c r="J67" s="181"/>
      <c r="K67" s="181"/>
      <c r="L67" s="181"/>
      <c r="M67" s="181"/>
      <c r="N67" s="181"/>
      <c r="O67" s="184"/>
      <c r="P67" s="181"/>
      <c r="Q67" s="181"/>
      <c r="R67" s="181"/>
      <c r="S67" s="181"/>
      <c r="T67" s="181"/>
      <c r="U67" s="181"/>
      <c r="V67" s="181"/>
      <c r="W67" s="181"/>
      <c r="X67" s="181"/>
      <c r="Y67" s="181"/>
      <c r="Z67" s="181"/>
      <c r="AA67" s="181"/>
      <c r="AB67" s="181"/>
      <c r="AC67" s="181"/>
      <c r="AD67" s="181"/>
      <c r="AE67" s="181"/>
      <c r="AF67" s="181"/>
      <c r="AG67" s="181"/>
      <c r="AH67" s="181"/>
      <c r="AI67" s="181"/>
      <c r="AJ67" s="181"/>
      <c r="AK67" s="181"/>
      <c r="AL67" s="181"/>
      <c r="AM67" s="181"/>
      <c r="AN67" s="181"/>
      <c r="AO67" s="181"/>
      <c r="AP67" s="181"/>
      <c r="AQ67" s="181"/>
      <c r="AR67" s="181"/>
      <c r="AS67" s="181"/>
      <c r="AT67" s="181"/>
      <c r="AU67" s="181"/>
      <c r="AV67" s="181"/>
      <c r="AW67" s="181"/>
      <c r="AX67" s="181"/>
      <c r="AY67" s="181"/>
      <c r="AZ67" s="181"/>
      <c r="BA67" s="181"/>
      <c r="BB67" s="181"/>
      <c r="BC67" s="181"/>
      <c r="BD67" s="181"/>
      <c r="BE67" s="181"/>
      <c r="BF67" s="181"/>
      <c r="BG67" s="181"/>
      <c r="BH67" s="43"/>
    </row>
    <row r="68" spans="1:60" s="90" customFormat="1" ht="12.75" x14ac:dyDescent="0.2">
      <c r="A68" s="89"/>
      <c r="B68" s="93"/>
      <c r="C68" s="179" t="s">
        <v>256</v>
      </c>
      <c r="D68" s="93"/>
      <c r="E68" s="93"/>
      <c r="F68" s="181"/>
      <c r="G68" s="92" t="s">
        <v>142</v>
      </c>
      <c r="I68" s="43"/>
      <c r="J68" s="181"/>
      <c r="K68" s="181"/>
      <c r="L68" s="181"/>
      <c r="M68" s="181"/>
      <c r="N68" s="181"/>
      <c r="O68" s="184"/>
      <c r="P68" s="181"/>
      <c r="Q68" s="181"/>
      <c r="R68" s="181"/>
      <c r="S68" s="181"/>
      <c r="T68" s="181"/>
      <c r="U68" s="181"/>
      <c r="V68" s="181"/>
      <c r="W68" s="181"/>
      <c r="X68" s="181"/>
      <c r="Y68" s="181"/>
      <c r="Z68" s="181"/>
      <c r="AA68" s="181"/>
      <c r="AB68" s="181"/>
      <c r="AC68" s="181"/>
      <c r="AD68" s="181"/>
      <c r="AE68" s="181"/>
      <c r="AF68" s="181"/>
      <c r="AG68" s="181"/>
      <c r="AH68" s="181"/>
      <c r="AI68" s="181"/>
      <c r="AJ68" s="181"/>
      <c r="AK68" s="181"/>
      <c r="AL68" s="181"/>
      <c r="AM68" s="181"/>
      <c r="AN68" s="181"/>
      <c r="AO68" s="181"/>
      <c r="AP68" s="181"/>
      <c r="AQ68" s="181"/>
      <c r="AR68" s="181"/>
      <c r="AS68" s="181"/>
      <c r="AT68" s="181"/>
      <c r="AU68" s="181"/>
      <c r="AV68" s="181"/>
      <c r="AW68" s="181"/>
      <c r="AX68" s="181"/>
      <c r="AY68" s="181"/>
      <c r="AZ68" s="181"/>
      <c r="BA68" s="181"/>
      <c r="BB68" s="181"/>
      <c r="BC68" s="181"/>
      <c r="BD68" s="181"/>
      <c r="BE68" s="181"/>
      <c r="BF68" s="181"/>
      <c r="BG68" s="181"/>
      <c r="BH68" s="43"/>
    </row>
    <row r="69" spans="1:60" s="90" customFormat="1" ht="12.75" x14ac:dyDescent="0.2">
      <c r="A69" s="89"/>
      <c r="B69" s="93"/>
      <c r="C69" s="90" t="s">
        <v>246</v>
      </c>
      <c r="D69" s="93"/>
      <c r="E69" s="93"/>
      <c r="F69" s="181"/>
      <c r="G69" s="92" t="s">
        <v>142</v>
      </c>
      <c r="I69" s="43"/>
      <c r="J69" s="125">
        <f t="shared" ref="J69:M69" si="99">$O69*J$72</f>
        <v>302941.54818116658</v>
      </c>
      <c r="K69" s="125">
        <f t="shared" si="99"/>
        <v>314513.91532168712</v>
      </c>
      <c r="L69" s="125">
        <f t="shared" si="99"/>
        <v>325742.06209867139</v>
      </c>
      <c r="M69" s="125">
        <f t="shared" si="99"/>
        <v>338674.02196398866</v>
      </c>
      <c r="N69" s="125">
        <f>$O69*N$72</f>
        <v>352491.92206011945</v>
      </c>
      <c r="O69" s="12">
        <f>costo_por_FTE</f>
        <v>360000</v>
      </c>
      <c r="P69" s="125">
        <f>$O69*P$72</f>
        <v>372096</v>
      </c>
      <c r="Q69" s="125">
        <f t="shared" ref="Q69:BG69" si="100">$O69*Q$72</f>
        <v>397286.89920000004</v>
      </c>
      <c r="R69" s="125">
        <f t="shared" si="100"/>
        <v>415403.18180352007</v>
      </c>
      <c r="S69" s="125">
        <f t="shared" si="100"/>
        <v>431188.50271205383</v>
      </c>
      <c r="T69" s="125">
        <f t="shared" si="100"/>
        <v>446970.00191131502</v>
      </c>
      <c r="U69" s="125">
        <f t="shared" si="100"/>
        <v>460379.10196865443</v>
      </c>
      <c r="V69" s="125">
        <f t="shared" si="100"/>
        <v>474190.4750277141</v>
      </c>
      <c r="W69" s="125">
        <f t="shared" si="100"/>
        <v>488416.1892785455</v>
      </c>
      <c r="X69" s="125">
        <f t="shared" si="100"/>
        <v>503068.67495690193</v>
      </c>
      <c r="Y69" s="125">
        <f t="shared" si="100"/>
        <v>518160.73520560894</v>
      </c>
      <c r="Z69" s="125">
        <f t="shared" si="100"/>
        <v>533705.55726177723</v>
      </c>
      <c r="AA69" s="125">
        <f t="shared" si="100"/>
        <v>549716.72397963051</v>
      </c>
      <c r="AB69" s="125">
        <f t="shared" si="100"/>
        <v>566208.2256990195</v>
      </c>
      <c r="AC69" s="125">
        <f t="shared" si="100"/>
        <v>583194.47246999014</v>
      </c>
      <c r="AD69" s="125">
        <f t="shared" si="100"/>
        <v>600690.30664408975</v>
      </c>
      <c r="AE69" s="125">
        <f t="shared" si="100"/>
        <v>618711.01584341249</v>
      </c>
      <c r="AF69" s="125">
        <f t="shared" si="100"/>
        <v>637272.3463187149</v>
      </c>
      <c r="AG69" s="125">
        <f t="shared" si="100"/>
        <v>656390.51670827635</v>
      </c>
      <c r="AH69" s="125">
        <f t="shared" si="100"/>
        <v>676082.23220952472</v>
      </c>
      <c r="AI69" s="125">
        <f t="shared" si="100"/>
        <v>696364.69917581044</v>
      </c>
      <c r="AJ69" s="125">
        <f t="shared" si="100"/>
        <v>717255.64015108475</v>
      </c>
      <c r="AK69" s="125">
        <f t="shared" si="100"/>
        <v>738773.30935561738</v>
      </c>
      <c r="AL69" s="125">
        <f t="shared" si="100"/>
        <v>760936.50863628602</v>
      </c>
      <c r="AM69" s="125">
        <f t="shared" si="100"/>
        <v>783764.60389537446</v>
      </c>
      <c r="AN69" s="125">
        <f t="shared" si="100"/>
        <v>807277.54201223573</v>
      </c>
      <c r="AO69" s="125">
        <f t="shared" si="100"/>
        <v>831495.86827260279</v>
      </c>
      <c r="AP69" s="125">
        <f t="shared" si="100"/>
        <v>856440.74432078097</v>
      </c>
      <c r="AQ69" s="125">
        <f t="shared" si="100"/>
        <v>882133.96665040439</v>
      </c>
      <c r="AR69" s="125">
        <f t="shared" si="100"/>
        <v>908597.98564991658</v>
      </c>
      <c r="AS69" s="125">
        <f t="shared" si="100"/>
        <v>935855.92521941406</v>
      </c>
      <c r="AT69" s="125">
        <f t="shared" si="100"/>
        <v>963931.60297599633</v>
      </c>
      <c r="AU69" s="125">
        <f t="shared" si="100"/>
        <v>992849.55106527638</v>
      </c>
      <c r="AV69" s="125">
        <f t="shared" si="100"/>
        <v>1022635.0375972346</v>
      </c>
      <c r="AW69" s="125">
        <f t="shared" si="100"/>
        <v>1053314.0887251517</v>
      </c>
      <c r="AX69" s="125">
        <f t="shared" si="100"/>
        <v>1084913.5113869063</v>
      </c>
      <c r="AY69" s="125">
        <f t="shared" si="100"/>
        <v>1117460.9167285133</v>
      </c>
      <c r="AZ69" s="125">
        <f t="shared" si="100"/>
        <v>1150984.7442303689</v>
      </c>
      <c r="BA69" s="125">
        <f t="shared" si="100"/>
        <v>1185514.28655728</v>
      </c>
      <c r="BB69" s="125">
        <f t="shared" si="100"/>
        <v>1221079.7151539985</v>
      </c>
      <c r="BC69" s="125">
        <f t="shared" si="100"/>
        <v>1257712.1066086183</v>
      </c>
      <c r="BD69" s="125">
        <f t="shared" si="100"/>
        <v>1295443.469806877</v>
      </c>
      <c r="BE69" s="125">
        <f t="shared" si="100"/>
        <v>1334306.7739010833</v>
      </c>
      <c r="BF69" s="125">
        <f t="shared" si="100"/>
        <v>1374335.9771181159</v>
      </c>
      <c r="BG69" s="125">
        <f t="shared" si="100"/>
        <v>1415566.0564316593</v>
      </c>
      <c r="BH69" s="43"/>
    </row>
    <row r="70" spans="1:60" s="90" customFormat="1" ht="12.75" x14ac:dyDescent="0.2">
      <c r="A70" s="89"/>
      <c r="B70" s="93"/>
      <c r="C70" s="90" t="s">
        <v>177</v>
      </c>
      <c r="G70" s="92"/>
      <c r="I70" s="43"/>
      <c r="J70" s="125">
        <f t="shared" ref="J70:N70" si="101">$O70*J$72</f>
        <v>403922.0642415554</v>
      </c>
      <c r="K70" s="125">
        <f t="shared" si="101"/>
        <v>419351.88709558285</v>
      </c>
      <c r="L70" s="125">
        <f t="shared" si="101"/>
        <v>434322.74946489517</v>
      </c>
      <c r="M70" s="125">
        <f t="shared" si="101"/>
        <v>451565.36261865159</v>
      </c>
      <c r="N70" s="125">
        <f t="shared" si="101"/>
        <v>469989.22941349255</v>
      </c>
      <c r="O70" s="116">
        <f>costo_tienda_telmex*tiempo_cobranza*months.per.year</f>
        <v>480000</v>
      </c>
      <c r="P70" s="125">
        <f>$O70*P$72</f>
        <v>496128.00000000006</v>
      </c>
      <c r="Q70" s="125">
        <f t="shared" ref="Q70:BG70" si="102">$O70*Q$72</f>
        <v>529715.86560000002</v>
      </c>
      <c r="R70" s="125">
        <f t="shared" si="102"/>
        <v>553870.90907136002</v>
      </c>
      <c r="S70" s="125">
        <f t="shared" si="102"/>
        <v>574918.00361607177</v>
      </c>
      <c r="T70" s="125">
        <f t="shared" si="102"/>
        <v>595960.00254841999</v>
      </c>
      <c r="U70" s="125">
        <f t="shared" si="102"/>
        <v>613838.80262487265</v>
      </c>
      <c r="V70" s="125">
        <f t="shared" si="102"/>
        <v>632253.96670361876</v>
      </c>
      <c r="W70" s="125">
        <f t="shared" si="102"/>
        <v>651221.58570472733</v>
      </c>
      <c r="X70" s="125">
        <f t="shared" si="102"/>
        <v>670758.23327586916</v>
      </c>
      <c r="Y70" s="125">
        <f t="shared" si="102"/>
        <v>690880.98027414526</v>
      </c>
      <c r="Z70" s="125">
        <f t="shared" si="102"/>
        <v>711607.40968236956</v>
      </c>
      <c r="AA70" s="125">
        <f t="shared" si="102"/>
        <v>732955.63197284064</v>
      </c>
      <c r="AB70" s="125">
        <f t="shared" si="102"/>
        <v>754944.300932026</v>
      </c>
      <c r="AC70" s="125">
        <f t="shared" si="102"/>
        <v>777592.62995998678</v>
      </c>
      <c r="AD70" s="125">
        <f t="shared" si="102"/>
        <v>800920.40885878634</v>
      </c>
      <c r="AE70" s="125">
        <f t="shared" si="102"/>
        <v>824948.02112455002</v>
      </c>
      <c r="AF70" s="125">
        <f t="shared" si="102"/>
        <v>849696.46175828658</v>
      </c>
      <c r="AG70" s="125">
        <f t="shared" si="102"/>
        <v>875187.35561103513</v>
      </c>
      <c r="AH70" s="125">
        <f t="shared" si="102"/>
        <v>901442.9762793663</v>
      </c>
      <c r="AI70" s="125">
        <f t="shared" si="102"/>
        <v>928486.26556774729</v>
      </c>
      <c r="AJ70" s="125">
        <f t="shared" si="102"/>
        <v>956340.85353477974</v>
      </c>
      <c r="AK70" s="125">
        <f t="shared" si="102"/>
        <v>985031.07914082322</v>
      </c>
      <c r="AL70" s="125">
        <f t="shared" si="102"/>
        <v>1014582.011515048</v>
      </c>
      <c r="AM70" s="125">
        <f t="shared" si="102"/>
        <v>1045019.4718604994</v>
      </c>
      <c r="AN70" s="125">
        <f t="shared" si="102"/>
        <v>1076370.0560163143</v>
      </c>
      <c r="AO70" s="125">
        <f t="shared" si="102"/>
        <v>1108661.1576968038</v>
      </c>
      <c r="AP70" s="125">
        <f t="shared" si="102"/>
        <v>1141920.9924277081</v>
      </c>
      <c r="AQ70" s="125">
        <f t="shared" si="102"/>
        <v>1176178.6222005393</v>
      </c>
      <c r="AR70" s="125">
        <f t="shared" si="102"/>
        <v>1211463.9808665554</v>
      </c>
      <c r="AS70" s="125">
        <f t="shared" si="102"/>
        <v>1247807.9002925521</v>
      </c>
      <c r="AT70" s="125">
        <f t="shared" si="102"/>
        <v>1285242.1373013286</v>
      </c>
      <c r="AU70" s="125">
        <f t="shared" si="102"/>
        <v>1323799.4014203683</v>
      </c>
      <c r="AV70" s="125">
        <f t="shared" si="102"/>
        <v>1363513.3834629795</v>
      </c>
      <c r="AW70" s="125">
        <f t="shared" si="102"/>
        <v>1404418.7849668688</v>
      </c>
      <c r="AX70" s="125">
        <f t="shared" si="102"/>
        <v>1446551.3485158749</v>
      </c>
      <c r="AY70" s="125">
        <f t="shared" si="102"/>
        <v>1489947.8889713513</v>
      </c>
      <c r="AZ70" s="125">
        <f t="shared" si="102"/>
        <v>1534646.3256404917</v>
      </c>
      <c r="BA70" s="125">
        <f t="shared" si="102"/>
        <v>1580685.7154097066</v>
      </c>
      <c r="BB70" s="125">
        <f t="shared" si="102"/>
        <v>1628106.2868719979</v>
      </c>
      <c r="BC70" s="125">
        <f t="shared" si="102"/>
        <v>1676949.4754781576</v>
      </c>
      <c r="BD70" s="125">
        <f t="shared" si="102"/>
        <v>1727257.9597425025</v>
      </c>
      <c r="BE70" s="125">
        <f t="shared" si="102"/>
        <v>1779075.6985347776</v>
      </c>
      <c r="BF70" s="125">
        <f t="shared" si="102"/>
        <v>1832447.969490821</v>
      </c>
      <c r="BG70" s="125">
        <f t="shared" si="102"/>
        <v>1887421.4085755458</v>
      </c>
      <c r="BH70" s="43"/>
    </row>
    <row r="71" spans="1:60" s="90" customFormat="1" x14ac:dyDescent="0.2">
      <c r="B71" s="110" t="s">
        <v>160</v>
      </c>
      <c r="I71" s="43"/>
      <c r="J71" s="140">
        <v>4.3999999999999997E-2</v>
      </c>
      <c r="K71" s="140">
        <v>3.8199999999999998E-2</v>
      </c>
      <c r="L71" s="140">
        <v>3.5700000000000003E-2</v>
      </c>
      <c r="M71" s="140">
        <v>3.9699999999999999E-2</v>
      </c>
      <c r="N71" s="140">
        <v>4.0800000000000003E-2</v>
      </c>
      <c r="O71" s="140">
        <v>2.1299999999999999E-2</v>
      </c>
      <c r="P71" s="140">
        <v>3.3599999999999998E-2</v>
      </c>
      <c r="Q71" s="191">
        <v>6.7699999999999996E-2</v>
      </c>
      <c r="R71" s="191">
        <v>4.5600000000000002E-2</v>
      </c>
      <c r="S71" s="191">
        <v>3.7999999999999999E-2</v>
      </c>
      <c r="T71" s="191">
        <v>3.6600000000000001E-2</v>
      </c>
      <c r="U71" s="133">
        <v>0.03</v>
      </c>
      <c r="V71" s="108">
        <f t="shared" ref="V71:BG71" si="103">U71</f>
        <v>0.03</v>
      </c>
      <c r="W71" s="108">
        <f t="shared" si="103"/>
        <v>0.03</v>
      </c>
      <c r="X71" s="108">
        <f t="shared" si="103"/>
        <v>0.03</v>
      </c>
      <c r="Y71" s="108">
        <f t="shared" si="103"/>
        <v>0.03</v>
      </c>
      <c r="Z71" s="108">
        <f t="shared" si="103"/>
        <v>0.03</v>
      </c>
      <c r="AA71" s="108">
        <f t="shared" si="103"/>
        <v>0.03</v>
      </c>
      <c r="AB71" s="108">
        <f t="shared" si="103"/>
        <v>0.03</v>
      </c>
      <c r="AC71" s="108">
        <f t="shared" si="103"/>
        <v>0.03</v>
      </c>
      <c r="AD71" s="108">
        <f t="shared" si="103"/>
        <v>0.03</v>
      </c>
      <c r="AE71" s="108">
        <f t="shared" si="103"/>
        <v>0.03</v>
      </c>
      <c r="AF71" s="108">
        <f t="shared" si="103"/>
        <v>0.03</v>
      </c>
      <c r="AG71" s="108">
        <f t="shared" si="103"/>
        <v>0.03</v>
      </c>
      <c r="AH71" s="108">
        <f t="shared" si="103"/>
        <v>0.03</v>
      </c>
      <c r="AI71" s="108">
        <f t="shared" si="103"/>
        <v>0.03</v>
      </c>
      <c r="AJ71" s="108">
        <f t="shared" si="103"/>
        <v>0.03</v>
      </c>
      <c r="AK71" s="108">
        <f t="shared" si="103"/>
        <v>0.03</v>
      </c>
      <c r="AL71" s="108">
        <f t="shared" si="103"/>
        <v>0.03</v>
      </c>
      <c r="AM71" s="108">
        <f t="shared" si="103"/>
        <v>0.03</v>
      </c>
      <c r="AN71" s="108">
        <f t="shared" si="103"/>
        <v>0.03</v>
      </c>
      <c r="AO71" s="108">
        <f t="shared" si="103"/>
        <v>0.03</v>
      </c>
      <c r="AP71" s="108">
        <f t="shared" si="103"/>
        <v>0.03</v>
      </c>
      <c r="AQ71" s="108">
        <f t="shared" si="103"/>
        <v>0.03</v>
      </c>
      <c r="AR71" s="108">
        <f t="shared" si="103"/>
        <v>0.03</v>
      </c>
      <c r="AS71" s="108">
        <f t="shared" si="103"/>
        <v>0.03</v>
      </c>
      <c r="AT71" s="108">
        <f t="shared" si="103"/>
        <v>0.03</v>
      </c>
      <c r="AU71" s="108">
        <f t="shared" si="103"/>
        <v>0.03</v>
      </c>
      <c r="AV71" s="108">
        <f t="shared" si="103"/>
        <v>0.03</v>
      </c>
      <c r="AW71" s="108">
        <f t="shared" si="103"/>
        <v>0.03</v>
      </c>
      <c r="AX71" s="108">
        <f t="shared" si="103"/>
        <v>0.03</v>
      </c>
      <c r="AY71" s="108">
        <f t="shared" si="103"/>
        <v>0.03</v>
      </c>
      <c r="AZ71" s="108">
        <f t="shared" si="103"/>
        <v>0.03</v>
      </c>
      <c r="BA71" s="108">
        <f t="shared" si="103"/>
        <v>0.03</v>
      </c>
      <c r="BB71" s="108">
        <f t="shared" si="103"/>
        <v>0.03</v>
      </c>
      <c r="BC71" s="108">
        <f t="shared" si="103"/>
        <v>0.03</v>
      </c>
      <c r="BD71" s="108">
        <f t="shared" si="103"/>
        <v>0.03</v>
      </c>
      <c r="BE71" s="108">
        <f t="shared" si="103"/>
        <v>0.03</v>
      </c>
      <c r="BF71" s="108">
        <f t="shared" si="103"/>
        <v>0.03</v>
      </c>
      <c r="BG71" s="108">
        <f t="shared" si="103"/>
        <v>0.03</v>
      </c>
    </row>
    <row r="72" spans="1:60" s="90" customFormat="1" x14ac:dyDescent="0.2">
      <c r="B72" s="110"/>
      <c r="C72" s="90" t="s">
        <v>174</v>
      </c>
      <c r="I72" s="43"/>
      <c r="J72" s="175">
        <f>K72/(1+K71)</f>
        <v>0.84150430050324043</v>
      </c>
      <c r="K72" s="175">
        <f>L72/(1+L71)</f>
        <v>0.87364976478246426</v>
      </c>
      <c r="L72" s="175">
        <f>M72/(1+M71)</f>
        <v>0.90483906138519832</v>
      </c>
      <c r="M72" s="175">
        <f>N72/(1+N71)</f>
        <v>0.94076117212219079</v>
      </c>
      <c r="N72" s="175">
        <f>O72/(1+O71)</f>
        <v>0.97914422794477618</v>
      </c>
      <c r="O72" s="117">
        <v>1</v>
      </c>
      <c r="P72" s="124">
        <f t="shared" ref="P72" si="104">O72*(1+P71)</f>
        <v>1.0336000000000001</v>
      </c>
      <c r="Q72" s="124">
        <f t="shared" ref="Q72" si="105">P72*(1+Q71)</f>
        <v>1.1035747200000001</v>
      </c>
      <c r="R72" s="124">
        <f t="shared" ref="R72" si="106">Q72*(1+R71)</f>
        <v>1.1538977272320001</v>
      </c>
      <c r="S72" s="124">
        <f t="shared" ref="S72" si="107">R72*(1+S71)</f>
        <v>1.1977458408668162</v>
      </c>
      <c r="T72" s="124">
        <f t="shared" ref="T72" si="108">S72*(1+T71)</f>
        <v>1.2415833386425417</v>
      </c>
      <c r="U72" s="124">
        <f t="shared" ref="U72" si="109">T72*(1+U71)</f>
        <v>1.2788308388018179</v>
      </c>
      <c r="V72" s="124">
        <f t="shared" ref="V72" si="110">U72*(1+V71)</f>
        <v>1.3171957639658725</v>
      </c>
      <c r="W72" s="124">
        <f t="shared" ref="W72" si="111">V72*(1+W71)</f>
        <v>1.3567116368848486</v>
      </c>
      <c r="X72" s="124">
        <f t="shared" ref="X72" si="112">W72*(1+X71)</f>
        <v>1.3974129859913942</v>
      </c>
      <c r="Y72" s="124">
        <f t="shared" ref="Y72" si="113">X72*(1+Y71)</f>
        <v>1.439335375571136</v>
      </c>
      <c r="Z72" s="124">
        <f t="shared" ref="Z72" si="114">Y72*(1+Z71)</f>
        <v>1.48251543683827</v>
      </c>
      <c r="AA72" s="124">
        <f t="shared" ref="AA72" si="115">Z72*(1+AA71)</f>
        <v>1.5269908999434181</v>
      </c>
      <c r="AB72" s="124">
        <f t="shared" ref="AB72" si="116">AA72*(1+AB71)</f>
        <v>1.5728006269417207</v>
      </c>
      <c r="AC72" s="124">
        <f t="shared" ref="AC72" si="117">AB72*(1+AC71)</f>
        <v>1.6199846457499725</v>
      </c>
      <c r="AD72" s="124">
        <f t="shared" ref="AD72" si="118">AC72*(1+AD71)</f>
        <v>1.6685841851224716</v>
      </c>
      <c r="AE72" s="124">
        <f t="shared" ref="AE72" si="119">AD72*(1+AE71)</f>
        <v>1.7186417106761458</v>
      </c>
      <c r="AF72" s="124">
        <f t="shared" ref="AF72" si="120">AE72*(1+AF71)</f>
        <v>1.7702009619964303</v>
      </c>
      <c r="AG72" s="124">
        <f t="shared" ref="AG72" si="121">AF72*(1+AG71)</f>
        <v>1.8233069908563233</v>
      </c>
      <c r="AH72" s="124">
        <f t="shared" ref="AH72" si="122">AG72*(1+AH71)</f>
        <v>1.8780062005820131</v>
      </c>
      <c r="AI72" s="124">
        <f t="shared" ref="AI72" si="123">AH72*(1+AI71)</f>
        <v>1.9343463865994734</v>
      </c>
      <c r="AJ72" s="124">
        <f t="shared" ref="AJ72" si="124">AI72*(1+AJ71)</f>
        <v>1.9923767781974577</v>
      </c>
      <c r="AK72" s="124">
        <f t="shared" ref="AK72" si="125">AJ72*(1+AK71)</f>
        <v>2.0521480815433817</v>
      </c>
      <c r="AL72" s="124">
        <f t="shared" ref="AL72" si="126">AK72*(1+AL71)</f>
        <v>2.1137125239896832</v>
      </c>
      <c r="AM72" s="124">
        <f t="shared" ref="AM72" si="127">AL72*(1+AM71)</f>
        <v>2.1771238997093736</v>
      </c>
      <c r="AN72" s="124">
        <f t="shared" ref="AN72" si="128">AM72*(1+AN71)</f>
        <v>2.2424376167006548</v>
      </c>
      <c r="AO72" s="124">
        <f t="shared" ref="AO72" si="129">AN72*(1+AO71)</f>
        <v>2.3097107452016745</v>
      </c>
      <c r="AP72" s="124">
        <f t="shared" ref="AP72" si="130">AO72*(1+AP71)</f>
        <v>2.379002067557725</v>
      </c>
      <c r="AQ72" s="124">
        <f t="shared" ref="AQ72" si="131">AP72*(1+AQ71)</f>
        <v>2.4503721295844567</v>
      </c>
      <c r="AR72" s="124">
        <f t="shared" ref="AR72" si="132">AQ72*(1+AR71)</f>
        <v>2.5238832934719904</v>
      </c>
      <c r="AS72" s="124">
        <f t="shared" ref="AS72" si="133">AR72*(1+AS71)</f>
        <v>2.59959979227615</v>
      </c>
      <c r="AT72" s="124">
        <f t="shared" ref="AT72" si="134">AS72*(1+AT71)</f>
        <v>2.6775877860444344</v>
      </c>
      <c r="AU72" s="124">
        <f t="shared" ref="AU72" si="135">AT72*(1+AU71)</f>
        <v>2.7579154196257676</v>
      </c>
      <c r="AV72" s="124">
        <f t="shared" ref="AV72" si="136">AU72*(1+AV71)</f>
        <v>2.8406528822145405</v>
      </c>
      <c r="AW72" s="124">
        <f t="shared" ref="AW72" si="137">AV72*(1+AW71)</f>
        <v>2.9258724686809767</v>
      </c>
      <c r="AX72" s="124">
        <f t="shared" ref="AX72" si="138">AW72*(1+AX71)</f>
        <v>3.0136486427414062</v>
      </c>
      <c r="AY72" s="124">
        <f t="shared" ref="AY72" si="139">AX72*(1+AY71)</f>
        <v>3.1040581020236484</v>
      </c>
      <c r="AZ72" s="124">
        <f t="shared" ref="AZ72" si="140">AY72*(1+AZ71)</f>
        <v>3.1971798450843578</v>
      </c>
      <c r="BA72" s="124">
        <f t="shared" ref="BA72" si="141">AZ72*(1+BA71)</f>
        <v>3.2930952404368887</v>
      </c>
      <c r="BB72" s="124">
        <f t="shared" ref="BB72" si="142">BA72*(1+BB71)</f>
        <v>3.3918880976499954</v>
      </c>
      <c r="BC72" s="124">
        <f t="shared" ref="BC72" si="143">BB72*(1+BC71)</f>
        <v>3.4936447405794953</v>
      </c>
      <c r="BD72" s="124">
        <f t="shared" ref="BD72" si="144">BC72*(1+BD71)</f>
        <v>3.5984540827968803</v>
      </c>
      <c r="BE72" s="124">
        <f t="shared" ref="BE72" si="145">BD72*(1+BE71)</f>
        <v>3.7064077052807867</v>
      </c>
      <c r="BF72" s="124">
        <f t="shared" ref="BF72" si="146">BE72*(1+BF71)</f>
        <v>3.8175999364392106</v>
      </c>
      <c r="BG72" s="124">
        <f t="shared" ref="BG72" si="147">BF72*(1+BG71)</f>
        <v>3.932127934532387</v>
      </c>
    </row>
    <row r="73" spans="1:60" ht="12.75" x14ac:dyDescent="0.2">
      <c r="B73" s="101" t="s">
        <v>167</v>
      </c>
      <c r="F73" s="92"/>
      <c r="G73" s="92"/>
      <c r="I73" s="43"/>
      <c r="J73" s="43"/>
      <c r="K73" s="43"/>
      <c r="L73" s="43"/>
      <c r="M73" s="43"/>
      <c r="N73" s="43"/>
      <c r="O73" s="43"/>
      <c r="P73" s="43"/>
      <c r="Q73" s="43"/>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row>
    <row r="74" spans="1:60" s="90" customFormat="1" ht="12.75" x14ac:dyDescent="0.2">
      <c r="A74" s="89"/>
      <c r="B74" s="93"/>
      <c r="C74" s="90" t="s">
        <v>144</v>
      </c>
      <c r="F74" s="92"/>
      <c r="G74" s="92" t="s">
        <v>126</v>
      </c>
      <c r="I74" s="43"/>
      <c r="J74" s="169">
        <f>J18</f>
        <v>2</v>
      </c>
      <c r="K74" s="169">
        <f t="shared" ref="K74:BG74" si="148">K18</f>
        <v>1</v>
      </c>
      <c r="L74" s="169">
        <f t="shared" si="148"/>
        <v>1</v>
      </c>
      <c r="M74" s="169">
        <f t="shared" si="148"/>
        <v>1</v>
      </c>
      <c r="N74" s="169">
        <f t="shared" si="148"/>
        <v>1</v>
      </c>
      <c r="O74" s="169">
        <f t="shared" si="148"/>
        <v>1</v>
      </c>
      <c r="P74" s="169">
        <f t="shared" si="148"/>
        <v>1</v>
      </c>
      <c r="Q74" s="169">
        <f t="shared" si="148"/>
        <v>1</v>
      </c>
      <c r="R74" s="169">
        <f t="shared" si="148"/>
        <v>1</v>
      </c>
      <c r="S74" s="169">
        <f t="shared" si="148"/>
        <v>1</v>
      </c>
      <c r="T74" s="169">
        <f t="shared" si="148"/>
        <v>1</v>
      </c>
      <c r="U74" s="169">
        <f t="shared" si="148"/>
        <v>1</v>
      </c>
      <c r="V74" s="169">
        <f t="shared" si="148"/>
        <v>1</v>
      </c>
      <c r="W74" s="169">
        <f t="shared" si="148"/>
        <v>1</v>
      </c>
      <c r="X74" s="169">
        <f t="shared" si="148"/>
        <v>1</v>
      </c>
      <c r="Y74" s="169">
        <f t="shared" si="148"/>
        <v>1</v>
      </c>
      <c r="Z74" s="169">
        <f t="shared" si="148"/>
        <v>1</v>
      </c>
      <c r="AA74" s="169">
        <f t="shared" si="148"/>
        <v>1</v>
      </c>
      <c r="AB74" s="169">
        <f t="shared" si="148"/>
        <v>1</v>
      </c>
      <c r="AC74" s="169">
        <f t="shared" si="148"/>
        <v>1</v>
      </c>
      <c r="AD74" s="169">
        <f t="shared" si="148"/>
        <v>1</v>
      </c>
      <c r="AE74" s="169">
        <f t="shared" si="148"/>
        <v>1</v>
      </c>
      <c r="AF74" s="169">
        <f t="shared" si="148"/>
        <v>1</v>
      </c>
      <c r="AG74" s="169">
        <f t="shared" si="148"/>
        <v>1</v>
      </c>
      <c r="AH74" s="169">
        <f t="shared" si="148"/>
        <v>1</v>
      </c>
      <c r="AI74" s="169">
        <f t="shared" si="148"/>
        <v>1</v>
      </c>
      <c r="AJ74" s="169">
        <f t="shared" si="148"/>
        <v>1</v>
      </c>
      <c r="AK74" s="169">
        <f t="shared" si="148"/>
        <v>1</v>
      </c>
      <c r="AL74" s="169">
        <f t="shared" si="148"/>
        <v>1</v>
      </c>
      <c r="AM74" s="169">
        <f t="shared" si="148"/>
        <v>1</v>
      </c>
      <c r="AN74" s="169">
        <f t="shared" si="148"/>
        <v>1</v>
      </c>
      <c r="AO74" s="169">
        <f t="shared" si="148"/>
        <v>1</v>
      </c>
      <c r="AP74" s="169">
        <f t="shared" si="148"/>
        <v>2</v>
      </c>
      <c r="AQ74" s="169">
        <f t="shared" si="148"/>
        <v>2</v>
      </c>
      <c r="AR74" s="169">
        <f t="shared" si="148"/>
        <v>2</v>
      </c>
      <c r="AS74" s="169">
        <f t="shared" si="148"/>
        <v>2</v>
      </c>
      <c r="AT74" s="169">
        <f t="shared" si="148"/>
        <v>2</v>
      </c>
      <c r="AU74" s="169">
        <f t="shared" si="148"/>
        <v>2</v>
      </c>
      <c r="AV74" s="169">
        <f t="shared" si="148"/>
        <v>2</v>
      </c>
      <c r="AW74" s="169">
        <f t="shared" si="148"/>
        <v>2</v>
      </c>
      <c r="AX74" s="169">
        <f t="shared" si="148"/>
        <v>2</v>
      </c>
      <c r="AY74" s="169">
        <f t="shared" si="148"/>
        <v>2</v>
      </c>
      <c r="AZ74" s="169">
        <f t="shared" si="148"/>
        <v>2</v>
      </c>
      <c r="BA74" s="169">
        <f t="shared" si="148"/>
        <v>2</v>
      </c>
      <c r="BB74" s="169">
        <f t="shared" si="148"/>
        <v>2</v>
      </c>
      <c r="BC74" s="169">
        <f t="shared" si="148"/>
        <v>2</v>
      </c>
      <c r="BD74" s="169">
        <f t="shared" si="148"/>
        <v>2</v>
      </c>
      <c r="BE74" s="169">
        <f t="shared" si="148"/>
        <v>2</v>
      </c>
      <c r="BF74" s="169">
        <f t="shared" si="148"/>
        <v>2</v>
      </c>
      <c r="BG74" s="169">
        <f t="shared" si="148"/>
        <v>2</v>
      </c>
      <c r="BH74" s="43"/>
    </row>
    <row r="75" spans="1:60" s="90" customFormat="1" ht="12.75" x14ac:dyDescent="0.2">
      <c r="A75" s="89"/>
      <c r="B75" s="93"/>
      <c r="C75" s="90" t="s">
        <v>162</v>
      </c>
      <c r="F75" s="92"/>
      <c r="G75" s="92" t="s">
        <v>126</v>
      </c>
      <c r="I75" s="43"/>
      <c r="J75" s="169">
        <f t="shared" ref="J75:BG75" si="149">J19</f>
        <v>2</v>
      </c>
      <c r="K75" s="169">
        <f t="shared" si="149"/>
        <v>1</v>
      </c>
      <c r="L75" s="169">
        <f t="shared" si="149"/>
        <v>1</v>
      </c>
      <c r="M75" s="169">
        <f t="shared" si="149"/>
        <v>1</v>
      </c>
      <c r="N75" s="169">
        <f t="shared" si="149"/>
        <v>1</v>
      </c>
      <c r="O75" s="169">
        <f t="shared" si="149"/>
        <v>1</v>
      </c>
      <c r="P75" s="169">
        <f t="shared" si="149"/>
        <v>1</v>
      </c>
      <c r="Q75" s="169">
        <f t="shared" si="149"/>
        <v>1</v>
      </c>
      <c r="R75" s="169">
        <f t="shared" si="149"/>
        <v>1</v>
      </c>
      <c r="S75" s="169">
        <f t="shared" si="149"/>
        <v>1</v>
      </c>
      <c r="T75" s="169">
        <f t="shared" si="149"/>
        <v>1</v>
      </c>
      <c r="U75" s="169">
        <f t="shared" si="149"/>
        <v>1</v>
      </c>
      <c r="V75" s="169">
        <f t="shared" si="149"/>
        <v>1</v>
      </c>
      <c r="W75" s="169">
        <f t="shared" si="149"/>
        <v>1</v>
      </c>
      <c r="X75" s="169">
        <f t="shared" si="149"/>
        <v>1</v>
      </c>
      <c r="Y75" s="169">
        <f t="shared" si="149"/>
        <v>1</v>
      </c>
      <c r="Z75" s="169">
        <f t="shared" si="149"/>
        <v>1</v>
      </c>
      <c r="AA75" s="169">
        <f t="shared" si="149"/>
        <v>1</v>
      </c>
      <c r="AB75" s="169">
        <f t="shared" si="149"/>
        <v>1</v>
      </c>
      <c r="AC75" s="169">
        <f t="shared" si="149"/>
        <v>1</v>
      </c>
      <c r="AD75" s="169">
        <f t="shared" si="149"/>
        <v>1</v>
      </c>
      <c r="AE75" s="169">
        <f t="shared" si="149"/>
        <v>1</v>
      </c>
      <c r="AF75" s="169">
        <f t="shared" si="149"/>
        <v>1</v>
      </c>
      <c r="AG75" s="169">
        <f t="shared" si="149"/>
        <v>1</v>
      </c>
      <c r="AH75" s="169">
        <f t="shared" si="149"/>
        <v>1</v>
      </c>
      <c r="AI75" s="169">
        <f t="shared" si="149"/>
        <v>1</v>
      </c>
      <c r="AJ75" s="169">
        <f t="shared" si="149"/>
        <v>1</v>
      </c>
      <c r="AK75" s="169">
        <f t="shared" si="149"/>
        <v>1</v>
      </c>
      <c r="AL75" s="169">
        <f t="shared" si="149"/>
        <v>1</v>
      </c>
      <c r="AM75" s="169">
        <f t="shared" si="149"/>
        <v>1</v>
      </c>
      <c r="AN75" s="169">
        <f t="shared" si="149"/>
        <v>1</v>
      </c>
      <c r="AO75" s="169">
        <f t="shared" si="149"/>
        <v>1</v>
      </c>
      <c r="AP75" s="169">
        <f t="shared" si="149"/>
        <v>2</v>
      </c>
      <c r="AQ75" s="169">
        <f t="shared" si="149"/>
        <v>2</v>
      </c>
      <c r="AR75" s="169">
        <f t="shared" si="149"/>
        <v>2</v>
      </c>
      <c r="AS75" s="169">
        <f t="shared" si="149"/>
        <v>2</v>
      </c>
      <c r="AT75" s="169">
        <f t="shared" si="149"/>
        <v>2</v>
      </c>
      <c r="AU75" s="169">
        <f t="shared" si="149"/>
        <v>2</v>
      </c>
      <c r="AV75" s="169">
        <f t="shared" si="149"/>
        <v>2</v>
      </c>
      <c r="AW75" s="169">
        <f t="shared" si="149"/>
        <v>2</v>
      </c>
      <c r="AX75" s="169">
        <f t="shared" si="149"/>
        <v>2</v>
      </c>
      <c r="AY75" s="169">
        <f t="shared" si="149"/>
        <v>2</v>
      </c>
      <c r="AZ75" s="169">
        <f t="shared" si="149"/>
        <v>2</v>
      </c>
      <c r="BA75" s="169">
        <f t="shared" si="149"/>
        <v>2</v>
      </c>
      <c r="BB75" s="169">
        <f t="shared" si="149"/>
        <v>2</v>
      </c>
      <c r="BC75" s="169">
        <f t="shared" si="149"/>
        <v>2</v>
      </c>
      <c r="BD75" s="169">
        <f t="shared" si="149"/>
        <v>2</v>
      </c>
      <c r="BE75" s="169">
        <f t="shared" si="149"/>
        <v>2</v>
      </c>
      <c r="BF75" s="169">
        <f t="shared" si="149"/>
        <v>2</v>
      </c>
      <c r="BG75" s="169">
        <f t="shared" si="149"/>
        <v>2</v>
      </c>
      <c r="BH75" s="43"/>
    </row>
    <row r="76" spans="1:60" s="90" customFormat="1" ht="12.75" x14ac:dyDescent="0.2">
      <c r="A76" s="89"/>
      <c r="B76" s="93"/>
      <c r="C76" s="90" t="s">
        <v>231</v>
      </c>
      <c r="F76" s="92"/>
      <c r="G76" s="92" t="s">
        <v>126</v>
      </c>
      <c r="I76" s="43"/>
      <c r="J76" s="169">
        <f t="shared" ref="J76:BG76" si="150">J20</f>
        <v>28</v>
      </c>
      <c r="K76" s="169">
        <f t="shared" si="150"/>
        <v>27</v>
      </c>
      <c r="L76" s="169">
        <f t="shared" si="150"/>
        <v>26</v>
      </c>
      <c r="M76" s="169">
        <f t="shared" si="150"/>
        <v>24</v>
      </c>
      <c r="N76" s="169">
        <f t="shared" si="150"/>
        <v>24</v>
      </c>
      <c r="O76" s="169">
        <f t="shared" si="150"/>
        <v>23</v>
      </c>
      <c r="P76" s="169">
        <f t="shared" si="150"/>
        <v>22</v>
      </c>
      <c r="Q76" s="169">
        <f t="shared" si="150"/>
        <v>22</v>
      </c>
      <c r="R76" s="169">
        <f t="shared" si="150"/>
        <v>22</v>
      </c>
      <c r="S76" s="169">
        <f t="shared" si="150"/>
        <v>23</v>
      </c>
      <c r="T76" s="169">
        <f t="shared" si="150"/>
        <v>23</v>
      </c>
      <c r="U76" s="169">
        <f t="shared" si="150"/>
        <v>23</v>
      </c>
      <c r="V76" s="169">
        <f t="shared" si="150"/>
        <v>23</v>
      </c>
      <c r="W76" s="169">
        <f t="shared" si="150"/>
        <v>23</v>
      </c>
      <c r="X76" s="169">
        <f t="shared" si="150"/>
        <v>23</v>
      </c>
      <c r="Y76" s="169">
        <f t="shared" si="150"/>
        <v>23</v>
      </c>
      <c r="Z76" s="169">
        <f t="shared" si="150"/>
        <v>23</v>
      </c>
      <c r="AA76" s="169">
        <f t="shared" si="150"/>
        <v>24</v>
      </c>
      <c r="AB76" s="169">
        <f t="shared" si="150"/>
        <v>24</v>
      </c>
      <c r="AC76" s="169">
        <f t="shared" si="150"/>
        <v>24</v>
      </c>
      <c r="AD76" s="169">
        <f t="shared" si="150"/>
        <v>25</v>
      </c>
      <c r="AE76" s="169">
        <f t="shared" si="150"/>
        <v>25</v>
      </c>
      <c r="AF76" s="169">
        <f t="shared" si="150"/>
        <v>25</v>
      </c>
      <c r="AG76" s="169">
        <f t="shared" si="150"/>
        <v>25</v>
      </c>
      <c r="AH76" s="169">
        <f t="shared" si="150"/>
        <v>26</v>
      </c>
      <c r="AI76" s="169">
        <f t="shared" si="150"/>
        <v>26</v>
      </c>
      <c r="AJ76" s="169">
        <f t="shared" si="150"/>
        <v>26</v>
      </c>
      <c r="AK76" s="169">
        <f t="shared" si="150"/>
        <v>26</v>
      </c>
      <c r="AL76" s="169">
        <f t="shared" si="150"/>
        <v>27</v>
      </c>
      <c r="AM76" s="169">
        <f t="shared" si="150"/>
        <v>27</v>
      </c>
      <c r="AN76" s="169">
        <f t="shared" si="150"/>
        <v>27</v>
      </c>
      <c r="AO76" s="169">
        <f t="shared" si="150"/>
        <v>27</v>
      </c>
      <c r="AP76" s="169">
        <f t="shared" si="150"/>
        <v>27</v>
      </c>
      <c r="AQ76" s="169">
        <f t="shared" si="150"/>
        <v>27</v>
      </c>
      <c r="AR76" s="169">
        <f t="shared" si="150"/>
        <v>28</v>
      </c>
      <c r="AS76" s="169">
        <f t="shared" si="150"/>
        <v>28</v>
      </c>
      <c r="AT76" s="169">
        <f t="shared" si="150"/>
        <v>28</v>
      </c>
      <c r="AU76" s="169">
        <f t="shared" si="150"/>
        <v>28</v>
      </c>
      <c r="AV76" s="169">
        <f t="shared" si="150"/>
        <v>28</v>
      </c>
      <c r="AW76" s="169">
        <f t="shared" si="150"/>
        <v>28</v>
      </c>
      <c r="AX76" s="169">
        <f t="shared" si="150"/>
        <v>28</v>
      </c>
      <c r="AY76" s="169">
        <f t="shared" si="150"/>
        <v>28</v>
      </c>
      <c r="AZ76" s="169">
        <f t="shared" si="150"/>
        <v>28</v>
      </c>
      <c r="BA76" s="169">
        <f t="shared" si="150"/>
        <v>28</v>
      </c>
      <c r="BB76" s="169">
        <f t="shared" si="150"/>
        <v>28</v>
      </c>
      <c r="BC76" s="169">
        <f t="shared" si="150"/>
        <v>28</v>
      </c>
      <c r="BD76" s="169">
        <f t="shared" si="150"/>
        <v>28</v>
      </c>
      <c r="BE76" s="169">
        <f t="shared" si="150"/>
        <v>29</v>
      </c>
      <c r="BF76" s="169">
        <f t="shared" si="150"/>
        <v>29</v>
      </c>
      <c r="BG76" s="169">
        <f t="shared" si="150"/>
        <v>29</v>
      </c>
      <c r="BH76" s="43"/>
    </row>
    <row r="77" spans="1:60" s="90" customFormat="1" ht="12.75" x14ac:dyDescent="0.2">
      <c r="A77" s="89"/>
      <c r="B77" s="93"/>
      <c r="C77" s="90" t="s">
        <v>311</v>
      </c>
      <c r="F77" s="92"/>
      <c r="G77" s="92" t="s">
        <v>126</v>
      </c>
      <c r="I77" s="43"/>
      <c r="J77" s="169">
        <f t="shared" ref="J77:BG77" si="151">J21</f>
        <v>28</v>
      </c>
      <c r="K77" s="169">
        <f t="shared" si="151"/>
        <v>27</v>
      </c>
      <c r="L77" s="169">
        <f t="shared" si="151"/>
        <v>26</v>
      </c>
      <c r="M77" s="169">
        <f t="shared" si="151"/>
        <v>24</v>
      </c>
      <c r="N77" s="169">
        <f t="shared" si="151"/>
        <v>24</v>
      </c>
      <c r="O77" s="169">
        <f t="shared" si="151"/>
        <v>23</v>
      </c>
      <c r="P77" s="169">
        <f t="shared" si="151"/>
        <v>22</v>
      </c>
      <c r="Q77" s="169">
        <f t="shared" si="151"/>
        <v>22</v>
      </c>
      <c r="R77" s="169">
        <f t="shared" si="151"/>
        <v>22</v>
      </c>
      <c r="S77" s="169">
        <f t="shared" si="151"/>
        <v>23</v>
      </c>
      <c r="T77" s="169">
        <f t="shared" si="151"/>
        <v>23</v>
      </c>
      <c r="U77" s="169">
        <f t="shared" si="151"/>
        <v>23</v>
      </c>
      <c r="V77" s="169">
        <f t="shared" si="151"/>
        <v>23</v>
      </c>
      <c r="W77" s="169">
        <f t="shared" si="151"/>
        <v>23</v>
      </c>
      <c r="X77" s="169">
        <f t="shared" si="151"/>
        <v>23</v>
      </c>
      <c r="Y77" s="169">
        <f t="shared" si="151"/>
        <v>23</v>
      </c>
      <c r="Z77" s="169">
        <f t="shared" si="151"/>
        <v>23</v>
      </c>
      <c r="AA77" s="169">
        <f t="shared" si="151"/>
        <v>24</v>
      </c>
      <c r="AB77" s="169">
        <f t="shared" si="151"/>
        <v>24</v>
      </c>
      <c r="AC77" s="169">
        <f t="shared" si="151"/>
        <v>24</v>
      </c>
      <c r="AD77" s="169">
        <f t="shared" si="151"/>
        <v>25</v>
      </c>
      <c r="AE77" s="169">
        <f t="shared" si="151"/>
        <v>25</v>
      </c>
      <c r="AF77" s="169">
        <f t="shared" si="151"/>
        <v>25</v>
      </c>
      <c r="AG77" s="169">
        <f t="shared" si="151"/>
        <v>25</v>
      </c>
      <c r="AH77" s="169">
        <f t="shared" si="151"/>
        <v>26</v>
      </c>
      <c r="AI77" s="169">
        <f t="shared" si="151"/>
        <v>26</v>
      </c>
      <c r="AJ77" s="169">
        <f t="shared" si="151"/>
        <v>26</v>
      </c>
      <c r="AK77" s="169">
        <f t="shared" si="151"/>
        <v>26</v>
      </c>
      <c r="AL77" s="169">
        <f t="shared" si="151"/>
        <v>27</v>
      </c>
      <c r="AM77" s="169">
        <f t="shared" si="151"/>
        <v>27</v>
      </c>
      <c r="AN77" s="169">
        <f t="shared" si="151"/>
        <v>27</v>
      </c>
      <c r="AO77" s="169">
        <f t="shared" si="151"/>
        <v>27</v>
      </c>
      <c r="AP77" s="169">
        <f t="shared" si="151"/>
        <v>27</v>
      </c>
      <c r="AQ77" s="169">
        <f t="shared" si="151"/>
        <v>27</v>
      </c>
      <c r="AR77" s="169">
        <f t="shared" si="151"/>
        <v>28</v>
      </c>
      <c r="AS77" s="169">
        <f t="shared" si="151"/>
        <v>28</v>
      </c>
      <c r="AT77" s="169">
        <f t="shared" si="151"/>
        <v>28</v>
      </c>
      <c r="AU77" s="169">
        <f t="shared" si="151"/>
        <v>28</v>
      </c>
      <c r="AV77" s="169">
        <f t="shared" si="151"/>
        <v>28</v>
      </c>
      <c r="AW77" s="169">
        <f t="shared" si="151"/>
        <v>28</v>
      </c>
      <c r="AX77" s="169">
        <f t="shared" si="151"/>
        <v>28</v>
      </c>
      <c r="AY77" s="169">
        <f t="shared" si="151"/>
        <v>28</v>
      </c>
      <c r="AZ77" s="169">
        <f t="shared" si="151"/>
        <v>28</v>
      </c>
      <c r="BA77" s="169">
        <f t="shared" si="151"/>
        <v>28</v>
      </c>
      <c r="BB77" s="169">
        <f t="shared" si="151"/>
        <v>28</v>
      </c>
      <c r="BC77" s="169">
        <f t="shared" si="151"/>
        <v>28</v>
      </c>
      <c r="BD77" s="169">
        <f t="shared" si="151"/>
        <v>28</v>
      </c>
      <c r="BE77" s="169">
        <f t="shared" si="151"/>
        <v>29</v>
      </c>
      <c r="BF77" s="169">
        <f t="shared" si="151"/>
        <v>29</v>
      </c>
      <c r="BG77" s="169">
        <f t="shared" si="151"/>
        <v>29</v>
      </c>
      <c r="BH77" s="43"/>
    </row>
    <row r="78" spans="1:60" s="90" customFormat="1" ht="12.75" x14ac:dyDescent="0.2">
      <c r="A78" s="89"/>
      <c r="B78" s="93"/>
      <c r="C78" s="179" t="s">
        <v>255</v>
      </c>
      <c r="F78" s="92"/>
      <c r="G78" s="92" t="s">
        <v>126</v>
      </c>
      <c r="I78" s="43"/>
      <c r="J78" s="169">
        <f t="shared" ref="J78:BG78" si="152">J22</f>
        <v>0</v>
      </c>
      <c r="K78" s="169">
        <f t="shared" si="152"/>
        <v>0</v>
      </c>
      <c r="L78" s="169">
        <f t="shared" si="152"/>
        <v>0</v>
      </c>
      <c r="M78" s="169">
        <f t="shared" si="152"/>
        <v>0</v>
      </c>
      <c r="N78" s="169">
        <f t="shared" si="152"/>
        <v>0</v>
      </c>
      <c r="O78" s="169">
        <f t="shared" si="152"/>
        <v>0</v>
      </c>
      <c r="P78" s="169">
        <f t="shared" si="152"/>
        <v>0</v>
      </c>
      <c r="Q78" s="169">
        <f t="shared" si="152"/>
        <v>0</v>
      </c>
      <c r="R78" s="169">
        <f t="shared" si="152"/>
        <v>0</v>
      </c>
      <c r="S78" s="169">
        <f t="shared" si="152"/>
        <v>0</v>
      </c>
      <c r="T78" s="169">
        <f t="shared" si="152"/>
        <v>0</v>
      </c>
      <c r="U78" s="169">
        <f t="shared" si="152"/>
        <v>0</v>
      </c>
      <c r="V78" s="169">
        <f t="shared" si="152"/>
        <v>0</v>
      </c>
      <c r="W78" s="169">
        <f t="shared" si="152"/>
        <v>0</v>
      </c>
      <c r="X78" s="169">
        <f t="shared" si="152"/>
        <v>0</v>
      </c>
      <c r="Y78" s="169">
        <f t="shared" si="152"/>
        <v>0</v>
      </c>
      <c r="Z78" s="169">
        <f t="shared" si="152"/>
        <v>0</v>
      </c>
      <c r="AA78" s="169">
        <f t="shared" si="152"/>
        <v>0</v>
      </c>
      <c r="AB78" s="169">
        <f t="shared" si="152"/>
        <v>0</v>
      </c>
      <c r="AC78" s="169">
        <f t="shared" si="152"/>
        <v>0</v>
      </c>
      <c r="AD78" s="169">
        <f t="shared" si="152"/>
        <v>0</v>
      </c>
      <c r="AE78" s="169">
        <f t="shared" si="152"/>
        <v>0</v>
      </c>
      <c r="AF78" s="169">
        <f t="shared" si="152"/>
        <v>0</v>
      </c>
      <c r="AG78" s="169">
        <f t="shared" si="152"/>
        <v>0</v>
      </c>
      <c r="AH78" s="169">
        <f t="shared" si="152"/>
        <v>0</v>
      </c>
      <c r="AI78" s="169">
        <f t="shared" si="152"/>
        <v>0</v>
      </c>
      <c r="AJ78" s="169">
        <f t="shared" si="152"/>
        <v>0</v>
      </c>
      <c r="AK78" s="169">
        <f t="shared" si="152"/>
        <v>0</v>
      </c>
      <c r="AL78" s="169">
        <f t="shared" si="152"/>
        <v>0</v>
      </c>
      <c r="AM78" s="169">
        <f t="shared" si="152"/>
        <v>0</v>
      </c>
      <c r="AN78" s="169">
        <f t="shared" si="152"/>
        <v>0</v>
      </c>
      <c r="AO78" s="169">
        <f t="shared" si="152"/>
        <v>0</v>
      </c>
      <c r="AP78" s="169">
        <f t="shared" si="152"/>
        <v>0</v>
      </c>
      <c r="AQ78" s="169">
        <f t="shared" si="152"/>
        <v>0</v>
      </c>
      <c r="AR78" s="169">
        <f t="shared" si="152"/>
        <v>0</v>
      </c>
      <c r="AS78" s="169">
        <f t="shared" si="152"/>
        <v>0</v>
      </c>
      <c r="AT78" s="169">
        <f t="shared" si="152"/>
        <v>0</v>
      </c>
      <c r="AU78" s="169">
        <f t="shared" si="152"/>
        <v>0</v>
      </c>
      <c r="AV78" s="169">
        <f t="shared" si="152"/>
        <v>0</v>
      </c>
      <c r="AW78" s="169">
        <f t="shared" si="152"/>
        <v>0</v>
      </c>
      <c r="AX78" s="169">
        <f t="shared" si="152"/>
        <v>0</v>
      </c>
      <c r="AY78" s="169">
        <f t="shared" si="152"/>
        <v>0</v>
      </c>
      <c r="AZ78" s="169">
        <f t="shared" si="152"/>
        <v>0</v>
      </c>
      <c r="BA78" s="169">
        <f t="shared" si="152"/>
        <v>0</v>
      </c>
      <c r="BB78" s="169">
        <f t="shared" si="152"/>
        <v>0</v>
      </c>
      <c r="BC78" s="169">
        <f t="shared" si="152"/>
        <v>0</v>
      </c>
      <c r="BD78" s="169">
        <f t="shared" si="152"/>
        <v>0</v>
      </c>
      <c r="BE78" s="169">
        <f t="shared" si="152"/>
        <v>0</v>
      </c>
      <c r="BF78" s="169">
        <f t="shared" si="152"/>
        <v>0</v>
      </c>
      <c r="BG78" s="169">
        <f t="shared" si="152"/>
        <v>0</v>
      </c>
      <c r="BH78" s="43"/>
    </row>
    <row r="79" spans="1:60" s="90" customFormat="1" ht="12.75" x14ac:dyDescent="0.2">
      <c r="A79" s="89"/>
      <c r="B79" s="93"/>
      <c r="C79" s="179" t="s">
        <v>256</v>
      </c>
      <c r="F79" s="92"/>
      <c r="G79" s="92" t="s">
        <v>126</v>
      </c>
      <c r="I79" s="43"/>
      <c r="J79" s="169">
        <f t="shared" ref="J79:BG79" si="153">J23</f>
        <v>0</v>
      </c>
      <c r="K79" s="169">
        <f t="shared" si="153"/>
        <v>0</v>
      </c>
      <c r="L79" s="169">
        <f t="shared" si="153"/>
        <v>0</v>
      </c>
      <c r="M79" s="169">
        <f t="shared" si="153"/>
        <v>0</v>
      </c>
      <c r="N79" s="169">
        <f t="shared" si="153"/>
        <v>0</v>
      </c>
      <c r="O79" s="169">
        <f t="shared" si="153"/>
        <v>0</v>
      </c>
      <c r="P79" s="169">
        <f t="shared" si="153"/>
        <v>0</v>
      </c>
      <c r="Q79" s="169">
        <f t="shared" si="153"/>
        <v>0</v>
      </c>
      <c r="R79" s="169">
        <f t="shared" si="153"/>
        <v>0</v>
      </c>
      <c r="S79" s="169">
        <f t="shared" si="153"/>
        <v>0</v>
      </c>
      <c r="T79" s="169">
        <f t="shared" si="153"/>
        <v>0</v>
      </c>
      <c r="U79" s="169">
        <f t="shared" si="153"/>
        <v>0</v>
      </c>
      <c r="V79" s="169">
        <f t="shared" si="153"/>
        <v>0</v>
      </c>
      <c r="W79" s="169">
        <f t="shared" si="153"/>
        <v>0</v>
      </c>
      <c r="X79" s="169">
        <f t="shared" si="153"/>
        <v>0</v>
      </c>
      <c r="Y79" s="169">
        <f t="shared" si="153"/>
        <v>0</v>
      </c>
      <c r="Z79" s="169">
        <f t="shared" si="153"/>
        <v>0</v>
      </c>
      <c r="AA79" s="169">
        <f t="shared" si="153"/>
        <v>0</v>
      </c>
      <c r="AB79" s="169">
        <f t="shared" si="153"/>
        <v>0</v>
      </c>
      <c r="AC79" s="169">
        <f t="shared" si="153"/>
        <v>0</v>
      </c>
      <c r="AD79" s="169">
        <f t="shared" si="153"/>
        <v>0</v>
      </c>
      <c r="AE79" s="169">
        <f t="shared" si="153"/>
        <v>0</v>
      </c>
      <c r="AF79" s="169">
        <f t="shared" si="153"/>
        <v>0</v>
      </c>
      <c r="AG79" s="169">
        <f t="shared" si="153"/>
        <v>0</v>
      </c>
      <c r="AH79" s="169">
        <f t="shared" si="153"/>
        <v>0</v>
      </c>
      <c r="AI79" s="169">
        <f t="shared" si="153"/>
        <v>0</v>
      </c>
      <c r="AJ79" s="169">
        <f t="shared" si="153"/>
        <v>0</v>
      </c>
      <c r="AK79" s="169">
        <f t="shared" si="153"/>
        <v>0</v>
      </c>
      <c r="AL79" s="169">
        <f t="shared" si="153"/>
        <v>0</v>
      </c>
      <c r="AM79" s="169">
        <f t="shared" si="153"/>
        <v>0</v>
      </c>
      <c r="AN79" s="169">
        <f t="shared" si="153"/>
        <v>0</v>
      </c>
      <c r="AO79" s="169">
        <f t="shared" si="153"/>
        <v>0</v>
      </c>
      <c r="AP79" s="169">
        <f t="shared" si="153"/>
        <v>0</v>
      </c>
      <c r="AQ79" s="169">
        <f t="shared" si="153"/>
        <v>0</v>
      </c>
      <c r="AR79" s="169">
        <f t="shared" si="153"/>
        <v>0</v>
      </c>
      <c r="AS79" s="169">
        <f t="shared" si="153"/>
        <v>0</v>
      </c>
      <c r="AT79" s="169">
        <f t="shared" si="153"/>
        <v>0</v>
      </c>
      <c r="AU79" s="169">
        <f t="shared" si="153"/>
        <v>0</v>
      </c>
      <c r="AV79" s="169">
        <f t="shared" si="153"/>
        <v>0</v>
      </c>
      <c r="AW79" s="169">
        <f t="shared" si="153"/>
        <v>0</v>
      </c>
      <c r="AX79" s="169">
        <f t="shared" si="153"/>
        <v>0</v>
      </c>
      <c r="AY79" s="169">
        <f t="shared" si="153"/>
        <v>0</v>
      </c>
      <c r="AZ79" s="169">
        <f t="shared" si="153"/>
        <v>0</v>
      </c>
      <c r="BA79" s="169">
        <f t="shared" si="153"/>
        <v>0</v>
      </c>
      <c r="BB79" s="169">
        <f t="shared" si="153"/>
        <v>0</v>
      </c>
      <c r="BC79" s="169">
        <f t="shared" si="153"/>
        <v>0</v>
      </c>
      <c r="BD79" s="169">
        <f t="shared" si="153"/>
        <v>0</v>
      </c>
      <c r="BE79" s="169">
        <f t="shared" si="153"/>
        <v>0</v>
      </c>
      <c r="BF79" s="169">
        <f t="shared" si="153"/>
        <v>0</v>
      </c>
      <c r="BG79" s="169">
        <f t="shared" si="153"/>
        <v>0</v>
      </c>
      <c r="BH79" s="43"/>
    </row>
    <row r="80" spans="1:60" s="90" customFormat="1" ht="12.75" x14ac:dyDescent="0.2">
      <c r="A80" s="89"/>
      <c r="B80" s="93"/>
      <c r="C80" s="90" t="s">
        <v>246</v>
      </c>
      <c r="F80" s="92"/>
      <c r="G80" s="92" t="s">
        <v>126</v>
      </c>
      <c r="I80" s="43"/>
      <c r="J80" s="10">
        <f t="shared" ref="J80:AO80" si="154">J76*FTE_por_equipo</f>
        <v>28</v>
      </c>
      <c r="K80" s="10">
        <f t="shared" si="154"/>
        <v>27</v>
      </c>
      <c r="L80" s="10">
        <f t="shared" si="154"/>
        <v>26</v>
      </c>
      <c r="M80" s="10">
        <f t="shared" si="154"/>
        <v>24</v>
      </c>
      <c r="N80" s="10">
        <f t="shared" si="154"/>
        <v>24</v>
      </c>
      <c r="O80" s="10">
        <f t="shared" si="154"/>
        <v>23</v>
      </c>
      <c r="P80" s="10">
        <f t="shared" si="154"/>
        <v>22</v>
      </c>
      <c r="Q80" s="10">
        <f t="shared" si="154"/>
        <v>22</v>
      </c>
      <c r="R80" s="10">
        <f t="shared" si="154"/>
        <v>22</v>
      </c>
      <c r="S80" s="10">
        <f t="shared" si="154"/>
        <v>23</v>
      </c>
      <c r="T80" s="10">
        <f t="shared" si="154"/>
        <v>23</v>
      </c>
      <c r="U80" s="10">
        <f t="shared" si="154"/>
        <v>23</v>
      </c>
      <c r="V80" s="10">
        <f t="shared" si="154"/>
        <v>23</v>
      </c>
      <c r="W80" s="10">
        <f t="shared" si="154"/>
        <v>23</v>
      </c>
      <c r="X80" s="10">
        <f t="shared" si="154"/>
        <v>23</v>
      </c>
      <c r="Y80" s="10">
        <f t="shared" si="154"/>
        <v>23</v>
      </c>
      <c r="Z80" s="10">
        <f t="shared" si="154"/>
        <v>23</v>
      </c>
      <c r="AA80" s="10">
        <f t="shared" si="154"/>
        <v>24</v>
      </c>
      <c r="AB80" s="10">
        <f t="shared" si="154"/>
        <v>24</v>
      </c>
      <c r="AC80" s="10">
        <f t="shared" si="154"/>
        <v>24</v>
      </c>
      <c r="AD80" s="10">
        <f t="shared" si="154"/>
        <v>25</v>
      </c>
      <c r="AE80" s="10">
        <f t="shared" si="154"/>
        <v>25</v>
      </c>
      <c r="AF80" s="10">
        <f t="shared" si="154"/>
        <v>25</v>
      </c>
      <c r="AG80" s="10">
        <f t="shared" si="154"/>
        <v>25</v>
      </c>
      <c r="AH80" s="10">
        <f t="shared" si="154"/>
        <v>26</v>
      </c>
      <c r="AI80" s="10">
        <f t="shared" si="154"/>
        <v>26</v>
      </c>
      <c r="AJ80" s="10">
        <f t="shared" si="154"/>
        <v>26</v>
      </c>
      <c r="AK80" s="10">
        <f t="shared" si="154"/>
        <v>26</v>
      </c>
      <c r="AL80" s="10">
        <f t="shared" si="154"/>
        <v>27</v>
      </c>
      <c r="AM80" s="10">
        <f t="shared" si="154"/>
        <v>27</v>
      </c>
      <c r="AN80" s="10">
        <f t="shared" si="154"/>
        <v>27</v>
      </c>
      <c r="AO80" s="10">
        <f t="shared" si="154"/>
        <v>27</v>
      </c>
      <c r="AP80" s="10">
        <f t="shared" ref="AP80:BG80" si="155">AP76*FTE_por_equipo</f>
        <v>27</v>
      </c>
      <c r="AQ80" s="10">
        <f t="shared" si="155"/>
        <v>27</v>
      </c>
      <c r="AR80" s="10">
        <f t="shared" si="155"/>
        <v>28</v>
      </c>
      <c r="AS80" s="10">
        <f t="shared" si="155"/>
        <v>28</v>
      </c>
      <c r="AT80" s="10">
        <f t="shared" si="155"/>
        <v>28</v>
      </c>
      <c r="AU80" s="10">
        <f t="shared" si="155"/>
        <v>28</v>
      </c>
      <c r="AV80" s="10">
        <f t="shared" si="155"/>
        <v>28</v>
      </c>
      <c r="AW80" s="10">
        <f t="shared" si="155"/>
        <v>28</v>
      </c>
      <c r="AX80" s="10">
        <f t="shared" si="155"/>
        <v>28</v>
      </c>
      <c r="AY80" s="10">
        <f t="shared" si="155"/>
        <v>28</v>
      </c>
      <c r="AZ80" s="10">
        <f t="shared" si="155"/>
        <v>28</v>
      </c>
      <c r="BA80" s="10">
        <f t="shared" si="155"/>
        <v>28</v>
      </c>
      <c r="BB80" s="10">
        <f t="shared" si="155"/>
        <v>28</v>
      </c>
      <c r="BC80" s="10">
        <f t="shared" si="155"/>
        <v>28</v>
      </c>
      <c r="BD80" s="10">
        <f t="shared" si="155"/>
        <v>28</v>
      </c>
      <c r="BE80" s="10">
        <f t="shared" si="155"/>
        <v>29</v>
      </c>
      <c r="BF80" s="10">
        <f t="shared" si="155"/>
        <v>29</v>
      </c>
      <c r="BG80" s="10">
        <f t="shared" si="155"/>
        <v>29</v>
      </c>
      <c r="BH80" s="43"/>
    </row>
    <row r="81" spans="1:60" s="90" customFormat="1" ht="12.75" x14ac:dyDescent="0.2">
      <c r="A81" s="89"/>
      <c r="B81" s="93"/>
      <c r="C81" s="90" t="s">
        <v>177</v>
      </c>
      <c r="F81" s="92"/>
      <c r="G81" s="92"/>
      <c r="I81" s="43"/>
      <c r="J81" s="12">
        <f>K81</f>
        <v>360</v>
      </c>
      <c r="K81" s="12">
        <f>L81</f>
        <v>360</v>
      </c>
      <c r="L81" s="12">
        <f>M81</f>
        <v>360</v>
      </c>
      <c r="M81" s="12">
        <f>N81</f>
        <v>360</v>
      </c>
      <c r="N81" s="12">
        <f>O81</f>
        <v>360</v>
      </c>
      <c r="O81" s="118">
        <f>tiendas_telmex</f>
        <v>360</v>
      </c>
      <c r="P81" s="12">
        <f>O81</f>
        <v>360</v>
      </c>
      <c r="Q81" s="12">
        <f t="shared" ref="Q81:BG81" si="156">P81</f>
        <v>360</v>
      </c>
      <c r="R81" s="12">
        <f t="shared" si="156"/>
        <v>360</v>
      </c>
      <c r="S81" s="12">
        <f t="shared" si="156"/>
        <v>360</v>
      </c>
      <c r="T81" s="12">
        <f t="shared" si="156"/>
        <v>360</v>
      </c>
      <c r="U81" s="12">
        <f t="shared" si="156"/>
        <v>360</v>
      </c>
      <c r="V81" s="12">
        <f t="shared" si="156"/>
        <v>360</v>
      </c>
      <c r="W81" s="12">
        <f t="shared" si="156"/>
        <v>360</v>
      </c>
      <c r="X81" s="12">
        <f t="shared" si="156"/>
        <v>360</v>
      </c>
      <c r="Y81" s="12">
        <f t="shared" si="156"/>
        <v>360</v>
      </c>
      <c r="Z81" s="12">
        <f t="shared" si="156"/>
        <v>360</v>
      </c>
      <c r="AA81" s="12">
        <f t="shared" si="156"/>
        <v>360</v>
      </c>
      <c r="AB81" s="12">
        <f t="shared" si="156"/>
        <v>360</v>
      </c>
      <c r="AC81" s="12">
        <f t="shared" si="156"/>
        <v>360</v>
      </c>
      <c r="AD81" s="12">
        <f t="shared" si="156"/>
        <v>360</v>
      </c>
      <c r="AE81" s="12">
        <f t="shared" si="156"/>
        <v>360</v>
      </c>
      <c r="AF81" s="12">
        <f t="shared" si="156"/>
        <v>360</v>
      </c>
      <c r="AG81" s="12">
        <f t="shared" si="156"/>
        <v>360</v>
      </c>
      <c r="AH81" s="12">
        <f t="shared" si="156"/>
        <v>360</v>
      </c>
      <c r="AI81" s="12">
        <f t="shared" si="156"/>
        <v>360</v>
      </c>
      <c r="AJ81" s="12">
        <f t="shared" si="156"/>
        <v>360</v>
      </c>
      <c r="AK81" s="12">
        <f t="shared" si="156"/>
        <v>360</v>
      </c>
      <c r="AL81" s="12">
        <f t="shared" si="156"/>
        <v>360</v>
      </c>
      <c r="AM81" s="12">
        <f t="shared" si="156"/>
        <v>360</v>
      </c>
      <c r="AN81" s="12">
        <f t="shared" si="156"/>
        <v>360</v>
      </c>
      <c r="AO81" s="12">
        <f t="shared" si="156"/>
        <v>360</v>
      </c>
      <c r="AP81" s="12">
        <f t="shared" si="156"/>
        <v>360</v>
      </c>
      <c r="AQ81" s="12">
        <f t="shared" si="156"/>
        <v>360</v>
      </c>
      <c r="AR81" s="12">
        <f t="shared" si="156"/>
        <v>360</v>
      </c>
      <c r="AS81" s="12">
        <f t="shared" si="156"/>
        <v>360</v>
      </c>
      <c r="AT81" s="12">
        <f t="shared" si="156"/>
        <v>360</v>
      </c>
      <c r="AU81" s="12">
        <f t="shared" si="156"/>
        <v>360</v>
      </c>
      <c r="AV81" s="12">
        <f t="shared" si="156"/>
        <v>360</v>
      </c>
      <c r="AW81" s="12">
        <f t="shared" si="156"/>
        <v>360</v>
      </c>
      <c r="AX81" s="12">
        <f t="shared" si="156"/>
        <v>360</v>
      </c>
      <c r="AY81" s="12">
        <f t="shared" si="156"/>
        <v>360</v>
      </c>
      <c r="AZ81" s="12">
        <f t="shared" si="156"/>
        <v>360</v>
      </c>
      <c r="BA81" s="12">
        <f t="shared" si="156"/>
        <v>360</v>
      </c>
      <c r="BB81" s="12">
        <f t="shared" si="156"/>
        <v>360</v>
      </c>
      <c r="BC81" s="12">
        <f t="shared" si="156"/>
        <v>360</v>
      </c>
      <c r="BD81" s="12">
        <f t="shared" si="156"/>
        <v>360</v>
      </c>
      <c r="BE81" s="12">
        <f t="shared" si="156"/>
        <v>360</v>
      </c>
      <c r="BF81" s="12">
        <f t="shared" si="156"/>
        <v>360</v>
      </c>
      <c r="BG81" s="12">
        <f t="shared" si="156"/>
        <v>360</v>
      </c>
      <c r="BH81" s="43"/>
    </row>
    <row r="82" spans="1:60" s="90" customFormat="1" ht="12.75" x14ac:dyDescent="0.2">
      <c r="A82" s="43"/>
      <c r="B82" s="93" t="s">
        <v>159</v>
      </c>
      <c r="C82" s="43"/>
      <c r="D82" s="43"/>
      <c r="E82" s="43"/>
      <c r="F82" s="43"/>
      <c r="G82" s="43"/>
      <c r="H82" s="43"/>
      <c r="I82" s="43"/>
      <c r="J82" s="43"/>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3"/>
      <c r="BG82" s="43"/>
      <c r="BH82" s="43"/>
    </row>
    <row r="83" spans="1:60" s="90" customFormat="1" ht="12.75" x14ac:dyDescent="0.2">
      <c r="A83" s="43"/>
      <c r="B83" s="93"/>
      <c r="C83" s="90" t="s">
        <v>144</v>
      </c>
      <c r="D83" s="43"/>
      <c r="E83" s="43"/>
      <c r="F83" s="43"/>
      <c r="G83" s="43"/>
      <c r="H83" s="43"/>
      <c r="I83" s="13"/>
      <c r="J83" s="10">
        <f t="shared" ref="J83:Q83" si="157">J63*J74</f>
        <v>4039220.6424155543</v>
      </c>
      <c r="K83" s="10">
        <f t="shared" si="157"/>
        <v>2096759.4354779143</v>
      </c>
      <c r="L83" s="10">
        <f t="shared" si="157"/>
        <v>2171613.747324476</v>
      </c>
      <c r="M83" s="10">
        <f t="shared" si="157"/>
        <v>2257826.8130932581</v>
      </c>
      <c r="N83" s="10">
        <f t="shared" si="157"/>
        <v>2349946.147067463</v>
      </c>
      <c r="O83" s="10">
        <f t="shared" si="157"/>
        <v>2400000</v>
      </c>
      <c r="P83" s="10">
        <f t="shared" si="157"/>
        <v>2480640</v>
      </c>
      <c r="Q83" s="10">
        <f t="shared" si="157"/>
        <v>2648579.3280000002</v>
      </c>
      <c r="R83" s="10">
        <f>R63*R74</f>
        <v>2769354.5453568003</v>
      </c>
      <c r="S83" s="10">
        <f t="shared" ref="S83:BG83" si="158">S63*S74</f>
        <v>2874590.0180803589</v>
      </c>
      <c r="T83" s="10">
        <f t="shared" si="158"/>
        <v>2979800.0127420998</v>
      </c>
      <c r="U83" s="10">
        <f t="shared" si="158"/>
        <v>3069194.013124363</v>
      </c>
      <c r="V83" s="10">
        <f t="shared" si="158"/>
        <v>3161269.8335180939</v>
      </c>
      <c r="W83" s="10">
        <f t="shared" si="158"/>
        <v>3256107.9285236369</v>
      </c>
      <c r="X83" s="10">
        <f t="shared" si="158"/>
        <v>3353791.166379346</v>
      </c>
      <c r="Y83" s="10">
        <f t="shared" si="158"/>
        <v>3454404.9013707265</v>
      </c>
      <c r="Z83" s="10">
        <f t="shared" si="158"/>
        <v>3558037.048411848</v>
      </c>
      <c r="AA83" s="10">
        <f t="shared" si="158"/>
        <v>3664778.1598642035</v>
      </c>
      <c r="AB83" s="10">
        <f t="shared" si="158"/>
        <v>3774721.5046601295</v>
      </c>
      <c r="AC83" s="10">
        <f t="shared" si="158"/>
        <v>3887963.1497999341</v>
      </c>
      <c r="AD83" s="10">
        <f t="shared" si="158"/>
        <v>4004602.0442939322</v>
      </c>
      <c r="AE83" s="10">
        <f t="shared" si="158"/>
        <v>4124740.1056227498</v>
      </c>
      <c r="AF83" s="10">
        <f t="shared" si="158"/>
        <v>4248482.3087914325</v>
      </c>
      <c r="AG83" s="10">
        <f t="shared" si="158"/>
        <v>4375936.7780551761</v>
      </c>
      <c r="AH83" s="10">
        <f t="shared" si="158"/>
        <v>4507214.881396831</v>
      </c>
      <c r="AI83" s="10">
        <f t="shared" si="158"/>
        <v>4642431.3278387366</v>
      </c>
      <c r="AJ83" s="10">
        <f t="shared" si="158"/>
        <v>4781704.2676738985</v>
      </c>
      <c r="AK83" s="10">
        <f t="shared" si="158"/>
        <v>4925155.3957041157</v>
      </c>
      <c r="AL83" s="10">
        <f t="shared" si="158"/>
        <v>5072910.0575752398</v>
      </c>
      <c r="AM83" s="10">
        <f t="shared" si="158"/>
        <v>5225097.3593024965</v>
      </c>
      <c r="AN83" s="10">
        <f t="shared" si="158"/>
        <v>5381850.2800815711</v>
      </c>
      <c r="AO83" s="10">
        <f t="shared" si="158"/>
        <v>5543305.7884840192</v>
      </c>
      <c r="AP83" s="10">
        <f t="shared" si="158"/>
        <v>11419209.92427708</v>
      </c>
      <c r="AQ83" s="10">
        <f t="shared" si="158"/>
        <v>11761786.222005391</v>
      </c>
      <c r="AR83" s="10">
        <f t="shared" si="158"/>
        <v>12114639.808665553</v>
      </c>
      <c r="AS83" s="10">
        <f t="shared" si="158"/>
        <v>12478079.002925521</v>
      </c>
      <c r="AT83" s="10">
        <f t="shared" si="158"/>
        <v>12852421.373013284</v>
      </c>
      <c r="AU83" s="10">
        <f t="shared" si="158"/>
        <v>13237994.014203684</v>
      </c>
      <c r="AV83" s="10">
        <f t="shared" si="158"/>
        <v>13635133.834629795</v>
      </c>
      <c r="AW83" s="10">
        <f t="shared" si="158"/>
        <v>14044187.849668689</v>
      </c>
      <c r="AX83" s="10">
        <f t="shared" si="158"/>
        <v>14465513.485158749</v>
      </c>
      <c r="AY83" s="10">
        <f t="shared" si="158"/>
        <v>14899478.889713513</v>
      </c>
      <c r="AZ83" s="10">
        <f t="shared" si="158"/>
        <v>15346463.256404918</v>
      </c>
      <c r="BA83" s="10">
        <f t="shared" si="158"/>
        <v>15806857.154097065</v>
      </c>
      <c r="BB83" s="10">
        <f t="shared" si="158"/>
        <v>16281062.868719978</v>
      </c>
      <c r="BC83" s="10">
        <f t="shared" si="158"/>
        <v>16769494.754781578</v>
      </c>
      <c r="BD83" s="10">
        <f t="shared" si="158"/>
        <v>17272579.597425025</v>
      </c>
      <c r="BE83" s="10">
        <f t="shared" si="158"/>
        <v>17790756.985347778</v>
      </c>
      <c r="BF83" s="10">
        <f t="shared" si="158"/>
        <v>18324479.694908209</v>
      </c>
      <c r="BG83" s="10">
        <f t="shared" si="158"/>
        <v>18874214.085755456</v>
      </c>
      <c r="BH83" s="43"/>
    </row>
    <row r="84" spans="1:60" s="90" customFormat="1" ht="12.75" x14ac:dyDescent="0.2">
      <c r="A84" s="43"/>
      <c r="B84" s="93"/>
      <c r="C84" s="90" t="s">
        <v>162</v>
      </c>
      <c r="D84" s="43"/>
      <c r="E84" s="43"/>
      <c r="F84" s="43"/>
      <c r="G84" s="43"/>
      <c r="H84" s="43"/>
      <c r="I84" s="13"/>
      <c r="J84" s="10">
        <f t="shared" ref="J84:Q84" si="159">J64*J75</f>
        <v>12117661.927246662</v>
      </c>
      <c r="K84" s="10">
        <f t="shared" si="159"/>
        <v>6290278.3064337429</v>
      </c>
      <c r="L84" s="10">
        <f t="shared" si="159"/>
        <v>6514841.2419734281</v>
      </c>
      <c r="M84" s="10">
        <f t="shared" si="159"/>
        <v>6773480.4392797733</v>
      </c>
      <c r="N84" s="10">
        <f t="shared" si="159"/>
        <v>7049838.4412023881</v>
      </c>
      <c r="O84" s="10">
        <f t="shared" si="159"/>
        <v>7200000</v>
      </c>
      <c r="P84" s="10">
        <f t="shared" si="159"/>
        <v>7441920.0000000009</v>
      </c>
      <c r="Q84" s="10">
        <f t="shared" si="159"/>
        <v>7945737.9840000011</v>
      </c>
      <c r="R84" s="10">
        <f>R64*R75</f>
        <v>8308063.6360704005</v>
      </c>
      <c r="S84" s="10">
        <f t="shared" ref="S84:BG84" si="160">S64*S75</f>
        <v>8623770.0542410761</v>
      </c>
      <c r="T84" s="10">
        <f t="shared" si="160"/>
        <v>8939400.0382263009</v>
      </c>
      <c r="U84" s="10">
        <f t="shared" si="160"/>
        <v>9207582.0393730886</v>
      </c>
      <c r="V84" s="10">
        <f t="shared" si="160"/>
        <v>9483809.5005542822</v>
      </c>
      <c r="W84" s="10">
        <f t="shared" si="160"/>
        <v>9768323.7855709102</v>
      </c>
      <c r="X84" s="10">
        <f t="shared" si="160"/>
        <v>10061373.499138039</v>
      </c>
      <c r="Y84" s="10">
        <f t="shared" si="160"/>
        <v>10363214.70411218</v>
      </c>
      <c r="Z84" s="10">
        <f t="shared" si="160"/>
        <v>10674111.145235544</v>
      </c>
      <c r="AA84" s="10">
        <f t="shared" si="160"/>
        <v>10994334.47959261</v>
      </c>
      <c r="AB84" s="10">
        <f t="shared" si="160"/>
        <v>11324164.513980389</v>
      </c>
      <c r="AC84" s="10">
        <f t="shared" si="160"/>
        <v>11663889.449399801</v>
      </c>
      <c r="AD84" s="10">
        <f t="shared" si="160"/>
        <v>12013806.132881796</v>
      </c>
      <c r="AE84" s="10">
        <f t="shared" si="160"/>
        <v>12374220.316868249</v>
      </c>
      <c r="AF84" s="10">
        <f t="shared" si="160"/>
        <v>12745446.926374298</v>
      </c>
      <c r="AG84" s="10">
        <f t="shared" si="160"/>
        <v>13127810.334165528</v>
      </c>
      <c r="AH84" s="10">
        <f t="shared" si="160"/>
        <v>13521644.644190494</v>
      </c>
      <c r="AI84" s="10">
        <f t="shared" si="160"/>
        <v>13927293.983516209</v>
      </c>
      <c r="AJ84" s="10">
        <f t="shared" si="160"/>
        <v>14345112.803021695</v>
      </c>
      <c r="AK84" s="10">
        <f t="shared" si="160"/>
        <v>14775466.187112348</v>
      </c>
      <c r="AL84" s="10">
        <f t="shared" si="160"/>
        <v>15218730.172725718</v>
      </c>
      <c r="AM84" s="10">
        <f t="shared" si="160"/>
        <v>15675292.07790749</v>
      </c>
      <c r="AN84" s="10">
        <f t="shared" si="160"/>
        <v>16145550.840244714</v>
      </c>
      <c r="AO84" s="10">
        <f t="shared" si="160"/>
        <v>16629917.365452057</v>
      </c>
      <c r="AP84" s="10">
        <f t="shared" si="160"/>
        <v>34257629.772831239</v>
      </c>
      <c r="AQ84" s="10">
        <f t="shared" si="160"/>
        <v>35285358.666016176</v>
      </c>
      <c r="AR84" s="10">
        <f t="shared" si="160"/>
        <v>36343919.425996661</v>
      </c>
      <c r="AS84" s="10">
        <f t="shared" si="160"/>
        <v>37434237.00877656</v>
      </c>
      <c r="AT84" s="10">
        <f t="shared" si="160"/>
        <v>38557264.119039856</v>
      </c>
      <c r="AU84" s="10">
        <f t="shared" si="160"/>
        <v>39713982.042611055</v>
      </c>
      <c r="AV84" s="10">
        <f t="shared" si="160"/>
        <v>40905401.503889382</v>
      </c>
      <c r="AW84" s="10">
        <f t="shared" si="160"/>
        <v>42132563.549006067</v>
      </c>
      <c r="AX84" s="10">
        <f t="shared" si="160"/>
        <v>43396540.455476247</v>
      </c>
      <c r="AY84" s="10">
        <f t="shared" si="160"/>
        <v>44698436.66914054</v>
      </c>
      <c r="AZ84" s="10">
        <f t="shared" si="160"/>
        <v>46039389.769214749</v>
      </c>
      <c r="BA84" s="10">
        <f t="shared" si="160"/>
        <v>47420571.462291196</v>
      </c>
      <c r="BB84" s="10">
        <f t="shared" si="160"/>
        <v>48843188.606159933</v>
      </c>
      <c r="BC84" s="10">
        <f t="shared" si="160"/>
        <v>50308484.264344729</v>
      </c>
      <c r="BD84" s="10">
        <f t="shared" si="160"/>
        <v>51817738.792275079</v>
      </c>
      <c r="BE84" s="10">
        <f t="shared" si="160"/>
        <v>53372270.956043325</v>
      </c>
      <c r="BF84" s="10">
        <f t="shared" si="160"/>
        <v>54973439.084724635</v>
      </c>
      <c r="BG84" s="10">
        <f t="shared" si="160"/>
        <v>56622642.257266372</v>
      </c>
      <c r="BH84" s="43"/>
    </row>
    <row r="85" spans="1:60" s="90" customFormat="1" ht="12.75" x14ac:dyDescent="0.2">
      <c r="A85" s="43"/>
      <c r="B85" s="93"/>
      <c r="C85" s="90" t="s">
        <v>231</v>
      </c>
      <c r="D85" s="43"/>
      <c r="E85" s="43"/>
      <c r="F85" s="43"/>
      <c r="G85" s="43"/>
      <c r="H85" s="43"/>
      <c r="I85" s="13"/>
      <c r="J85" s="10">
        <f t="shared" ref="J85:Q85" si="161">J65*J76</f>
        <v>5248886.4404061642</v>
      </c>
      <c r="K85" s="10">
        <f t="shared" si="161"/>
        <v>5254772.69162862</v>
      </c>
      <c r="L85" s="10">
        <f t="shared" si="161"/>
        <v>5240798.8886931045</v>
      </c>
      <c r="M85" s="10">
        <f t="shared" si="161"/>
        <v>5029715.634991589</v>
      </c>
      <c r="N85" s="10">
        <f t="shared" si="161"/>
        <v>5234928.0328992456</v>
      </c>
      <c r="O85" s="10">
        <f t="shared" si="161"/>
        <v>5123664</v>
      </c>
      <c r="P85" s="10">
        <f t="shared" si="161"/>
        <v>5065566.1056000004</v>
      </c>
      <c r="Q85" s="10">
        <f t="shared" si="161"/>
        <v>5408504.9309491208</v>
      </c>
      <c r="R85" s="10">
        <f>R65*R76</f>
        <v>5655132.7558004009</v>
      </c>
      <c r="S85" s="10">
        <f t="shared" ref="S85:BG85" si="162">S65*S76</f>
        <v>6136847.2459990345</v>
      </c>
      <c r="T85" s="10">
        <f t="shared" si="162"/>
        <v>6361455.8552025994</v>
      </c>
      <c r="U85" s="10">
        <f t="shared" si="162"/>
        <v>6552299.5308586778</v>
      </c>
      <c r="V85" s="10">
        <f t="shared" si="162"/>
        <v>6748868.5167844379</v>
      </c>
      <c r="W85" s="10">
        <f t="shared" si="162"/>
        <v>6951334.5722879712</v>
      </c>
      <c r="X85" s="10">
        <f t="shared" si="162"/>
        <v>7159874.6094566099</v>
      </c>
      <c r="Y85" s="10">
        <f t="shared" si="162"/>
        <v>7374670.8477403093</v>
      </c>
      <c r="Z85" s="10">
        <f t="shared" si="162"/>
        <v>7595910.9731725184</v>
      </c>
      <c r="AA85" s="10">
        <f t="shared" si="162"/>
        <v>8163953.0111662885</v>
      </c>
      <c r="AB85" s="10">
        <f t="shared" si="162"/>
        <v>8408871.6015012786</v>
      </c>
      <c r="AC85" s="10">
        <f t="shared" si="162"/>
        <v>8661137.7495463155</v>
      </c>
      <c r="AD85" s="10">
        <f t="shared" si="162"/>
        <v>9292679.0437840689</v>
      </c>
      <c r="AE85" s="10">
        <f t="shared" si="162"/>
        <v>9571459.4150975905</v>
      </c>
      <c r="AF85" s="10">
        <f t="shared" si="162"/>
        <v>9858603.1975505184</v>
      </c>
      <c r="AG85" s="10">
        <f t="shared" si="162"/>
        <v>10154361.293477036</v>
      </c>
      <c r="AH85" s="10">
        <f t="shared" si="162"/>
        <v>10877351.817572601</v>
      </c>
      <c r="AI85" s="10">
        <f t="shared" si="162"/>
        <v>11203672.37209978</v>
      </c>
      <c r="AJ85" s="10">
        <f t="shared" si="162"/>
        <v>11539782.543262772</v>
      </c>
      <c r="AK85" s="10">
        <f t="shared" si="162"/>
        <v>11885976.019560657</v>
      </c>
      <c r="AL85" s="10">
        <f t="shared" si="162"/>
        <v>12713422.811691612</v>
      </c>
      <c r="AM85" s="10">
        <f t="shared" si="162"/>
        <v>13094825.49604236</v>
      </c>
      <c r="AN85" s="10">
        <f t="shared" si="162"/>
        <v>13487670.26092363</v>
      </c>
      <c r="AO85" s="10">
        <f t="shared" si="162"/>
        <v>13892300.36875134</v>
      </c>
      <c r="AP85" s="10">
        <f t="shared" si="162"/>
        <v>14309069.379813882</v>
      </c>
      <c r="AQ85" s="10">
        <f t="shared" si="162"/>
        <v>14738341.461208295</v>
      </c>
      <c r="AR85" s="10">
        <f t="shared" si="162"/>
        <v>15742732.138564713</v>
      </c>
      <c r="AS85" s="10">
        <f t="shared" si="162"/>
        <v>16215014.102721654</v>
      </c>
      <c r="AT85" s="10">
        <f t="shared" si="162"/>
        <v>16701464.525803305</v>
      </c>
      <c r="AU85" s="10">
        <f t="shared" si="162"/>
        <v>17202508.461577404</v>
      </c>
      <c r="AV85" s="10">
        <f t="shared" si="162"/>
        <v>17718583.715424724</v>
      </c>
      <c r="AW85" s="10">
        <f t="shared" si="162"/>
        <v>18250141.226887468</v>
      </c>
      <c r="AX85" s="10">
        <f t="shared" si="162"/>
        <v>18797645.463694092</v>
      </c>
      <c r="AY85" s="10">
        <f t="shared" si="162"/>
        <v>19361574.827604916</v>
      </c>
      <c r="AZ85" s="10">
        <f t="shared" si="162"/>
        <v>19942422.072433062</v>
      </c>
      <c r="BA85" s="10">
        <f t="shared" si="162"/>
        <v>20540694.734606054</v>
      </c>
      <c r="BB85" s="10">
        <f t="shared" si="162"/>
        <v>21156915.576644238</v>
      </c>
      <c r="BC85" s="10">
        <f t="shared" si="162"/>
        <v>21791623.043943565</v>
      </c>
      <c r="BD85" s="10">
        <f t="shared" si="162"/>
        <v>22445371.735261872</v>
      </c>
      <c r="BE85" s="10">
        <f t="shared" si="162"/>
        <v>23944401.919009719</v>
      </c>
      <c r="BF85" s="10">
        <f t="shared" si="162"/>
        <v>24662733.976580013</v>
      </c>
      <c r="BG85" s="10">
        <f t="shared" si="162"/>
        <v>25402615.995877411</v>
      </c>
      <c r="BH85" s="43"/>
    </row>
    <row r="86" spans="1:60" s="90" customFormat="1" ht="12.75" x14ac:dyDescent="0.2">
      <c r="A86" s="43"/>
      <c r="B86" s="93"/>
      <c r="C86" s="90" t="s">
        <v>311</v>
      </c>
      <c r="D86" s="43"/>
      <c r="E86" s="43"/>
      <c r="F86" s="43"/>
      <c r="G86" s="43"/>
      <c r="H86" s="43"/>
      <c r="I86" s="13"/>
      <c r="J86" s="10">
        <f t="shared" ref="J86:Q86" si="163">J66*J77</f>
        <v>1397861.3362344839</v>
      </c>
      <c r="K86" s="10">
        <f t="shared" si="163"/>
        <v>1399428.9378758324</v>
      </c>
      <c r="L86" s="10">
        <f t="shared" si="163"/>
        <v>1395707.493515111</v>
      </c>
      <c r="M86" s="10">
        <f t="shared" si="163"/>
        <v>1339492.690160918</v>
      </c>
      <c r="N86" s="10">
        <f t="shared" si="163"/>
        <v>1394143.9919194835</v>
      </c>
      <c r="O86" s="10">
        <f t="shared" si="163"/>
        <v>1364512.6231578947</v>
      </c>
      <c r="P86" s="10">
        <f t="shared" si="163"/>
        <v>1349040.2365440002</v>
      </c>
      <c r="Q86" s="10">
        <f t="shared" si="163"/>
        <v>1440370.2605580289</v>
      </c>
      <c r="R86" s="10">
        <f>R66*R77</f>
        <v>1506051.1444394751</v>
      </c>
      <c r="S86" s="10">
        <f t="shared" ref="S86:BG86" si="164">S66*S77</f>
        <v>1634339.3191976377</v>
      </c>
      <c r="T86" s="10">
        <f t="shared" si="164"/>
        <v>1694156.1382802716</v>
      </c>
      <c r="U86" s="10">
        <f t="shared" si="164"/>
        <v>1744980.8224286796</v>
      </c>
      <c r="V86" s="10">
        <f t="shared" si="164"/>
        <v>1797330.2471015397</v>
      </c>
      <c r="W86" s="10">
        <f t="shared" si="164"/>
        <v>1851250.1545145861</v>
      </c>
      <c r="X86" s="10">
        <f t="shared" si="164"/>
        <v>1906787.6591500237</v>
      </c>
      <c r="Y86" s="10">
        <f t="shared" si="164"/>
        <v>1963991.2889245243</v>
      </c>
      <c r="Z86" s="10">
        <f t="shared" si="164"/>
        <v>2022911.0275922602</v>
      </c>
      <c r="AA86" s="10">
        <f t="shared" si="164"/>
        <v>2174189.5913948119</v>
      </c>
      <c r="AB86" s="10">
        <f t="shared" si="164"/>
        <v>2239415.2791366563</v>
      </c>
      <c r="AC86" s="10">
        <f t="shared" si="164"/>
        <v>2306597.7375107561</v>
      </c>
      <c r="AD86" s="10">
        <f t="shared" si="164"/>
        <v>2474787.1558709154</v>
      </c>
      <c r="AE86" s="10">
        <f t="shared" si="164"/>
        <v>2549030.7705470426</v>
      </c>
      <c r="AF86" s="10">
        <f t="shared" si="164"/>
        <v>2625501.6936634541</v>
      </c>
      <c r="AG86" s="10">
        <f t="shared" si="164"/>
        <v>2704266.7444733577</v>
      </c>
      <c r="AH86" s="10">
        <f t="shared" si="164"/>
        <v>2896810.5366798611</v>
      </c>
      <c r="AI86" s="10">
        <f t="shared" si="164"/>
        <v>2983714.8527802569</v>
      </c>
      <c r="AJ86" s="10">
        <f t="shared" si="164"/>
        <v>3073226.2983636651</v>
      </c>
      <c r="AK86" s="10">
        <f t="shared" si="164"/>
        <v>3165423.087314575</v>
      </c>
      <c r="AL86" s="10">
        <f t="shared" si="164"/>
        <v>3385785.2330083977</v>
      </c>
      <c r="AM86" s="10">
        <f t="shared" si="164"/>
        <v>3487358.7899986496</v>
      </c>
      <c r="AN86" s="10">
        <f t="shared" si="164"/>
        <v>3591979.5536986087</v>
      </c>
      <c r="AO86" s="10">
        <f t="shared" si="164"/>
        <v>3699738.9403095674</v>
      </c>
      <c r="AP86" s="10">
        <f t="shared" si="164"/>
        <v>3810731.1085188547</v>
      </c>
      <c r="AQ86" s="10">
        <f t="shared" si="164"/>
        <v>3925053.0417744205</v>
      </c>
      <c r="AR86" s="10">
        <f t="shared" si="164"/>
        <v>4192538.1379546025</v>
      </c>
      <c r="AS86" s="10">
        <f t="shared" si="164"/>
        <v>4318314.2820932409</v>
      </c>
      <c r="AT86" s="10">
        <f t="shared" si="164"/>
        <v>4447863.7105560377</v>
      </c>
      <c r="AU86" s="10">
        <f t="shared" si="164"/>
        <v>4581299.6218727194</v>
      </c>
      <c r="AV86" s="10">
        <f t="shared" si="164"/>
        <v>4718738.6105289003</v>
      </c>
      <c r="AW86" s="10">
        <f t="shared" si="164"/>
        <v>4860300.7688447675</v>
      </c>
      <c r="AX86" s="10">
        <f t="shared" si="164"/>
        <v>5006109.791910111</v>
      </c>
      <c r="AY86" s="10">
        <f t="shared" si="164"/>
        <v>5156293.0856674137</v>
      </c>
      <c r="AZ86" s="10">
        <f t="shared" si="164"/>
        <v>5310981.8782374375</v>
      </c>
      <c r="BA86" s="10">
        <f t="shared" si="164"/>
        <v>5470311.3345845602</v>
      </c>
      <c r="BB86" s="10">
        <f t="shared" si="164"/>
        <v>5634420.6746220971</v>
      </c>
      <c r="BC86" s="10">
        <f t="shared" si="164"/>
        <v>5803453.2948607598</v>
      </c>
      <c r="BD86" s="10">
        <f t="shared" si="164"/>
        <v>5977556.8937065825</v>
      </c>
      <c r="BE86" s="10">
        <f t="shared" si="164"/>
        <v>6376772.3005362721</v>
      </c>
      <c r="BF86" s="10">
        <f t="shared" si="164"/>
        <v>6568075.4695523614</v>
      </c>
      <c r="BG86" s="10">
        <f t="shared" si="164"/>
        <v>6765117.733638932</v>
      </c>
      <c r="BH86" s="43"/>
    </row>
    <row r="87" spans="1:60" s="90" customFormat="1" ht="12.75" x14ac:dyDescent="0.2">
      <c r="A87" s="43"/>
      <c r="B87" s="93"/>
      <c r="C87" s="179" t="s">
        <v>255</v>
      </c>
      <c r="D87" s="43"/>
      <c r="E87" s="43"/>
      <c r="F87" s="43"/>
      <c r="G87" s="43"/>
      <c r="H87" s="43"/>
      <c r="I87" s="13"/>
      <c r="J87" s="181"/>
      <c r="K87" s="181"/>
      <c r="L87" s="181"/>
      <c r="M87" s="181"/>
      <c r="N87" s="181"/>
      <c r="O87" s="184"/>
      <c r="P87" s="181"/>
      <c r="Q87" s="181"/>
      <c r="R87" s="181"/>
      <c r="S87" s="181"/>
      <c r="T87" s="181"/>
      <c r="U87" s="181"/>
      <c r="V87" s="181"/>
      <c r="W87" s="181"/>
      <c r="X87" s="181"/>
      <c r="Y87" s="181"/>
      <c r="Z87" s="181"/>
      <c r="AA87" s="181"/>
      <c r="AB87" s="181"/>
      <c r="AC87" s="181"/>
      <c r="AD87" s="181"/>
      <c r="AE87" s="181"/>
      <c r="AF87" s="181"/>
      <c r="AG87" s="181"/>
      <c r="AH87" s="181"/>
      <c r="AI87" s="181"/>
      <c r="AJ87" s="181"/>
      <c r="AK87" s="181"/>
      <c r="AL87" s="181"/>
      <c r="AM87" s="181"/>
      <c r="AN87" s="181"/>
      <c r="AO87" s="181"/>
      <c r="AP87" s="181"/>
      <c r="AQ87" s="181"/>
      <c r="AR87" s="181"/>
      <c r="AS87" s="181"/>
      <c r="AT87" s="181"/>
      <c r="AU87" s="181"/>
      <c r="AV87" s="181"/>
      <c r="AW87" s="181"/>
      <c r="AX87" s="181"/>
      <c r="AY87" s="181"/>
      <c r="AZ87" s="181"/>
      <c r="BA87" s="181"/>
      <c r="BB87" s="181"/>
      <c r="BC87" s="181"/>
      <c r="BD87" s="181"/>
      <c r="BE87" s="181"/>
      <c r="BF87" s="181"/>
      <c r="BG87" s="181"/>
      <c r="BH87" s="43"/>
    </row>
    <row r="88" spans="1:60" s="90" customFormat="1" ht="12.75" x14ac:dyDescent="0.2">
      <c r="A88" s="43"/>
      <c r="B88" s="93"/>
      <c r="C88" s="179" t="s">
        <v>256</v>
      </c>
      <c r="D88" s="43"/>
      <c r="E88" s="43"/>
      <c r="F88" s="43"/>
      <c r="G88" s="43"/>
      <c r="H88" s="43"/>
      <c r="I88" s="13"/>
      <c r="J88" s="181"/>
      <c r="K88" s="181"/>
      <c r="L88" s="181"/>
      <c r="M88" s="181"/>
      <c r="N88" s="181"/>
      <c r="O88" s="184"/>
      <c r="P88" s="181"/>
      <c r="Q88" s="181"/>
      <c r="R88" s="181"/>
      <c r="S88" s="181"/>
      <c r="T88" s="181"/>
      <c r="U88" s="181"/>
      <c r="V88" s="181"/>
      <c r="W88" s="181"/>
      <c r="X88" s="181"/>
      <c r="Y88" s="181"/>
      <c r="Z88" s="181"/>
      <c r="AA88" s="181"/>
      <c r="AB88" s="181"/>
      <c r="AC88" s="181"/>
      <c r="AD88" s="181"/>
      <c r="AE88" s="181"/>
      <c r="AF88" s="181"/>
      <c r="AG88" s="181"/>
      <c r="AH88" s="181"/>
      <c r="AI88" s="181"/>
      <c r="AJ88" s="181"/>
      <c r="AK88" s="181"/>
      <c r="AL88" s="181"/>
      <c r="AM88" s="181"/>
      <c r="AN88" s="181"/>
      <c r="AO88" s="181"/>
      <c r="AP88" s="181"/>
      <c r="AQ88" s="181"/>
      <c r="AR88" s="181"/>
      <c r="AS88" s="181"/>
      <c r="AT88" s="181"/>
      <c r="AU88" s="181"/>
      <c r="AV88" s="181"/>
      <c r="AW88" s="181"/>
      <c r="AX88" s="181"/>
      <c r="AY88" s="181"/>
      <c r="AZ88" s="181"/>
      <c r="BA88" s="181"/>
      <c r="BB88" s="181"/>
      <c r="BC88" s="181"/>
      <c r="BD88" s="181"/>
      <c r="BE88" s="181"/>
      <c r="BF88" s="181"/>
      <c r="BG88" s="181"/>
      <c r="BH88" s="43"/>
    </row>
    <row r="89" spans="1:60" s="90" customFormat="1" ht="12.75" x14ac:dyDescent="0.2">
      <c r="A89" s="43"/>
      <c r="B89" s="93"/>
      <c r="C89" s="90" t="s">
        <v>246</v>
      </c>
      <c r="D89" s="43"/>
      <c r="E89" s="43"/>
      <c r="F89" s="43"/>
      <c r="G89" s="43"/>
      <c r="H89" s="43"/>
      <c r="I89" s="13"/>
      <c r="J89" s="10">
        <f t="shared" ref="J89:Y90" si="165">J69*J80</f>
        <v>8482363.349072665</v>
      </c>
      <c r="K89" s="10">
        <f t="shared" si="165"/>
        <v>8491875.7136855517</v>
      </c>
      <c r="L89" s="10">
        <f t="shared" si="165"/>
        <v>8469293.6145654563</v>
      </c>
      <c r="M89" s="10">
        <f t="shared" si="165"/>
        <v>8128176.5271357279</v>
      </c>
      <c r="N89" s="10">
        <f t="shared" si="165"/>
        <v>8459806.1294428669</v>
      </c>
      <c r="O89" s="10">
        <f t="shared" si="165"/>
        <v>8280000</v>
      </c>
      <c r="P89" s="10">
        <f t="shared" si="165"/>
        <v>8186112</v>
      </c>
      <c r="Q89" s="10">
        <f t="shared" si="165"/>
        <v>8740311.7824000008</v>
      </c>
      <c r="R89" s="10">
        <f t="shared" si="165"/>
        <v>9138869.999677442</v>
      </c>
      <c r="S89" s="10">
        <f t="shared" si="165"/>
        <v>9917335.5623772386</v>
      </c>
      <c r="T89" s="10">
        <f t="shared" si="165"/>
        <v>10280310.043960245</v>
      </c>
      <c r="U89" s="10">
        <f t="shared" si="165"/>
        <v>10588719.345279053</v>
      </c>
      <c r="V89" s="10">
        <f t="shared" si="165"/>
        <v>10906380.925637424</v>
      </c>
      <c r="W89" s="10">
        <f t="shared" si="165"/>
        <v>11233572.353406547</v>
      </c>
      <c r="X89" s="10">
        <f t="shared" si="165"/>
        <v>11570579.524008743</v>
      </c>
      <c r="Y89" s="10">
        <f t="shared" si="165"/>
        <v>11917696.909729006</v>
      </c>
      <c r="Z89" s="10">
        <f t="shared" ref="Z89:BG89" si="166">Z69*Z80</f>
        <v>12275227.817020876</v>
      </c>
      <c r="AA89" s="10">
        <f t="shared" si="166"/>
        <v>13193201.375511132</v>
      </c>
      <c r="AB89" s="10">
        <f t="shared" si="166"/>
        <v>13588997.416776467</v>
      </c>
      <c r="AC89" s="10">
        <f t="shared" si="166"/>
        <v>13996667.339279763</v>
      </c>
      <c r="AD89" s="10">
        <f t="shared" si="166"/>
        <v>15017257.666102244</v>
      </c>
      <c r="AE89" s="10">
        <f t="shared" si="166"/>
        <v>15467775.396085313</v>
      </c>
      <c r="AF89" s="10">
        <f t="shared" si="166"/>
        <v>15931808.657967873</v>
      </c>
      <c r="AG89" s="10">
        <f t="shared" si="166"/>
        <v>16409762.917706909</v>
      </c>
      <c r="AH89" s="10">
        <f t="shared" si="166"/>
        <v>17578138.037447643</v>
      </c>
      <c r="AI89" s="10">
        <f t="shared" si="166"/>
        <v>18105482.178571071</v>
      </c>
      <c r="AJ89" s="10">
        <f t="shared" si="166"/>
        <v>18648646.643928204</v>
      </c>
      <c r="AK89" s="10">
        <f t="shared" si="166"/>
        <v>19208106.043246053</v>
      </c>
      <c r="AL89" s="10">
        <f t="shared" si="166"/>
        <v>20545285.733179722</v>
      </c>
      <c r="AM89" s="10">
        <f t="shared" si="166"/>
        <v>21161644.305175111</v>
      </c>
      <c r="AN89" s="10">
        <f t="shared" si="166"/>
        <v>21796493.634330366</v>
      </c>
      <c r="AO89" s="10">
        <f t="shared" si="166"/>
        <v>22450388.443360277</v>
      </c>
      <c r="AP89" s="10">
        <f t="shared" si="166"/>
        <v>23123900.096661087</v>
      </c>
      <c r="AQ89" s="10">
        <f t="shared" si="166"/>
        <v>23817617.09956092</v>
      </c>
      <c r="AR89" s="10">
        <f t="shared" si="166"/>
        <v>25440743.598197665</v>
      </c>
      <c r="AS89" s="10">
        <f t="shared" si="166"/>
        <v>26203965.906143595</v>
      </c>
      <c r="AT89" s="10">
        <f t="shared" si="166"/>
        <v>26990084.883327898</v>
      </c>
      <c r="AU89" s="10">
        <f t="shared" si="166"/>
        <v>27799787.429827739</v>
      </c>
      <c r="AV89" s="10">
        <f t="shared" si="166"/>
        <v>28633781.05272257</v>
      </c>
      <c r="AW89" s="10">
        <f t="shared" si="166"/>
        <v>29492794.484304249</v>
      </c>
      <c r="AX89" s="10">
        <f t="shared" si="166"/>
        <v>30377578.318833373</v>
      </c>
      <c r="AY89" s="10">
        <f t="shared" si="166"/>
        <v>31288905.668398373</v>
      </c>
      <c r="AZ89" s="10">
        <f t="shared" si="166"/>
        <v>32227572.838450328</v>
      </c>
      <c r="BA89" s="10">
        <f t="shared" si="166"/>
        <v>33194400.023603842</v>
      </c>
      <c r="BB89" s="10">
        <f t="shared" si="166"/>
        <v>34190232.02431196</v>
      </c>
      <c r="BC89" s="10">
        <f t="shared" si="166"/>
        <v>35215938.985041313</v>
      </c>
      <c r="BD89" s="10">
        <f t="shared" si="166"/>
        <v>36272417.154592559</v>
      </c>
      <c r="BE89" s="10">
        <f t="shared" si="166"/>
        <v>38694896.443131417</v>
      </c>
      <c r="BF89" s="10">
        <f t="shared" si="166"/>
        <v>39855743.336425364</v>
      </c>
      <c r="BG89" s="10">
        <f t="shared" si="166"/>
        <v>41051415.636518121</v>
      </c>
      <c r="BH89" s="43"/>
    </row>
    <row r="90" spans="1:60" s="90" customFormat="1" ht="12.75" x14ac:dyDescent="0.2">
      <c r="A90" s="43"/>
      <c r="B90" s="93"/>
      <c r="C90" s="90" t="s">
        <v>177</v>
      </c>
      <c r="D90" s="43"/>
      <c r="E90" s="43"/>
      <c r="F90" s="43"/>
      <c r="G90" s="43"/>
      <c r="H90" s="43"/>
      <c r="I90" s="13"/>
      <c r="J90" s="10">
        <f t="shared" si="165"/>
        <v>145411943.12695995</v>
      </c>
      <c r="K90" s="10">
        <f t="shared" si="165"/>
        <v>150966679.35440981</v>
      </c>
      <c r="L90" s="10">
        <f t="shared" si="165"/>
        <v>156356189.80736226</v>
      </c>
      <c r="M90" s="10">
        <f t="shared" si="165"/>
        <v>162563530.54271457</v>
      </c>
      <c r="N90" s="10">
        <f t="shared" si="165"/>
        <v>169196122.58885732</v>
      </c>
      <c r="O90" s="10">
        <f t="shared" si="165"/>
        <v>172800000</v>
      </c>
      <c r="P90" s="10">
        <f t="shared" si="165"/>
        <v>178606080.00000003</v>
      </c>
      <c r="Q90" s="10">
        <f t="shared" si="165"/>
        <v>190697711.616</v>
      </c>
      <c r="R90" s="10">
        <f>R70*R81</f>
        <v>199393527.26568961</v>
      </c>
      <c r="S90" s="10">
        <f t="shared" ref="S90:BG90" si="167">S70*S81</f>
        <v>206970481.30178583</v>
      </c>
      <c r="T90" s="10">
        <f t="shared" si="167"/>
        <v>214545600.91743121</v>
      </c>
      <c r="U90" s="10">
        <f t="shared" si="167"/>
        <v>220981968.94495416</v>
      </c>
      <c r="V90" s="10">
        <f t="shared" si="167"/>
        <v>227611428.01330274</v>
      </c>
      <c r="W90" s="10">
        <f t="shared" si="167"/>
        <v>234439770.85370183</v>
      </c>
      <c r="X90" s="10">
        <f t="shared" si="167"/>
        <v>241472963.9793129</v>
      </c>
      <c r="Y90" s="10">
        <f t="shared" si="167"/>
        <v>248717152.89869228</v>
      </c>
      <c r="Z90" s="10">
        <f t="shared" si="167"/>
        <v>256178667.48565304</v>
      </c>
      <c r="AA90" s="10">
        <f t="shared" si="167"/>
        <v>263864027.51022264</v>
      </c>
      <c r="AB90" s="10">
        <f t="shared" si="167"/>
        <v>271779948.33552939</v>
      </c>
      <c r="AC90" s="10">
        <f t="shared" si="167"/>
        <v>279933346.78559524</v>
      </c>
      <c r="AD90" s="10">
        <f t="shared" si="167"/>
        <v>288331347.18916309</v>
      </c>
      <c r="AE90" s="10">
        <f t="shared" si="167"/>
        <v>296981287.60483801</v>
      </c>
      <c r="AF90" s="10">
        <f t="shared" si="167"/>
        <v>305890726.23298317</v>
      </c>
      <c r="AG90" s="10">
        <f t="shared" si="167"/>
        <v>315067448.01997262</v>
      </c>
      <c r="AH90" s="10">
        <f t="shared" si="167"/>
        <v>324519471.46057189</v>
      </c>
      <c r="AI90" s="10">
        <f t="shared" si="167"/>
        <v>334255055.60438901</v>
      </c>
      <c r="AJ90" s="10">
        <f t="shared" si="167"/>
        <v>344282707.27252072</v>
      </c>
      <c r="AK90" s="10">
        <f t="shared" si="167"/>
        <v>354611188.49069637</v>
      </c>
      <c r="AL90" s="10">
        <f t="shared" si="167"/>
        <v>365249524.14541727</v>
      </c>
      <c r="AM90" s="10">
        <f t="shared" si="167"/>
        <v>376207009.86977977</v>
      </c>
      <c r="AN90" s="10">
        <f t="shared" si="167"/>
        <v>387493220.16587317</v>
      </c>
      <c r="AO90" s="10">
        <f t="shared" si="167"/>
        <v>399118016.77084935</v>
      </c>
      <c r="AP90" s="10">
        <f t="shared" si="167"/>
        <v>411091557.2739749</v>
      </c>
      <c r="AQ90" s="10">
        <f t="shared" si="167"/>
        <v>423424303.99219418</v>
      </c>
      <c r="AR90" s="10">
        <f t="shared" si="167"/>
        <v>436127033.11195993</v>
      </c>
      <c r="AS90" s="10">
        <f t="shared" si="167"/>
        <v>449210844.10531873</v>
      </c>
      <c r="AT90" s="10">
        <f t="shared" si="167"/>
        <v>462687169.4284783</v>
      </c>
      <c r="AU90" s="10">
        <f t="shared" si="167"/>
        <v>476567784.51133263</v>
      </c>
      <c r="AV90" s="10">
        <f t="shared" si="167"/>
        <v>490864818.04667258</v>
      </c>
      <c r="AW90" s="10">
        <f t="shared" si="167"/>
        <v>505590762.58807278</v>
      </c>
      <c r="AX90" s="10">
        <f t="shared" si="167"/>
        <v>520758485.46571499</v>
      </c>
      <c r="AY90" s="10">
        <f t="shared" si="167"/>
        <v>536381240.02968645</v>
      </c>
      <c r="AZ90" s="10">
        <f t="shared" si="167"/>
        <v>552472677.23057699</v>
      </c>
      <c r="BA90" s="10">
        <f t="shared" si="167"/>
        <v>569046857.54749441</v>
      </c>
      <c r="BB90" s="10">
        <f t="shared" si="167"/>
        <v>586118263.27391922</v>
      </c>
      <c r="BC90" s="10">
        <f t="shared" si="167"/>
        <v>603701811.17213678</v>
      </c>
      <c r="BD90" s="10">
        <f t="shared" si="167"/>
        <v>621812865.50730097</v>
      </c>
      <c r="BE90" s="10">
        <f t="shared" si="167"/>
        <v>640467251.47251999</v>
      </c>
      <c r="BF90" s="10">
        <f t="shared" si="167"/>
        <v>659681269.01669562</v>
      </c>
      <c r="BG90" s="10">
        <f t="shared" si="167"/>
        <v>679471707.08719647</v>
      </c>
      <c r="BH90" s="43"/>
    </row>
    <row r="91" spans="1:60" ht="12.75" x14ac:dyDescent="0.2">
      <c r="B91" s="101" t="s">
        <v>170</v>
      </c>
      <c r="F91" s="92"/>
      <c r="G91" s="92"/>
      <c r="I91" s="99"/>
      <c r="J91" s="99"/>
      <c r="K91" s="99"/>
      <c r="L91" s="99"/>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row>
    <row r="92" spans="1:60" ht="12.75" x14ac:dyDescent="0.2">
      <c r="B92" s="101"/>
      <c r="C92" s="90" t="s">
        <v>144</v>
      </c>
      <c r="F92" s="92"/>
      <c r="G92" s="92"/>
      <c r="I92" s="99"/>
      <c r="J92" s="10">
        <f t="shared" ref="J92:Q92" si="168">J39*J$72</f>
        <v>153516240.47292832</v>
      </c>
      <c r="K92" s="10">
        <f t="shared" si="168"/>
        <v>154104448.398211</v>
      </c>
      <c r="L92" s="10">
        <f t="shared" si="168"/>
        <v>152537515.61337954</v>
      </c>
      <c r="M92" s="10">
        <f t="shared" si="168"/>
        <v>151690988.10253212</v>
      </c>
      <c r="N92" s="10">
        <f t="shared" si="168"/>
        <v>151390357.38764319</v>
      </c>
      <c r="O92" s="10">
        <f t="shared" si="168"/>
        <v>152050188</v>
      </c>
      <c r="P92" s="10">
        <f t="shared" si="168"/>
        <v>150100824.6853255</v>
      </c>
      <c r="Q92" s="10">
        <f t="shared" si="168"/>
        <v>161427410.73859188</v>
      </c>
      <c r="R92" s="10">
        <f t="shared" ref="R92:BG92" si="169">R39*R$72</f>
        <v>169337198.73897511</v>
      </c>
      <c r="S92" s="10">
        <f t="shared" si="169"/>
        <v>177097218.09689149</v>
      </c>
      <c r="T92" s="10">
        <f t="shared" si="169"/>
        <v>184887877.95460871</v>
      </c>
      <c r="U92" s="10">
        <f t="shared" si="169"/>
        <v>191692042.60114345</v>
      </c>
      <c r="V92" s="10">
        <f t="shared" si="169"/>
        <v>198619332.68051028</v>
      </c>
      <c r="W92" s="10">
        <f t="shared" si="169"/>
        <v>205669576.96177456</v>
      </c>
      <c r="X92" s="10">
        <f t="shared" si="169"/>
        <v>212864236.6477035</v>
      </c>
      <c r="Y92" s="10">
        <f t="shared" si="169"/>
        <v>220213978.74079642</v>
      </c>
      <c r="Z92" s="10">
        <f t="shared" si="169"/>
        <v>228845094.15374407</v>
      </c>
      <c r="AA92" s="10">
        <f t="shared" si="169"/>
        <v>238847164.03949353</v>
      </c>
      <c r="AB92" s="10">
        <f t="shared" si="169"/>
        <v>249124725.95611718</v>
      </c>
      <c r="AC92" s="10">
        <f t="shared" si="169"/>
        <v>259705234.32860863</v>
      </c>
      <c r="AD92" s="10">
        <f t="shared" si="169"/>
        <v>270642099.82773733</v>
      </c>
      <c r="AE92" s="10">
        <f t="shared" si="169"/>
        <v>281963260.85497785</v>
      </c>
      <c r="AF92" s="10">
        <f t="shared" si="169"/>
        <v>293622875.69760704</v>
      </c>
      <c r="AG92" s="10">
        <f t="shared" si="169"/>
        <v>305591547.50517482</v>
      </c>
      <c r="AH92" s="10">
        <f t="shared" si="169"/>
        <v>317888990.58448321</v>
      </c>
      <c r="AI92" s="10">
        <f t="shared" si="169"/>
        <v>330533010.95383865</v>
      </c>
      <c r="AJ92" s="10">
        <f t="shared" si="169"/>
        <v>343523224.59241861</v>
      </c>
      <c r="AK92" s="10">
        <f t="shared" si="169"/>
        <v>356849928.18540615</v>
      </c>
      <c r="AL92" s="10">
        <f t="shared" si="169"/>
        <v>370514704.76221055</v>
      </c>
      <c r="AM92" s="10">
        <f t="shared" si="169"/>
        <v>384531787.66828912</v>
      </c>
      <c r="AN92" s="10">
        <f t="shared" si="169"/>
        <v>398913335.40408069</v>
      </c>
      <c r="AO92" s="10">
        <f t="shared" si="169"/>
        <v>413654435.81177491</v>
      </c>
      <c r="AP92" s="10">
        <f t="shared" si="169"/>
        <v>428741760.21919</v>
      </c>
      <c r="AQ92" s="10">
        <f t="shared" si="169"/>
        <v>444173025.78615826</v>
      </c>
      <c r="AR92" s="10">
        <f t="shared" si="169"/>
        <v>459959084.07571256</v>
      </c>
      <c r="AS92" s="10">
        <f t="shared" si="169"/>
        <v>476110379.1172784</v>
      </c>
      <c r="AT92" s="10">
        <f t="shared" si="169"/>
        <v>492621916.88289744</v>
      </c>
      <c r="AU92" s="10">
        <f t="shared" si="169"/>
        <v>509480218.13627487</v>
      </c>
      <c r="AV92" s="10">
        <f t="shared" si="169"/>
        <v>526681904.96828502</v>
      </c>
      <c r="AW92" s="10">
        <f t="shared" si="169"/>
        <v>544236518.31427526</v>
      </c>
      <c r="AX92" s="10">
        <f t="shared" si="169"/>
        <v>561810191.42143917</v>
      </c>
      <c r="AY92" s="10">
        <f t="shared" si="169"/>
        <v>579485002.14232254</v>
      </c>
      <c r="AZ92" s="10">
        <f t="shared" si="169"/>
        <v>597715870.65423417</v>
      </c>
      <c r="BA92" s="10">
        <f t="shared" si="169"/>
        <v>616520290.79469514</v>
      </c>
      <c r="BB92" s="10">
        <f t="shared" si="169"/>
        <v>635916306.76551604</v>
      </c>
      <c r="BC92" s="10">
        <f t="shared" si="169"/>
        <v>655922530.4475143</v>
      </c>
      <c r="BD92" s="10">
        <f t="shared" si="169"/>
        <v>676558159.25996149</v>
      </c>
      <c r="BE92" s="10">
        <f t="shared" si="169"/>
        <v>697842994.5818944</v>
      </c>
      <c r="BF92" s="10">
        <f t="shared" si="169"/>
        <v>719797460.75297332</v>
      </c>
      <c r="BG92" s="10">
        <f t="shared" si="169"/>
        <v>742442624.67211223</v>
      </c>
    </row>
    <row r="93" spans="1:60" ht="12.75" x14ac:dyDescent="0.2">
      <c r="B93" s="101"/>
      <c r="C93" s="90" t="s">
        <v>162</v>
      </c>
      <c r="F93" s="92"/>
      <c r="G93" s="92"/>
      <c r="I93" s="99"/>
      <c r="J93" s="10">
        <f t="shared" ref="J93:Q93" si="170">J40*J$72</f>
        <v>153516240.47292832</v>
      </c>
      <c r="K93" s="10">
        <f t="shared" si="170"/>
        <v>154104448.398211</v>
      </c>
      <c r="L93" s="10">
        <f t="shared" si="170"/>
        <v>152537515.61337954</v>
      </c>
      <c r="M93" s="10">
        <f t="shared" si="170"/>
        <v>151690988.10253212</v>
      </c>
      <c r="N93" s="10">
        <f t="shared" si="170"/>
        <v>151390357.38764319</v>
      </c>
      <c r="O93" s="10">
        <f t="shared" si="170"/>
        <v>152050188</v>
      </c>
      <c r="P93" s="10">
        <f t="shared" si="170"/>
        <v>150100824.6853255</v>
      </c>
      <c r="Q93" s="10">
        <f t="shared" si="170"/>
        <v>161427410.73859188</v>
      </c>
      <c r="R93" s="10">
        <f t="shared" ref="R93:BG93" si="171">R40*R$72</f>
        <v>169337198.73897511</v>
      </c>
      <c r="S93" s="10">
        <f t="shared" si="171"/>
        <v>177097218.09689149</v>
      </c>
      <c r="T93" s="10">
        <f t="shared" si="171"/>
        <v>184887877.95460871</v>
      </c>
      <c r="U93" s="10">
        <f t="shared" si="171"/>
        <v>191692042.60114345</v>
      </c>
      <c r="V93" s="10">
        <f t="shared" si="171"/>
        <v>198619332.68051028</v>
      </c>
      <c r="W93" s="10">
        <f t="shared" si="171"/>
        <v>205669576.96177456</v>
      </c>
      <c r="X93" s="10">
        <f t="shared" si="171"/>
        <v>212864236.6477035</v>
      </c>
      <c r="Y93" s="10">
        <f t="shared" si="171"/>
        <v>220213978.74079642</v>
      </c>
      <c r="Z93" s="10">
        <f t="shared" si="171"/>
        <v>228845094.15374407</v>
      </c>
      <c r="AA93" s="10">
        <f t="shared" si="171"/>
        <v>238847164.03949353</v>
      </c>
      <c r="AB93" s="10">
        <f t="shared" si="171"/>
        <v>249124725.95611718</v>
      </c>
      <c r="AC93" s="10">
        <f t="shared" si="171"/>
        <v>259705234.32860863</v>
      </c>
      <c r="AD93" s="10">
        <f t="shared" si="171"/>
        <v>270642099.82773733</v>
      </c>
      <c r="AE93" s="10">
        <f t="shared" si="171"/>
        <v>281963260.85497785</v>
      </c>
      <c r="AF93" s="10">
        <f t="shared" si="171"/>
        <v>293622875.69760704</v>
      </c>
      <c r="AG93" s="10">
        <f t="shared" si="171"/>
        <v>305591547.50517482</v>
      </c>
      <c r="AH93" s="10">
        <f t="shared" si="171"/>
        <v>317888990.58448321</v>
      </c>
      <c r="AI93" s="10">
        <f t="shared" si="171"/>
        <v>330533010.95383865</v>
      </c>
      <c r="AJ93" s="10">
        <f t="shared" si="171"/>
        <v>343523224.59241861</v>
      </c>
      <c r="AK93" s="10">
        <f t="shared" si="171"/>
        <v>356849928.18540615</v>
      </c>
      <c r="AL93" s="10">
        <f t="shared" si="171"/>
        <v>370514704.76221055</v>
      </c>
      <c r="AM93" s="10">
        <f t="shared" si="171"/>
        <v>384531787.66828912</v>
      </c>
      <c r="AN93" s="10">
        <f t="shared" si="171"/>
        <v>398913335.40408069</v>
      </c>
      <c r="AO93" s="10">
        <f t="shared" si="171"/>
        <v>413654435.81177491</v>
      </c>
      <c r="AP93" s="10">
        <f t="shared" si="171"/>
        <v>428741760.21919</v>
      </c>
      <c r="AQ93" s="10">
        <f t="shared" si="171"/>
        <v>444173025.78615826</v>
      </c>
      <c r="AR93" s="10">
        <f t="shared" si="171"/>
        <v>459959084.07571256</v>
      </c>
      <c r="AS93" s="10">
        <f t="shared" si="171"/>
        <v>476110379.1172784</v>
      </c>
      <c r="AT93" s="10">
        <f t="shared" si="171"/>
        <v>492621916.88289744</v>
      </c>
      <c r="AU93" s="10">
        <f t="shared" si="171"/>
        <v>509480218.13627487</v>
      </c>
      <c r="AV93" s="10">
        <f t="shared" si="171"/>
        <v>526681904.96828502</v>
      </c>
      <c r="AW93" s="10">
        <f t="shared" si="171"/>
        <v>544236518.31427526</v>
      </c>
      <c r="AX93" s="10">
        <f t="shared" si="171"/>
        <v>561810191.42143917</v>
      </c>
      <c r="AY93" s="10">
        <f t="shared" si="171"/>
        <v>579485002.14232254</v>
      </c>
      <c r="AZ93" s="10">
        <f t="shared" si="171"/>
        <v>597715870.65423417</v>
      </c>
      <c r="BA93" s="10">
        <f t="shared" si="171"/>
        <v>616520290.79469514</v>
      </c>
      <c r="BB93" s="10">
        <f t="shared" si="171"/>
        <v>635916306.76551604</v>
      </c>
      <c r="BC93" s="10">
        <f t="shared" si="171"/>
        <v>655922530.4475143</v>
      </c>
      <c r="BD93" s="10">
        <f t="shared" si="171"/>
        <v>676558159.25996149</v>
      </c>
      <c r="BE93" s="10">
        <f t="shared" si="171"/>
        <v>697842994.5818944</v>
      </c>
      <c r="BF93" s="10">
        <f t="shared" si="171"/>
        <v>719797460.75297332</v>
      </c>
      <c r="BG93" s="10">
        <f t="shared" si="171"/>
        <v>742442624.67211223</v>
      </c>
    </row>
    <row r="94" spans="1:60" ht="12.75" x14ac:dyDescent="0.2">
      <c r="B94" s="101"/>
      <c r="C94" s="90" t="s">
        <v>231</v>
      </c>
      <c r="F94" s="92"/>
      <c r="G94" s="92"/>
      <c r="I94" s="99"/>
      <c r="J94" s="10">
        <f t="shared" ref="J94:Q94" si="172">J41*J$72</f>
        <v>153516240.47292832</v>
      </c>
      <c r="K94" s="10">
        <f t="shared" si="172"/>
        <v>154104448.398211</v>
      </c>
      <c r="L94" s="10">
        <f t="shared" si="172"/>
        <v>152537515.61337954</v>
      </c>
      <c r="M94" s="10">
        <f t="shared" si="172"/>
        <v>151690988.10253212</v>
      </c>
      <c r="N94" s="10">
        <f t="shared" si="172"/>
        <v>151390357.38764319</v>
      </c>
      <c r="O94" s="10">
        <f t="shared" si="172"/>
        <v>152050188</v>
      </c>
      <c r="P94" s="10">
        <f t="shared" si="172"/>
        <v>150100824.6853255</v>
      </c>
      <c r="Q94" s="10">
        <f t="shared" si="172"/>
        <v>161427410.73859188</v>
      </c>
      <c r="R94" s="10">
        <f t="shared" ref="R94:BG94" si="173">R41*R$72</f>
        <v>169337198.73897511</v>
      </c>
      <c r="S94" s="10">
        <f t="shared" si="173"/>
        <v>177097218.09689149</v>
      </c>
      <c r="T94" s="10">
        <f t="shared" si="173"/>
        <v>184887877.95460871</v>
      </c>
      <c r="U94" s="10">
        <f t="shared" si="173"/>
        <v>191692042.60114345</v>
      </c>
      <c r="V94" s="10">
        <f t="shared" si="173"/>
        <v>198619332.68051028</v>
      </c>
      <c r="W94" s="10">
        <f t="shared" si="173"/>
        <v>205669576.96177456</v>
      </c>
      <c r="X94" s="10">
        <f t="shared" si="173"/>
        <v>212864236.6477035</v>
      </c>
      <c r="Y94" s="10">
        <f t="shared" si="173"/>
        <v>220213978.74079642</v>
      </c>
      <c r="Z94" s="10">
        <f t="shared" si="173"/>
        <v>228845094.15374407</v>
      </c>
      <c r="AA94" s="10">
        <f t="shared" si="173"/>
        <v>238847164.03949353</v>
      </c>
      <c r="AB94" s="10">
        <f t="shared" si="173"/>
        <v>249124725.95611718</v>
      </c>
      <c r="AC94" s="10">
        <f t="shared" si="173"/>
        <v>259705234.32860863</v>
      </c>
      <c r="AD94" s="10">
        <f t="shared" si="173"/>
        <v>270642099.82773733</v>
      </c>
      <c r="AE94" s="10">
        <f t="shared" si="173"/>
        <v>281963260.85497785</v>
      </c>
      <c r="AF94" s="10">
        <f t="shared" si="173"/>
        <v>293622875.69760704</v>
      </c>
      <c r="AG94" s="10">
        <f t="shared" si="173"/>
        <v>305591547.50517482</v>
      </c>
      <c r="AH94" s="10">
        <f t="shared" si="173"/>
        <v>317888990.58448321</v>
      </c>
      <c r="AI94" s="10">
        <f t="shared" si="173"/>
        <v>330533010.95383865</v>
      </c>
      <c r="AJ94" s="10">
        <f t="shared" si="173"/>
        <v>343523224.59241861</v>
      </c>
      <c r="AK94" s="10">
        <f t="shared" si="173"/>
        <v>356849928.18540615</v>
      </c>
      <c r="AL94" s="10">
        <f t="shared" si="173"/>
        <v>370514704.76221055</v>
      </c>
      <c r="AM94" s="10">
        <f t="shared" si="173"/>
        <v>384531787.66828912</v>
      </c>
      <c r="AN94" s="10">
        <f t="shared" si="173"/>
        <v>398913335.40408069</v>
      </c>
      <c r="AO94" s="10">
        <f t="shared" si="173"/>
        <v>413654435.81177491</v>
      </c>
      <c r="AP94" s="10">
        <f t="shared" si="173"/>
        <v>428741760.21919</v>
      </c>
      <c r="AQ94" s="10">
        <f t="shared" si="173"/>
        <v>444173025.78615826</v>
      </c>
      <c r="AR94" s="10">
        <f t="shared" si="173"/>
        <v>459959084.07571256</v>
      </c>
      <c r="AS94" s="10">
        <f t="shared" si="173"/>
        <v>476110379.1172784</v>
      </c>
      <c r="AT94" s="10">
        <f t="shared" si="173"/>
        <v>492621916.88289744</v>
      </c>
      <c r="AU94" s="10">
        <f t="shared" si="173"/>
        <v>509480218.13627487</v>
      </c>
      <c r="AV94" s="10">
        <f t="shared" si="173"/>
        <v>526681904.96828502</v>
      </c>
      <c r="AW94" s="10">
        <f t="shared" si="173"/>
        <v>544236518.31427526</v>
      </c>
      <c r="AX94" s="10">
        <f t="shared" si="173"/>
        <v>561810191.42143917</v>
      </c>
      <c r="AY94" s="10">
        <f t="shared" si="173"/>
        <v>579485002.14232254</v>
      </c>
      <c r="AZ94" s="10">
        <f t="shared" si="173"/>
        <v>597715870.65423417</v>
      </c>
      <c r="BA94" s="10">
        <f t="shared" si="173"/>
        <v>616520290.79469514</v>
      </c>
      <c r="BB94" s="10">
        <f t="shared" si="173"/>
        <v>635916306.76551604</v>
      </c>
      <c r="BC94" s="10">
        <f t="shared" si="173"/>
        <v>655922530.4475143</v>
      </c>
      <c r="BD94" s="10">
        <f t="shared" si="173"/>
        <v>676558159.25996149</v>
      </c>
      <c r="BE94" s="10">
        <f t="shared" si="173"/>
        <v>697842994.5818944</v>
      </c>
      <c r="BF94" s="10">
        <f t="shared" si="173"/>
        <v>719797460.75297332</v>
      </c>
      <c r="BG94" s="10">
        <f t="shared" si="173"/>
        <v>742442624.67211223</v>
      </c>
    </row>
    <row r="95" spans="1:60" ht="12.75" x14ac:dyDescent="0.2">
      <c r="B95" s="101"/>
      <c r="C95" s="90" t="s">
        <v>311</v>
      </c>
      <c r="F95" s="92"/>
      <c r="G95" s="92"/>
      <c r="I95" s="99"/>
      <c r="J95" s="10">
        <f t="shared" ref="J95:Q95" si="174">J42*J$72</f>
        <v>153516240.47292832</v>
      </c>
      <c r="K95" s="10">
        <f t="shared" si="174"/>
        <v>154104448.398211</v>
      </c>
      <c r="L95" s="10">
        <f t="shared" si="174"/>
        <v>152537515.61337954</v>
      </c>
      <c r="M95" s="10">
        <f t="shared" si="174"/>
        <v>151690988.10253212</v>
      </c>
      <c r="N95" s="10">
        <f t="shared" si="174"/>
        <v>151390357.38764319</v>
      </c>
      <c r="O95" s="10">
        <f t="shared" si="174"/>
        <v>152050188</v>
      </c>
      <c r="P95" s="10">
        <f t="shared" si="174"/>
        <v>150100824.6853255</v>
      </c>
      <c r="Q95" s="10">
        <f t="shared" si="174"/>
        <v>161427410.73859188</v>
      </c>
      <c r="R95" s="10">
        <f t="shared" ref="R95:BG95" si="175">R42*R$72</f>
        <v>169337198.73897511</v>
      </c>
      <c r="S95" s="10">
        <f t="shared" si="175"/>
        <v>177097218.09689149</v>
      </c>
      <c r="T95" s="10">
        <f t="shared" si="175"/>
        <v>184887877.95460871</v>
      </c>
      <c r="U95" s="10">
        <f t="shared" si="175"/>
        <v>191692042.60114345</v>
      </c>
      <c r="V95" s="10">
        <f t="shared" si="175"/>
        <v>198619332.68051028</v>
      </c>
      <c r="W95" s="10">
        <f t="shared" si="175"/>
        <v>205669576.96177456</v>
      </c>
      <c r="X95" s="10">
        <f t="shared" si="175"/>
        <v>212864236.6477035</v>
      </c>
      <c r="Y95" s="10">
        <f t="shared" si="175"/>
        <v>220213978.74079642</v>
      </c>
      <c r="Z95" s="10">
        <f t="shared" si="175"/>
        <v>228845094.15374407</v>
      </c>
      <c r="AA95" s="10">
        <f t="shared" si="175"/>
        <v>238847164.03949353</v>
      </c>
      <c r="AB95" s="10">
        <f t="shared" si="175"/>
        <v>249124725.95611718</v>
      </c>
      <c r="AC95" s="10">
        <f t="shared" si="175"/>
        <v>259705234.32860863</v>
      </c>
      <c r="AD95" s="10">
        <f t="shared" si="175"/>
        <v>270642099.82773733</v>
      </c>
      <c r="AE95" s="10">
        <f t="shared" si="175"/>
        <v>281963260.85497785</v>
      </c>
      <c r="AF95" s="10">
        <f t="shared" si="175"/>
        <v>293622875.69760704</v>
      </c>
      <c r="AG95" s="10">
        <f t="shared" si="175"/>
        <v>305591547.50517482</v>
      </c>
      <c r="AH95" s="10">
        <f t="shared" si="175"/>
        <v>317888990.58448321</v>
      </c>
      <c r="AI95" s="10">
        <f t="shared" si="175"/>
        <v>330533010.95383865</v>
      </c>
      <c r="AJ95" s="10">
        <f t="shared" si="175"/>
        <v>343523224.59241861</v>
      </c>
      <c r="AK95" s="10">
        <f t="shared" si="175"/>
        <v>356849928.18540615</v>
      </c>
      <c r="AL95" s="10">
        <f t="shared" si="175"/>
        <v>370514704.76221055</v>
      </c>
      <c r="AM95" s="10">
        <f t="shared" si="175"/>
        <v>384531787.66828912</v>
      </c>
      <c r="AN95" s="10">
        <f t="shared" si="175"/>
        <v>398913335.40408069</v>
      </c>
      <c r="AO95" s="10">
        <f t="shared" si="175"/>
        <v>413654435.81177491</v>
      </c>
      <c r="AP95" s="10">
        <f t="shared" si="175"/>
        <v>428741760.21919</v>
      </c>
      <c r="AQ95" s="10">
        <f t="shared" si="175"/>
        <v>444173025.78615826</v>
      </c>
      <c r="AR95" s="10">
        <f t="shared" si="175"/>
        <v>459959084.07571256</v>
      </c>
      <c r="AS95" s="10">
        <f t="shared" si="175"/>
        <v>476110379.1172784</v>
      </c>
      <c r="AT95" s="10">
        <f t="shared" si="175"/>
        <v>492621916.88289744</v>
      </c>
      <c r="AU95" s="10">
        <f t="shared" si="175"/>
        <v>509480218.13627487</v>
      </c>
      <c r="AV95" s="10">
        <f t="shared" si="175"/>
        <v>526681904.96828502</v>
      </c>
      <c r="AW95" s="10">
        <f t="shared" si="175"/>
        <v>544236518.31427526</v>
      </c>
      <c r="AX95" s="10">
        <f t="shared" si="175"/>
        <v>561810191.42143917</v>
      </c>
      <c r="AY95" s="10">
        <f t="shared" si="175"/>
        <v>579485002.14232254</v>
      </c>
      <c r="AZ95" s="10">
        <f t="shared" si="175"/>
        <v>597715870.65423417</v>
      </c>
      <c r="BA95" s="10">
        <f t="shared" si="175"/>
        <v>616520290.79469514</v>
      </c>
      <c r="BB95" s="10">
        <f t="shared" si="175"/>
        <v>635916306.76551604</v>
      </c>
      <c r="BC95" s="10">
        <f t="shared" si="175"/>
        <v>655922530.4475143</v>
      </c>
      <c r="BD95" s="10">
        <f t="shared" si="175"/>
        <v>676558159.25996149</v>
      </c>
      <c r="BE95" s="10">
        <f t="shared" si="175"/>
        <v>697842994.5818944</v>
      </c>
      <c r="BF95" s="10">
        <f t="shared" si="175"/>
        <v>719797460.75297332</v>
      </c>
      <c r="BG95" s="10">
        <f t="shared" si="175"/>
        <v>742442624.67211223</v>
      </c>
    </row>
    <row r="96" spans="1:60" ht="12.75" x14ac:dyDescent="0.2">
      <c r="B96" s="101"/>
      <c r="C96" s="179" t="s">
        <v>255</v>
      </c>
      <c r="F96" s="92"/>
      <c r="G96" s="92"/>
      <c r="I96" s="99"/>
      <c r="J96" s="187">
        <f t="shared" ref="J96:Q96" si="176">J43*J$72</f>
        <v>153516240.47292832</v>
      </c>
      <c r="K96" s="187">
        <f t="shared" si="176"/>
        <v>154104448.398211</v>
      </c>
      <c r="L96" s="187">
        <f t="shared" si="176"/>
        <v>152537515.61337954</v>
      </c>
      <c r="M96" s="187">
        <f t="shared" si="176"/>
        <v>151690988.10253212</v>
      </c>
      <c r="N96" s="187">
        <f t="shared" si="176"/>
        <v>151390357.38764319</v>
      </c>
      <c r="O96" s="187">
        <f t="shared" si="176"/>
        <v>152050188</v>
      </c>
      <c r="P96" s="187">
        <f t="shared" si="176"/>
        <v>150100824.6853255</v>
      </c>
      <c r="Q96" s="187">
        <f t="shared" si="176"/>
        <v>161427410.73859188</v>
      </c>
      <c r="R96" s="187">
        <f t="shared" ref="R96:BG96" si="177">R43*R$72</f>
        <v>169337198.73897511</v>
      </c>
      <c r="S96" s="187">
        <f t="shared" si="177"/>
        <v>177097218.09689149</v>
      </c>
      <c r="T96" s="187">
        <f t="shared" si="177"/>
        <v>184887877.95460871</v>
      </c>
      <c r="U96" s="187">
        <f t="shared" si="177"/>
        <v>191692042.60114345</v>
      </c>
      <c r="V96" s="187">
        <f t="shared" si="177"/>
        <v>198619332.68051028</v>
      </c>
      <c r="W96" s="187">
        <f t="shared" si="177"/>
        <v>205669576.96177456</v>
      </c>
      <c r="X96" s="187">
        <f t="shared" si="177"/>
        <v>212864236.6477035</v>
      </c>
      <c r="Y96" s="187">
        <f t="shared" si="177"/>
        <v>220213978.74079642</v>
      </c>
      <c r="Z96" s="187">
        <f t="shared" si="177"/>
        <v>228845094.15374407</v>
      </c>
      <c r="AA96" s="187">
        <f t="shared" si="177"/>
        <v>238847164.03949353</v>
      </c>
      <c r="AB96" s="187">
        <f t="shared" si="177"/>
        <v>249124725.95611718</v>
      </c>
      <c r="AC96" s="187">
        <f t="shared" si="177"/>
        <v>259705234.32860863</v>
      </c>
      <c r="AD96" s="187">
        <f t="shared" si="177"/>
        <v>270642099.82773733</v>
      </c>
      <c r="AE96" s="187">
        <f t="shared" si="177"/>
        <v>281963260.85497785</v>
      </c>
      <c r="AF96" s="187">
        <f t="shared" si="177"/>
        <v>293622875.69760704</v>
      </c>
      <c r="AG96" s="187">
        <f t="shared" si="177"/>
        <v>305591547.50517482</v>
      </c>
      <c r="AH96" s="187">
        <f t="shared" si="177"/>
        <v>317888990.58448321</v>
      </c>
      <c r="AI96" s="187">
        <f t="shared" si="177"/>
        <v>330533010.95383865</v>
      </c>
      <c r="AJ96" s="187">
        <f t="shared" si="177"/>
        <v>343523224.59241861</v>
      </c>
      <c r="AK96" s="187">
        <f t="shared" si="177"/>
        <v>356849928.18540615</v>
      </c>
      <c r="AL96" s="187">
        <f t="shared" si="177"/>
        <v>370514704.76221055</v>
      </c>
      <c r="AM96" s="187">
        <f t="shared" si="177"/>
        <v>384531787.66828912</v>
      </c>
      <c r="AN96" s="187">
        <f t="shared" si="177"/>
        <v>398913335.40408069</v>
      </c>
      <c r="AO96" s="187">
        <f t="shared" si="177"/>
        <v>413654435.81177491</v>
      </c>
      <c r="AP96" s="187">
        <f t="shared" si="177"/>
        <v>428741760.21919</v>
      </c>
      <c r="AQ96" s="187">
        <f t="shared" si="177"/>
        <v>444173025.78615826</v>
      </c>
      <c r="AR96" s="187">
        <f t="shared" si="177"/>
        <v>459959084.07571256</v>
      </c>
      <c r="AS96" s="187">
        <f t="shared" si="177"/>
        <v>476110379.1172784</v>
      </c>
      <c r="AT96" s="187">
        <f t="shared" si="177"/>
        <v>492621916.88289744</v>
      </c>
      <c r="AU96" s="187">
        <f t="shared" si="177"/>
        <v>509480218.13627487</v>
      </c>
      <c r="AV96" s="187">
        <f t="shared" si="177"/>
        <v>526681904.96828502</v>
      </c>
      <c r="AW96" s="187">
        <f t="shared" si="177"/>
        <v>544236518.31427526</v>
      </c>
      <c r="AX96" s="187">
        <f t="shared" si="177"/>
        <v>561810191.42143917</v>
      </c>
      <c r="AY96" s="187">
        <f t="shared" si="177"/>
        <v>579485002.14232254</v>
      </c>
      <c r="AZ96" s="187">
        <f t="shared" si="177"/>
        <v>597715870.65423417</v>
      </c>
      <c r="BA96" s="187">
        <f t="shared" si="177"/>
        <v>616520290.79469514</v>
      </c>
      <c r="BB96" s="187">
        <f t="shared" si="177"/>
        <v>635916306.76551604</v>
      </c>
      <c r="BC96" s="187">
        <f t="shared" si="177"/>
        <v>655922530.4475143</v>
      </c>
      <c r="BD96" s="187">
        <f t="shared" si="177"/>
        <v>676558159.25996149</v>
      </c>
      <c r="BE96" s="187">
        <f t="shared" si="177"/>
        <v>697842994.5818944</v>
      </c>
      <c r="BF96" s="187">
        <f t="shared" si="177"/>
        <v>719797460.75297332</v>
      </c>
      <c r="BG96" s="187">
        <f t="shared" si="177"/>
        <v>742442624.67211223</v>
      </c>
    </row>
    <row r="97" spans="1:158" ht="12.75" x14ac:dyDescent="0.2">
      <c r="B97" s="101"/>
      <c r="C97" s="179" t="s">
        <v>256</v>
      </c>
      <c r="F97" s="92"/>
      <c r="G97" s="92"/>
      <c r="I97" s="99"/>
      <c r="J97" s="187">
        <f t="shared" ref="J97:Q97" si="178">J44*J$72</f>
        <v>153516240.47292832</v>
      </c>
      <c r="K97" s="187">
        <f t="shared" si="178"/>
        <v>154104448.398211</v>
      </c>
      <c r="L97" s="187">
        <f t="shared" si="178"/>
        <v>152537515.61337954</v>
      </c>
      <c r="M97" s="187">
        <f t="shared" si="178"/>
        <v>151690988.10253212</v>
      </c>
      <c r="N97" s="187">
        <f t="shared" si="178"/>
        <v>151390357.38764319</v>
      </c>
      <c r="O97" s="187">
        <f t="shared" si="178"/>
        <v>152050188</v>
      </c>
      <c r="P97" s="187">
        <f t="shared" si="178"/>
        <v>150100824.6853255</v>
      </c>
      <c r="Q97" s="187">
        <f t="shared" si="178"/>
        <v>161427410.73859188</v>
      </c>
      <c r="R97" s="187">
        <f t="shared" ref="R97:BG97" si="179">R44*R$72</f>
        <v>169337198.73897511</v>
      </c>
      <c r="S97" s="187">
        <f t="shared" si="179"/>
        <v>177097218.09689149</v>
      </c>
      <c r="T97" s="187">
        <f t="shared" si="179"/>
        <v>184887877.95460871</v>
      </c>
      <c r="U97" s="187">
        <f t="shared" si="179"/>
        <v>191692042.60114345</v>
      </c>
      <c r="V97" s="187">
        <f t="shared" si="179"/>
        <v>198619332.68051028</v>
      </c>
      <c r="W97" s="187">
        <f t="shared" si="179"/>
        <v>205669576.96177456</v>
      </c>
      <c r="X97" s="187">
        <f t="shared" si="179"/>
        <v>212864236.6477035</v>
      </c>
      <c r="Y97" s="187">
        <f t="shared" si="179"/>
        <v>220213978.74079642</v>
      </c>
      <c r="Z97" s="187">
        <f t="shared" si="179"/>
        <v>228845094.15374407</v>
      </c>
      <c r="AA97" s="187">
        <f t="shared" si="179"/>
        <v>238847164.03949353</v>
      </c>
      <c r="AB97" s="187">
        <f t="shared" si="179"/>
        <v>249124725.95611718</v>
      </c>
      <c r="AC97" s="187">
        <f t="shared" si="179"/>
        <v>259705234.32860863</v>
      </c>
      <c r="AD97" s="187">
        <f t="shared" si="179"/>
        <v>270642099.82773733</v>
      </c>
      <c r="AE97" s="187">
        <f t="shared" si="179"/>
        <v>281963260.85497785</v>
      </c>
      <c r="AF97" s="187">
        <f t="shared" si="179"/>
        <v>293622875.69760704</v>
      </c>
      <c r="AG97" s="187">
        <f t="shared" si="179"/>
        <v>305591547.50517482</v>
      </c>
      <c r="AH97" s="187">
        <f t="shared" si="179"/>
        <v>317888990.58448321</v>
      </c>
      <c r="AI97" s="187">
        <f t="shared" si="179"/>
        <v>330533010.95383865</v>
      </c>
      <c r="AJ97" s="187">
        <f t="shared" si="179"/>
        <v>343523224.59241861</v>
      </c>
      <c r="AK97" s="187">
        <f t="shared" si="179"/>
        <v>356849928.18540615</v>
      </c>
      <c r="AL97" s="187">
        <f t="shared" si="179"/>
        <v>370514704.76221055</v>
      </c>
      <c r="AM97" s="187">
        <f t="shared" si="179"/>
        <v>384531787.66828912</v>
      </c>
      <c r="AN97" s="187">
        <f t="shared" si="179"/>
        <v>398913335.40408069</v>
      </c>
      <c r="AO97" s="187">
        <f t="shared" si="179"/>
        <v>413654435.81177491</v>
      </c>
      <c r="AP97" s="187">
        <f t="shared" si="179"/>
        <v>428741760.21919</v>
      </c>
      <c r="AQ97" s="187">
        <f t="shared" si="179"/>
        <v>444173025.78615826</v>
      </c>
      <c r="AR97" s="187">
        <f t="shared" si="179"/>
        <v>459959084.07571256</v>
      </c>
      <c r="AS97" s="187">
        <f t="shared" si="179"/>
        <v>476110379.1172784</v>
      </c>
      <c r="AT97" s="187">
        <f t="shared" si="179"/>
        <v>492621916.88289744</v>
      </c>
      <c r="AU97" s="187">
        <f t="shared" si="179"/>
        <v>509480218.13627487</v>
      </c>
      <c r="AV97" s="187">
        <f t="shared" si="179"/>
        <v>526681904.96828502</v>
      </c>
      <c r="AW97" s="187">
        <f t="shared" si="179"/>
        <v>544236518.31427526</v>
      </c>
      <c r="AX97" s="187">
        <f t="shared" si="179"/>
        <v>561810191.42143917</v>
      </c>
      <c r="AY97" s="187">
        <f t="shared" si="179"/>
        <v>579485002.14232254</v>
      </c>
      <c r="AZ97" s="187">
        <f t="shared" si="179"/>
        <v>597715870.65423417</v>
      </c>
      <c r="BA97" s="187">
        <f t="shared" si="179"/>
        <v>616520290.79469514</v>
      </c>
      <c r="BB97" s="187">
        <f t="shared" si="179"/>
        <v>635916306.76551604</v>
      </c>
      <c r="BC97" s="187">
        <f t="shared" si="179"/>
        <v>655922530.4475143</v>
      </c>
      <c r="BD97" s="187">
        <f t="shared" si="179"/>
        <v>676558159.25996149</v>
      </c>
      <c r="BE97" s="187">
        <f t="shared" si="179"/>
        <v>697842994.5818944</v>
      </c>
      <c r="BF97" s="187">
        <f t="shared" si="179"/>
        <v>719797460.75297332</v>
      </c>
      <c r="BG97" s="187">
        <f t="shared" si="179"/>
        <v>742442624.67211223</v>
      </c>
    </row>
    <row r="98" spans="1:158" ht="12.75" x14ac:dyDescent="0.2">
      <c r="B98" s="101"/>
      <c r="C98" s="90" t="s">
        <v>246</v>
      </c>
      <c r="F98" s="92"/>
      <c r="G98" s="92"/>
      <c r="I98" s="99"/>
      <c r="J98" s="12">
        <f>J94</f>
        <v>153516240.47292832</v>
      </c>
      <c r="K98" s="12">
        <f t="shared" ref="K98:BG98" si="180">K94</f>
        <v>154104448.398211</v>
      </c>
      <c r="L98" s="12">
        <f t="shared" si="180"/>
        <v>152537515.61337954</v>
      </c>
      <c r="M98" s="12">
        <f t="shared" si="180"/>
        <v>151690988.10253212</v>
      </c>
      <c r="N98" s="12">
        <f t="shared" si="180"/>
        <v>151390357.38764319</v>
      </c>
      <c r="O98" s="12">
        <f t="shared" si="180"/>
        <v>152050188</v>
      </c>
      <c r="P98" s="12">
        <f t="shared" si="180"/>
        <v>150100824.6853255</v>
      </c>
      <c r="Q98" s="12">
        <f t="shared" si="180"/>
        <v>161427410.73859188</v>
      </c>
      <c r="R98" s="12">
        <f t="shared" si="180"/>
        <v>169337198.73897511</v>
      </c>
      <c r="S98" s="12">
        <f t="shared" si="180"/>
        <v>177097218.09689149</v>
      </c>
      <c r="T98" s="12">
        <f t="shared" si="180"/>
        <v>184887877.95460871</v>
      </c>
      <c r="U98" s="12">
        <f t="shared" si="180"/>
        <v>191692042.60114345</v>
      </c>
      <c r="V98" s="12">
        <f t="shared" si="180"/>
        <v>198619332.68051028</v>
      </c>
      <c r="W98" s="12">
        <f t="shared" si="180"/>
        <v>205669576.96177456</v>
      </c>
      <c r="X98" s="12">
        <f t="shared" si="180"/>
        <v>212864236.6477035</v>
      </c>
      <c r="Y98" s="12">
        <f t="shared" si="180"/>
        <v>220213978.74079642</v>
      </c>
      <c r="Z98" s="12">
        <f t="shared" si="180"/>
        <v>228845094.15374407</v>
      </c>
      <c r="AA98" s="12">
        <f t="shared" si="180"/>
        <v>238847164.03949353</v>
      </c>
      <c r="AB98" s="12">
        <f t="shared" si="180"/>
        <v>249124725.95611718</v>
      </c>
      <c r="AC98" s="12">
        <f t="shared" si="180"/>
        <v>259705234.32860863</v>
      </c>
      <c r="AD98" s="12">
        <f t="shared" si="180"/>
        <v>270642099.82773733</v>
      </c>
      <c r="AE98" s="12">
        <f t="shared" si="180"/>
        <v>281963260.85497785</v>
      </c>
      <c r="AF98" s="12">
        <f t="shared" si="180"/>
        <v>293622875.69760704</v>
      </c>
      <c r="AG98" s="12">
        <f t="shared" si="180"/>
        <v>305591547.50517482</v>
      </c>
      <c r="AH98" s="12">
        <f t="shared" si="180"/>
        <v>317888990.58448321</v>
      </c>
      <c r="AI98" s="12">
        <f t="shared" si="180"/>
        <v>330533010.95383865</v>
      </c>
      <c r="AJ98" s="12">
        <f t="shared" si="180"/>
        <v>343523224.59241861</v>
      </c>
      <c r="AK98" s="12">
        <f t="shared" si="180"/>
        <v>356849928.18540615</v>
      </c>
      <c r="AL98" s="12">
        <f t="shared" si="180"/>
        <v>370514704.76221055</v>
      </c>
      <c r="AM98" s="12">
        <f t="shared" si="180"/>
        <v>384531787.66828912</v>
      </c>
      <c r="AN98" s="12">
        <f t="shared" si="180"/>
        <v>398913335.40408069</v>
      </c>
      <c r="AO98" s="12">
        <f t="shared" si="180"/>
        <v>413654435.81177491</v>
      </c>
      <c r="AP98" s="12">
        <f t="shared" si="180"/>
        <v>428741760.21919</v>
      </c>
      <c r="AQ98" s="12">
        <f t="shared" si="180"/>
        <v>444173025.78615826</v>
      </c>
      <c r="AR98" s="12">
        <f t="shared" si="180"/>
        <v>459959084.07571256</v>
      </c>
      <c r="AS98" s="12">
        <f t="shared" si="180"/>
        <v>476110379.1172784</v>
      </c>
      <c r="AT98" s="12">
        <f t="shared" si="180"/>
        <v>492621916.88289744</v>
      </c>
      <c r="AU98" s="12">
        <f t="shared" si="180"/>
        <v>509480218.13627487</v>
      </c>
      <c r="AV98" s="12">
        <f t="shared" si="180"/>
        <v>526681904.96828502</v>
      </c>
      <c r="AW98" s="12">
        <f t="shared" si="180"/>
        <v>544236518.31427526</v>
      </c>
      <c r="AX98" s="12">
        <f t="shared" si="180"/>
        <v>561810191.42143917</v>
      </c>
      <c r="AY98" s="12">
        <f t="shared" si="180"/>
        <v>579485002.14232254</v>
      </c>
      <c r="AZ98" s="12">
        <f t="shared" si="180"/>
        <v>597715870.65423417</v>
      </c>
      <c r="BA98" s="12">
        <f t="shared" si="180"/>
        <v>616520290.79469514</v>
      </c>
      <c r="BB98" s="12">
        <f t="shared" si="180"/>
        <v>635916306.76551604</v>
      </c>
      <c r="BC98" s="12">
        <f t="shared" si="180"/>
        <v>655922530.4475143</v>
      </c>
      <c r="BD98" s="12">
        <f t="shared" si="180"/>
        <v>676558159.25996149</v>
      </c>
      <c r="BE98" s="12">
        <f t="shared" si="180"/>
        <v>697842994.5818944</v>
      </c>
      <c r="BF98" s="12">
        <f t="shared" si="180"/>
        <v>719797460.75297332</v>
      </c>
      <c r="BG98" s="12">
        <f t="shared" si="180"/>
        <v>742442624.67211223</v>
      </c>
    </row>
    <row r="99" spans="1:158" ht="12.75" x14ac:dyDescent="0.2">
      <c r="B99" s="101"/>
      <c r="C99" s="90" t="s">
        <v>177</v>
      </c>
      <c r="F99" s="92"/>
      <c r="G99" s="92"/>
      <c r="I99" s="99"/>
      <c r="J99" s="125">
        <f t="shared" ref="J99:AO99" si="181">J97*total_tiendas_Telmex</f>
        <v>23027436.07093925</v>
      </c>
      <c r="K99" s="125">
        <f t="shared" si="181"/>
        <v>23115667.259731654</v>
      </c>
      <c r="L99" s="125">
        <f t="shared" si="181"/>
        <v>22880627.342006933</v>
      </c>
      <c r="M99" s="125">
        <f t="shared" si="181"/>
        <v>22753648.215379823</v>
      </c>
      <c r="N99" s="125">
        <f t="shared" si="181"/>
        <v>22708553.608146481</v>
      </c>
      <c r="O99" s="125">
        <f t="shared" si="181"/>
        <v>22807528.200000003</v>
      </c>
      <c r="P99" s="125">
        <f t="shared" si="181"/>
        <v>22515123.702798828</v>
      </c>
      <c r="Q99" s="125">
        <f t="shared" si="181"/>
        <v>24214111.610788785</v>
      </c>
      <c r="R99" s="125">
        <f t="shared" si="181"/>
        <v>25400579.810846269</v>
      </c>
      <c r="S99" s="125">
        <f t="shared" si="181"/>
        <v>26564582.714533728</v>
      </c>
      <c r="T99" s="125">
        <f t="shared" si="181"/>
        <v>27733181.693191312</v>
      </c>
      <c r="U99" s="125">
        <f t="shared" si="181"/>
        <v>28753806.39017152</v>
      </c>
      <c r="V99" s="125">
        <f t="shared" si="181"/>
        <v>29792899.902076546</v>
      </c>
      <c r="W99" s="125">
        <f t="shared" si="181"/>
        <v>30850436.544266187</v>
      </c>
      <c r="X99" s="125">
        <f t="shared" si="181"/>
        <v>31929635.497155529</v>
      </c>
      <c r="Y99" s="125">
        <f t="shared" si="181"/>
        <v>33032096.811119467</v>
      </c>
      <c r="Z99" s="125">
        <f t="shared" si="181"/>
        <v>34326764.123061612</v>
      </c>
      <c r="AA99" s="125">
        <f t="shared" si="181"/>
        <v>35827074.605924033</v>
      </c>
      <c r="AB99" s="125">
        <f t="shared" si="181"/>
        <v>37368708.893417582</v>
      </c>
      <c r="AC99" s="125">
        <f t="shared" si="181"/>
        <v>38955785.149291299</v>
      </c>
      <c r="AD99" s="125">
        <f t="shared" si="181"/>
        <v>40596314.974160604</v>
      </c>
      <c r="AE99" s="125">
        <f t="shared" si="181"/>
        <v>42294489.12824668</v>
      </c>
      <c r="AF99" s="125">
        <f t="shared" si="181"/>
        <v>44043431.354641065</v>
      </c>
      <c r="AG99" s="125">
        <f t="shared" si="181"/>
        <v>45838732.125776231</v>
      </c>
      <c r="AH99" s="125">
        <f t="shared" si="181"/>
        <v>47683348.587672487</v>
      </c>
      <c r="AI99" s="125">
        <f t="shared" si="181"/>
        <v>49579951.643075801</v>
      </c>
      <c r="AJ99" s="125">
        <f t="shared" si="181"/>
        <v>51528483.688862801</v>
      </c>
      <c r="AK99" s="125">
        <f t="shared" si="181"/>
        <v>53527489.227810927</v>
      </c>
      <c r="AL99" s="125">
        <f t="shared" si="181"/>
        <v>55577205.71433159</v>
      </c>
      <c r="AM99" s="125">
        <f t="shared" si="181"/>
        <v>57679768.150243379</v>
      </c>
      <c r="AN99" s="125">
        <f t="shared" si="181"/>
        <v>59837000.310612112</v>
      </c>
      <c r="AO99" s="125">
        <f t="shared" si="181"/>
        <v>62048165.371766247</v>
      </c>
      <c r="AP99" s="125">
        <f t="shared" ref="AP99:BG99" si="182">AP97*total_tiendas_Telmex</f>
        <v>64311264.032878511</v>
      </c>
      <c r="AQ99" s="125">
        <f t="shared" si="182"/>
        <v>66625953.867923751</v>
      </c>
      <c r="AR99" s="125">
        <f t="shared" si="182"/>
        <v>68993862.611356899</v>
      </c>
      <c r="AS99" s="125">
        <f t="shared" si="182"/>
        <v>71416556.867591769</v>
      </c>
      <c r="AT99" s="125">
        <f t="shared" si="182"/>
        <v>73893287.532434627</v>
      </c>
      <c r="AU99" s="125">
        <f t="shared" si="182"/>
        <v>76422032.720441237</v>
      </c>
      <c r="AV99" s="125">
        <f t="shared" si="182"/>
        <v>79002285.74524276</v>
      </c>
      <c r="AW99" s="125">
        <f t="shared" si="182"/>
        <v>81635477.747141302</v>
      </c>
      <c r="AX99" s="125">
        <f t="shared" si="182"/>
        <v>84271528.713215888</v>
      </c>
      <c r="AY99" s="125">
        <f t="shared" si="182"/>
        <v>86922750.321348399</v>
      </c>
      <c r="AZ99" s="125">
        <f t="shared" si="182"/>
        <v>89657380.598135144</v>
      </c>
      <c r="BA99" s="125">
        <f t="shared" si="182"/>
        <v>92478043.619204283</v>
      </c>
      <c r="BB99" s="125">
        <f t="shared" si="182"/>
        <v>95387446.014827415</v>
      </c>
      <c r="BC99" s="125">
        <f t="shared" si="182"/>
        <v>98388379.567127153</v>
      </c>
      <c r="BD99" s="125">
        <f t="shared" si="182"/>
        <v>101483723.88899423</v>
      </c>
      <c r="BE99" s="125">
        <f t="shared" si="182"/>
        <v>104676449.18728417</v>
      </c>
      <c r="BF99" s="125">
        <f t="shared" si="182"/>
        <v>107969619.11294602</v>
      </c>
      <c r="BG99" s="125">
        <f t="shared" si="182"/>
        <v>111366393.70081685</v>
      </c>
    </row>
    <row r="100" spans="1:158" ht="12.75" x14ac:dyDescent="0.2">
      <c r="B100" s="101" t="s">
        <v>171</v>
      </c>
      <c r="F100" s="92"/>
      <c r="G100" s="92"/>
      <c r="I100" s="99"/>
      <c r="J100" s="99"/>
      <c r="K100" s="99"/>
      <c r="L100" s="99"/>
      <c r="M100" s="99"/>
      <c r="N100" s="99"/>
      <c r="O100" s="99"/>
      <c r="P100" s="99"/>
      <c r="Q100" s="99"/>
      <c r="R100" s="99"/>
      <c r="S100" s="99"/>
      <c r="T100" s="99"/>
      <c r="U100" s="99"/>
      <c r="V100" s="99"/>
      <c r="W100" s="99"/>
      <c r="X100" s="99"/>
      <c r="Y100" s="99"/>
      <c r="Z100" s="99"/>
      <c r="AA100" s="99"/>
      <c r="AB100" s="99"/>
      <c r="AC100" s="99"/>
      <c r="AD100" s="99"/>
      <c r="AE100" s="99"/>
      <c r="AF100" s="99"/>
      <c r="AG100" s="99"/>
      <c r="AH100" s="99"/>
      <c r="AI100" s="99"/>
      <c r="AJ100" s="99"/>
      <c r="AK100" s="99"/>
      <c r="AL100" s="99"/>
      <c r="AM100" s="99"/>
      <c r="AN100" s="99"/>
      <c r="AO100" s="99"/>
      <c r="AP100" s="99"/>
      <c r="AQ100" s="99"/>
      <c r="AR100" s="99"/>
      <c r="AS100" s="99"/>
      <c r="AT100" s="99"/>
      <c r="AU100" s="99"/>
      <c r="AV100" s="99"/>
      <c r="AW100" s="99"/>
      <c r="AX100" s="99"/>
      <c r="AY100" s="99"/>
      <c r="AZ100" s="99"/>
      <c r="BA100" s="99"/>
      <c r="BB100" s="99"/>
      <c r="BC100" s="99"/>
      <c r="BD100" s="99"/>
      <c r="BE100" s="99"/>
      <c r="BF100" s="99"/>
      <c r="BG100" s="99"/>
    </row>
    <row r="101" spans="1:158" ht="12.75" x14ac:dyDescent="0.2">
      <c r="B101" s="101"/>
      <c r="C101" s="90" t="s">
        <v>144</v>
      </c>
      <c r="F101" s="92"/>
      <c r="G101" s="92" t="s">
        <v>142</v>
      </c>
      <c r="I101" s="113"/>
      <c r="J101" s="124">
        <f t="shared" ref="J101:AO101" si="183">IF(SUMPRODUCT($J92:$BG92,discount_rate_divider)=0,0,SUMPRODUCT($J83:$BG83,discount_rate_divider)/SUMPRODUCT($J92:$BG92,discount_rate_divider))*J$72</f>
        <v>1.4535278747678362E-2</v>
      </c>
      <c r="K101" s="124">
        <f t="shared" si="183"/>
        <v>1.5090526395839677E-2</v>
      </c>
      <c r="L101" s="124">
        <f t="shared" si="183"/>
        <v>1.5629258188171156E-2</v>
      </c>
      <c r="M101" s="124">
        <f t="shared" si="183"/>
        <v>1.624973973824155E-2</v>
      </c>
      <c r="N101" s="124">
        <f t="shared" si="183"/>
        <v>1.6912729119561806E-2</v>
      </c>
      <c r="O101" s="124">
        <f t="shared" si="183"/>
        <v>1.7272970249808475E-2</v>
      </c>
      <c r="P101" s="124">
        <f t="shared" si="183"/>
        <v>1.7853342050202042E-2</v>
      </c>
      <c r="Q101" s="124">
        <f t="shared" si="183"/>
        <v>1.9062013307000719E-2</v>
      </c>
      <c r="R101" s="124">
        <f t="shared" si="183"/>
        <v>1.9931241113799951E-2</v>
      </c>
      <c r="S101" s="124">
        <f t="shared" si="183"/>
        <v>2.0688628276124353E-2</v>
      </c>
      <c r="T101" s="124">
        <f t="shared" si="183"/>
        <v>2.1445832071030502E-2</v>
      </c>
      <c r="U101" s="124">
        <f t="shared" si="183"/>
        <v>2.2089207033161418E-2</v>
      </c>
      <c r="V101" s="124">
        <f t="shared" si="183"/>
        <v>2.2751883244156262E-2</v>
      </c>
      <c r="W101" s="124">
        <f t="shared" si="183"/>
        <v>2.3434439741480947E-2</v>
      </c>
      <c r="X101" s="124">
        <f t="shared" si="183"/>
        <v>2.4137472933725378E-2</v>
      </c>
      <c r="Y101" s="124">
        <f t="shared" si="183"/>
        <v>2.486159712173714E-2</v>
      </c>
      <c r="Z101" s="124">
        <f t="shared" si="183"/>
        <v>2.5607445035389254E-2</v>
      </c>
      <c r="AA101" s="124">
        <f t="shared" si="183"/>
        <v>2.6375668386450928E-2</v>
      </c>
      <c r="AB101" s="124">
        <f t="shared" si="183"/>
        <v>2.716693843804446E-2</v>
      </c>
      <c r="AC101" s="124">
        <f t="shared" si="183"/>
        <v>2.7981946591185795E-2</v>
      </c>
      <c r="AD101" s="124">
        <f t="shared" si="183"/>
        <v>2.882140498892137E-2</v>
      </c>
      <c r="AE101" s="124">
        <f t="shared" si="183"/>
        <v>2.9686047138589008E-2</v>
      </c>
      <c r="AF101" s="124">
        <f t="shared" si="183"/>
        <v>3.0576628552746683E-2</v>
      </c>
      <c r="AG101" s="124">
        <f t="shared" si="183"/>
        <v>3.1493927409329082E-2</v>
      </c>
      <c r="AH101" s="124">
        <f t="shared" si="183"/>
        <v>3.2438745231608959E-2</v>
      </c>
      <c r="AI101" s="124">
        <f t="shared" si="183"/>
        <v>3.3411907588557228E-2</v>
      </c>
      <c r="AJ101" s="124">
        <f t="shared" si="183"/>
        <v>3.4414264816213944E-2</v>
      </c>
      <c r="AK101" s="124">
        <f t="shared" si="183"/>
        <v>3.5446692760700366E-2</v>
      </c>
      <c r="AL101" s="124">
        <f t="shared" si="183"/>
        <v>3.6510093543521381E-2</v>
      </c>
      <c r="AM101" s="124">
        <f t="shared" si="183"/>
        <v>3.7605396349827021E-2</v>
      </c>
      <c r="AN101" s="124">
        <f t="shared" si="183"/>
        <v>3.8733558240321826E-2</v>
      </c>
      <c r="AO101" s="124">
        <f t="shared" si="183"/>
        <v>3.9895564987531489E-2</v>
      </c>
      <c r="AP101" s="124">
        <f t="shared" ref="AP101:BG101" si="184">IF(SUMPRODUCT($J92:$BG92,discount_rate_divider)=0,0,SUMPRODUCT($J83:$BG83,discount_rate_divider)/SUMPRODUCT($J92:$BG92,discount_rate_divider))*AP$72</f>
        <v>4.1092431937157434E-2</v>
      </c>
      <c r="AQ101" s="124">
        <f t="shared" si="184"/>
        <v>4.232520489527216E-2</v>
      </c>
      <c r="AR101" s="124">
        <f t="shared" si="184"/>
        <v>4.3594961042130322E-2</v>
      </c>
      <c r="AS101" s="124">
        <f t="shared" si="184"/>
        <v>4.4902809873394227E-2</v>
      </c>
      <c r="AT101" s="124">
        <f t="shared" si="184"/>
        <v>4.6249894169596052E-2</v>
      </c>
      <c r="AU101" s="124">
        <f t="shared" si="184"/>
        <v>4.7637390994683941E-2</v>
      </c>
      <c r="AV101" s="124">
        <f t="shared" si="184"/>
        <v>4.9066512724524454E-2</v>
      </c>
      <c r="AW101" s="124">
        <f t="shared" si="184"/>
        <v>5.0538508106260191E-2</v>
      </c>
      <c r="AX101" s="124">
        <f t="shared" si="184"/>
        <v>5.2054663349447999E-2</v>
      </c>
      <c r="AY101" s="124">
        <f t="shared" si="184"/>
        <v>5.3616303249931441E-2</v>
      </c>
      <c r="AZ101" s="124">
        <f t="shared" si="184"/>
        <v>5.5224792347429379E-2</v>
      </c>
      <c r="BA101" s="124">
        <f t="shared" si="184"/>
        <v>5.6881536117852266E-2</v>
      </c>
      <c r="BB101" s="124">
        <f t="shared" si="184"/>
        <v>5.8587982201387834E-2</v>
      </c>
      <c r="BC101" s="124">
        <f t="shared" si="184"/>
        <v>6.0345621667429468E-2</v>
      </c>
      <c r="BD101" s="124">
        <f t="shared" si="184"/>
        <v>6.2155990317452357E-2</v>
      </c>
      <c r="BE101" s="124">
        <f t="shared" si="184"/>
        <v>6.4020670026975923E-2</v>
      </c>
      <c r="BF101" s="124">
        <f t="shared" si="184"/>
        <v>6.5941290127785213E-2</v>
      </c>
      <c r="BG101" s="124">
        <f t="shared" si="184"/>
        <v>6.7919528831618767E-2</v>
      </c>
    </row>
    <row r="102" spans="1:158" ht="12.75" x14ac:dyDescent="0.2">
      <c r="B102" s="101"/>
      <c r="C102" s="90" t="s">
        <v>162</v>
      </c>
      <c r="F102" s="92"/>
      <c r="G102" s="92" t="s">
        <v>142</v>
      </c>
      <c r="I102" s="113"/>
      <c r="J102" s="124">
        <f t="shared" ref="J102:AO102" si="185">IF(SUMPRODUCT($J93:$BG93,discount_rate_divider)=0,0,SUMPRODUCT($J84:$BG84,discount_rate_divider)/SUMPRODUCT($J93:$BG93,discount_rate_divider))*J$72</f>
        <v>4.360583624303508E-2</v>
      </c>
      <c r="K102" s="124">
        <f t="shared" si="185"/>
        <v>4.527157918751902E-2</v>
      </c>
      <c r="L102" s="124">
        <f t="shared" si="185"/>
        <v>4.6887774564513457E-2</v>
      </c>
      <c r="M102" s="124">
        <f t="shared" si="185"/>
        <v>4.8749219214724644E-2</v>
      </c>
      <c r="N102" s="124">
        <f t="shared" si="185"/>
        <v>5.0738187358685412E-2</v>
      </c>
      <c r="O102" s="124">
        <f t="shared" si="185"/>
        <v>5.1818910749425413E-2</v>
      </c>
      <c r="P102" s="124">
        <f t="shared" si="185"/>
        <v>5.3560026150606115E-2</v>
      </c>
      <c r="Q102" s="124">
        <f t="shared" si="185"/>
        <v>5.7186039921002144E-2</v>
      </c>
      <c r="R102" s="124">
        <f t="shared" si="185"/>
        <v>5.9793723341399846E-2</v>
      </c>
      <c r="S102" s="124">
        <f t="shared" si="185"/>
        <v>6.2065884828373045E-2</v>
      </c>
      <c r="T102" s="124">
        <f t="shared" si="185"/>
        <v>6.4337496213091497E-2</v>
      </c>
      <c r="U102" s="124">
        <f t="shared" si="185"/>
        <v>6.6267621099484239E-2</v>
      </c>
      <c r="V102" s="124">
        <f t="shared" si="185"/>
        <v>6.8255649732468768E-2</v>
      </c>
      <c r="W102" s="124">
        <f t="shared" si="185"/>
        <v>7.0303319224442828E-2</v>
      </c>
      <c r="X102" s="124">
        <f t="shared" si="185"/>
        <v>7.2412418801176118E-2</v>
      </c>
      <c r="Y102" s="124">
        <f t="shared" si="185"/>
        <v>7.45847913652114E-2</v>
      </c>
      <c r="Z102" s="124">
        <f t="shared" si="185"/>
        <v>7.6822335106167747E-2</v>
      </c>
      <c r="AA102" s="124">
        <f t="shared" si="185"/>
        <v>7.9127005159352767E-2</v>
      </c>
      <c r="AB102" s="124">
        <f t="shared" si="185"/>
        <v>8.1500815314133362E-2</v>
      </c>
      <c r="AC102" s="124">
        <f t="shared" si="185"/>
        <v>8.3945839773557365E-2</v>
      </c>
      <c r="AD102" s="124">
        <f t="shared" si="185"/>
        <v>8.6464214966764083E-2</v>
      </c>
      <c r="AE102" s="124">
        <f t="shared" si="185"/>
        <v>8.9058141415767011E-2</v>
      </c>
      <c r="AF102" s="124">
        <f t="shared" si="185"/>
        <v>9.1729885658240029E-2</v>
      </c>
      <c r="AG102" s="124">
        <f t="shared" si="185"/>
        <v>9.448178222798724E-2</v>
      </c>
      <c r="AH102" s="124">
        <f t="shared" si="185"/>
        <v>9.731623569482685E-2</v>
      </c>
      <c r="AI102" s="124">
        <f t="shared" si="185"/>
        <v>0.10023572276567166</v>
      </c>
      <c r="AJ102" s="124">
        <f t="shared" si="185"/>
        <v>0.10324279444864182</v>
      </c>
      <c r="AK102" s="124">
        <f t="shared" si="185"/>
        <v>0.10634007828210108</v>
      </c>
      <c r="AL102" s="124">
        <f t="shared" si="185"/>
        <v>0.10953028063056412</v>
      </c>
      <c r="AM102" s="124">
        <f t="shared" si="185"/>
        <v>0.11281618904948104</v>
      </c>
      <c r="AN102" s="124">
        <f t="shared" si="185"/>
        <v>0.11620067472096547</v>
      </c>
      <c r="AO102" s="124">
        <f t="shared" si="185"/>
        <v>0.11968669496259443</v>
      </c>
      <c r="AP102" s="124">
        <f t="shared" ref="AP102:BG102" si="186">IF(SUMPRODUCT($J93:$BG93,discount_rate_divider)=0,0,SUMPRODUCT($J84:$BG84,discount_rate_divider)/SUMPRODUCT($J93:$BG93,discount_rate_divider))*AP$72</f>
        <v>0.12327729581147229</v>
      </c>
      <c r="AQ102" s="124">
        <f t="shared" si="186"/>
        <v>0.12697561468581645</v>
      </c>
      <c r="AR102" s="124">
        <f t="shared" si="186"/>
        <v>0.13078488312639094</v>
      </c>
      <c r="AS102" s="124">
        <f t="shared" si="186"/>
        <v>0.13470842962018267</v>
      </c>
      <c r="AT102" s="124">
        <f t="shared" si="186"/>
        <v>0.13874968250878814</v>
      </c>
      <c r="AU102" s="124">
        <f t="shared" si="186"/>
        <v>0.14291217298405179</v>
      </c>
      <c r="AV102" s="124">
        <f t="shared" si="186"/>
        <v>0.14719953817357334</v>
      </c>
      <c r="AW102" s="124">
        <f t="shared" si="186"/>
        <v>0.15161552431878053</v>
      </c>
      <c r="AX102" s="124">
        <f t="shared" si="186"/>
        <v>0.15616399004834397</v>
      </c>
      <c r="AY102" s="124">
        <f t="shared" si="186"/>
        <v>0.16084890974979429</v>
      </c>
      <c r="AZ102" s="124">
        <f t="shared" si="186"/>
        <v>0.1656743770422881</v>
      </c>
      <c r="BA102" s="124">
        <f t="shared" si="186"/>
        <v>0.17064460835355677</v>
      </c>
      <c r="BB102" s="124">
        <f t="shared" si="186"/>
        <v>0.17576394660416347</v>
      </c>
      <c r="BC102" s="124">
        <f t="shared" si="186"/>
        <v>0.18103686500228836</v>
      </c>
      <c r="BD102" s="124">
        <f t="shared" si="186"/>
        <v>0.18646797095235704</v>
      </c>
      <c r="BE102" s="124">
        <f t="shared" si="186"/>
        <v>0.19206201008092774</v>
      </c>
      <c r="BF102" s="124">
        <f t="shared" si="186"/>
        <v>0.19782387038335558</v>
      </c>
      <c r="BG102" s="124">
        <f t="shared" si="186"/>
        <v>0.20375858649485626</v>
      </c>
    </row>
    <row r="103" spans="1:158" ht="12.75" x14ac:dyDescent="0.2">
      <c r="B103" s="101"/>
      <c r="C103" s="90" t="s">
        <v>231</v>
      </c>
      <c r="F103" s="92"/>
      <c r="G103" s="92" t="s">
        <v>142</v>
      </c>
      <c r="I103" s="113"/>
      <c r="J103" s="124">
        <f t="shared" ref="J103:AO103" si="187">IF(SUMPRODUCT($J94:$BG94,discount_rate_divider)=0,0,SUMPRODUCT($J85:$BG85,discount_rate_divider)/SUMPRODUCT($J94:$BG94,discount_rate_divider))*J$72</f>
        <v>2.8494118363470891E-2</v>
      </c>
      <c r="K103" s="124">
        <f t="shared" si="187"/>
        <v>2.9582593684955482E-2</v>
      </c>
      <c r="L103" s="124">
        <f t="shared" si="187"/>
        <v>3.0638692279508394E-2</v>
      </c>
      <c r="M103" s="124">
        <f t="shared" si="187"/>
        <v>3.185504836300488E-2</v>
      </c>
      <c r="N103" s="124">
        <f t="shared" si="187"/>
        <v>3.3154734336215484E-2</v>
      </c>
      <c r="O103" s="124">
        <f t="shared" si="187"/>
        <v>3.3860930177576874E-2</v>
      </c>
      <c r="P103" s="124">
        <f t="shared" si="187"/>
        <v>3.4998657431543463E-2</v>
      </c>
      <c r="Q103" s="124">
        <f t="shared" si="187"/>
        <v>3.7368066539658955E-2</v>
      </c>
      <c r="R103" s="124">
        <f t="shared" si="187"/>
        <v>3.9072050373867399E-2</v>
      </c>
      <c r="S103" s="124">
        <f t="shared" si="187"/>
        <v>4.0556788288074366E-2</v>
      </c>
      <c r="T103" s="124">
        <f t="shared" si="187"/>
        <v>4.2041166739417886E-2</v>
      </c>
      <c r="U103" s="124">
        <f t="shared" si="187"/>
        <v>4.3302401741600424E-2</v>
      </c>
      <c r="V103" s="124">
        <f t="shared" si="187"/>
        <v>4.4601473793848434E-2</v>
      </c>
      <c r="W103" s="124">
        <f t="shared" si="187"/>
        <v>4.5939518007663889E-2</v>
      </c>
      <c r="X103" s="124">
        <f t="shared" si="187"/>
        <v>4.7317703547893809E-2</v>
      </c>
      <c r="Y103" s="124">
        <f t="shared" si="187"/>
        <v>4.8737234654330622E-2</v>
      </c>
      <c r="Z103" s="124">
        <f t="shared" si="187"/>
        <v>5.0199351693960538E-2</v>
      </c>
      <c r="AA103" s="124">
        <f t="shared" si="187"/>
        <v>5.1705332244779356E-2</v>
      </c>
      <c r="AB103" s="124">
        <f t="shared" si="187"/>
        <v>5.3256492212122739E-2</v>
      </c>
      <c r="AC103" s="124">
        <f t="shared" si="187"/>
        <v>5.4854186978486423E-2</v>
      </c>
      <c r="AD103" s="124">
        <f t="shared" si="187"/>
        <v>5.6499812587841015E-2</v>
      </c>
      <c r="AE103" s="124">
        <f t="shared" si="187"/>
        <v>5.8194806965476249E-2</v>
      </c>
      <c r="AF103" s="124">
        <f t="shared" si="187"/>
        <v>5.9940651174440543E-2</v>
      </c>
      <c r="AG103" s="124">
        <f t="shared" si="187"/>
        <v>6.1738870709673759E-2</v>
      </c>
      <c r="AH103" s="124">
        <f t="shared" si="187"/>
        <v>6.3591036830963968E-2</v>
      </c>
      <c r="AI103" s="124">
        <f t="shared" si="187"/>
        <v>6.549876793589289E-2</v>
      </c>
      <c r="AJ103" s="124">
        <f t="shared" si="187"/>
        <v>6.7463730973969682E-2</v>
      </c>
      <c r="AK103" s="124">
        <f t="shared" si="187"/>
        <v>6.9487642903188776E-2</v>
      </c>
      <c r="AL103" s="124">
        <f t="shared" si="187"/>
        <v>7.1572272190284447E-2</v>
      </c>
      <c r="AM103" s="124">
        <f t="shared" si="187"/>
        <v>7.3719440355992982E-2</v>
      </c>
      <c r="AN103" s="124">
        <f t="shared" si="187"/>
        <v>7.5931023566672765E-2</v>
      </c>
      <c r="AO103" s="124">
        <f t="shared" si="187"/>
        <v>7.8208954273672956E-2</v>
      </c>
      <c r="AP103" s="124">
        <f t="shared" ref="AP103:BG103" si="188">IF(SUMPRODUCT($J94:$BG94,discount_rate_divider)=0,0,SUMPRODUCT($J85:$BG85,discount_rate_divider)/SUMPRODUCT($J94:$BG94,discount_rate_divider))*AP$72</f>
        <v>8.0555222901883147E-2</v>
      </c>
      <c r="AQ103" s="124">
        <f t="shared" si="188"/>
        <v>8.2971879588939645E-2</v>
      </c>
      <c r="AR103" s="124">
        <f t="shared" si="188"/>
        <v>8.5461035976607827E-2</v>
      </c>
      <c r="AS103" s="124">
        <f t="shared" si="188"/>
        <v>8.8024867055906064E-2</v>
      </c>
      <c r="AT103" s="124">
        <f t="shared" si="188"/>
        <v>9.0665613067583237E-2</v>
      </c>
      <c r="AU103" s="124">
        <f t="shared" si="188"/>
        <v>9.3385581459610748E-2</v>
      </c>
      <c r="AV103" s="124">
        <f t="shared" si="188"/>
        <v>9.6187148903399064E-2</v>
      </c>
      <c r="AW103" s="124">
        <f t="shared" si="188"/>
        <v>9.9072763370501027E-2</v>
      </c>
      <c r="AX103" s="124">
        <f t="shared" si="188"/>
        <v>0.10204494627161607</v>
      </c>
      <c r="AY103" s="124">
        <f t="shared" si="188"/>
        <v>0.10510629465976455</v>
      </c>
      <c r="AZ103" s="124">
        <f t="shared" si="188"/>
        <v>0.10825948349955748</v>
      </c>
      <c r="BA103" s="124">
        <f t="shared" si="188"/>
        <v>0.11150726800454422</v>
      </c>
      <c r="BB103" s="124">
        <f t="shared" si="188"/>
        <v>0.11485248604468054</v>
      </c>
      <c r="BC103" s="124">
        <f t="shared" si="188"/>
        <v>0.11829806062602097</v>
      </c>
      <c r="BD103" s="124">
        <f t="shared" si="188"/>
        <v>0.12184700244480159</v>
      </c>
      <c r="BE103" s="124">
        <f t="shared" si="188"/>
        <v>0.12550241251814565</v>
      </c>
      <c r="BF103" s="124">
        <f t="shared" si="188"/>
        <v>0.12926748489369003</v>
      </c>
      <c r="BG103" s="124">
        <f t="shared" si="188"/>
        <v>0.13314550944050071</v>
      </c>
    </row>
    <row r="104" spans="1:158" ht="12.75" x14ac:dyDescent="0.2">
      <c r="B104" s="101"/>
      <c r="C104" s="90" t="s">
        <v>311</v>
      </c>
      <c r="F104" s="92"/>
      <c r="G104" s="92" t="s">
        <v>142</v>
      </c>
      <c r="I104" s="113"/>
      <c r="J104" s="124">
        <f t="shared" ref="J104:AO104" si="189">IF(SUMPRODUCT($J95:$BG95,discount_rate_divider)=0,0,SUMPRODUCT($J86:$BG86,discount_rate_divider)/SUMPRODUCT($J95:$BG95,discount_rate_divider))*J$72</f>
        <v>7.5884336273243577E-3</v>
      </c>
      <c r="K104" s="124">
        <f t="shared" si="189"/>
        <v>7.8783117918881495E-3</v>
      </c>
      <c r="L104" s="124">
        <f t="shared" si="189"/>
        <v>8.1595675228585563E-3</v>
      </c>
      <c r="M104" s="124">
        <f t="shared" si="189"/>
        <v>8.4835023535160415E-3</v>
      </c>
      <c r="N104" s="124">
        <f t="shared" si="189"/>
        <v>8.829629249539497E-3</v>
      </c>
      <c r="O104" s="124">
        <f t="shared" si="189"/>
        <v>9.0177003525546886E-3</v>
      </c>
      <c r="P104" s="124">
        <f t="shared" si="189"/>
        <v>9.3206950844005269E-3</v>
      </c>
      <c r="Q104" s="124">
        <f t="shared" si="189"/>
        <v>9.9517061416144435E-3</v>
      </c>
      <c r="R104" s="124">
        <f t="shared" si="189"/>
        <v>1.0405503941672061E-2</v>
      </c>
      <c r="S104" s="124">
        <f t="shared" si="189"/>
        <v>1.0800913091455601E-2</v>
      </c>
      <c r="T104" s="124">
        <f t="shared" si="189"/>
        <v>1.1196226510602876E-2</v>
      </c>
      <c r="U104" s="124">
        <f t="shared" si="189"/>
        <v>1.1532113305920962E-2</v>
      </c>
      <c r="V104" s="124">
        <f t="shared" si="189"/>
        <v>1.187807670509859E-2</v>
      </c>
      <c r="W104" s="124">
        <f t="shared" si="189"/>
        <v>1.2234419006251548E-2</v>
      </c>
      <c r="X104" s="124">
        <f t="shared" si="189"/>
        <v>1.2601451576439096E-2</v>
      </c>
      <c r="Y104" s="124">
        <f t="shared" si="189"/>
        <v>1.2979495123732268E-2</v>
      </c>
      <c r="Z104" s="124">
        <f t="shared" si="189"/>
        <v>1.3368879977444235E-2</v>
      </c>
      <c r="AA104" s="124">
        <f t="shared" si="189"/>
        <v>1.3769946376767563E-2</v>
      </c>
      <c r="AB104" s="124">
        <f t="shared" si="189"/>
        <v>1.418304476807059E-2</v>
      </c>
      <c r="AC104" s="124">
        <f t="shared" si="189"/>
        <v>1.4608536111112709E-2</v>
      </c>
      <c r="AD104" s="124">
        <f t="shared" si="189"/>
        <v>1.5046792194446091E-2</v>
      </c>
      <c r="AE104" s="124">
        <f t="shared" si="189"/>
        <v>1.5498195960279473E-2</v>
      </c>
      <c r="AF104" s="124">
        <f t="shared" si="189"/>
        <v>1.5963141839087858E-2</v>
      </c>
      <c r="AG104" s="124">
        <f t="shared" si="189"/>
        <v>1.6442036094260495E-2</v>
      </c>
      <c r="AH104" s="124">
        <f t="shared" si="189"/>
        <v>1.6935297177088311E-2</v>
      </c>
      <c r="AI104" s="124">
        <f t="shared" si="189"/>
        <v>1.7443356092400959E-2</v>
      </c>
      <c r="AJ104" s="124">
        <f t="shared" si="189"/>
        <v>1.7966656775172989E-2</v>
      </c>
      <c r="AK104" s="124">
        <f t="shared" si="189"/>
        <v>1.8505656478428181E-2</v>
      </c>
      <c r="AL104" s="124">
        <f t="shared" si="189"/>
        <v>1.9060826172781029E-2</v>
      </c>
      <c r="AM104" s="124">
        <f t="shared" si="189"/>
        <v>1.9632650957964456E-2</v>
      </c>
      <c r="AN104" s="124">
        <f t="shared" si="189"/>
        <v>2.022163048670339E-2</v>
      </c>
      <c r="AO104" s="124">
        <f t="shared" si="189"/>
        <v>2.0828279401304491E-2</v>
      </c>
      <c r="AP104" s="124">
        <f t="shared" ref="AP104:BG104" si="190">IF(SUMPRODUCT($J95:$BG95,discount_rate_divider)=0,0,SUMPRODUCT($J86:$BG86,discount_rate_divider)/SUMPRODUCT($J95:$BG95,discount_rate_divider))*AP$72</f>
        <v>2.1453127783343628E-2</v>
      </c>
      <c r="AQ104" s="124">
        <f t="shared" si="190"/>
        <v>2.2096721616843937E-2</v>
      </c>
      <c r="AR104" s="124">
        <f t="shared" si="190"/>
        <v>2.2759623265349256E-2</v>
      </c>
      <c r="AS104" s="124">
        <f t="shared" si="190"/>
        <v>2.3442411963309734E-2</v>
      </c>
      <c r="AT104" s="124">
        <f t="shared" si="190"/>
        <v>2.4145684322209024E-2</v>
      </c>
      <c r="AU104" s="124">
        <f t="shared" si="190"/>
        <v>2.4870054851875295E-2</v>
      </c>
      <c r="AV104" s="124">
        <f t="shared" si="190"/>
        <v>2.5616156497431555E-2</v>
      </c>
      <c r="AW104" s="124">
        <f t="shared" si="190"/>
        <v>2.6384641192354501E-2</v>
      </c>
      <c r="AX104" s="124">
        <f t="shared" si="190"/>
        <v>2.7176180428125137E-2</v>
      </c>
      <c r="AY104" s="124">
        <f t="shared" si="190"/>
        <v>2.7991465840968892E-2</v>
      </c>
      <c r="AZ104" s="124">
        <f t="shared" si="190"/>
        <v>2.8831209816197956E-2</v>
      </c>
      <c r="BA104" s="124">
        <f t="shared" si="190"/>
        <v>2.9696146110683899E-2</v>
      </c>
      <c r="BB104" s="124">
        <f t="shared" si="190"/>
        <v>3.0587030494004415E-2</v>
      </c>
      <c r="BC104" s="124">
        <f t="shared" si="190"/>
        <v>3.150464140882455E-2</v>
      </c>
      <c r="BD104" s="124">
        <f t="shared" si="190"/>
        <v>3.2449780651089284E-2</v>
      </c>
      <c r="BE104" s="124">
        <f t="shared" si="190"/>
        <v>3.3423274070621962E-2</v>
      </c>
      <c r="BF104" s="124">
        <f t="shared" si="190"/>
        <v>3.4425972292740629E-2</v>
      </c>
      <c r="BG104" s="124">
        <f t="shared" si="190"/>
        <v>3.5458751461522844E-2</v>
      </c>
    </row>
    <row r="105" spans="1:158" ht="12.75" x14ac:dyDescent="0.2">
      <c r="B105" s="101"/>
      <c r="C105" s="179" t="s">
        <v>255</v>
      </c>
      <c r="F105" s="92"/>
      <c r="G105" s="92" t="s">
        <v>142</v>
      </c>
      <c r="I105" s="113"/>
      <c r="J105" s="188">
        <f t="shared" ref="J105:AO105" si="191">IF(SUMPRODUCT($J96:$BG96,discount_rate_divider)=0,0,SUMPRODUCT($J87:$BG87,discount_rate_divider)/SUMPRODUCT($J96:$BG96,discount_rate_divider))*J$72</f>
        <v>0</v>
      </c>
      <c r="K105" s="188">
        <f t="shared" si="191"/>
        <v>0</v>
      </c>
      <c r="L105" s="188">
        <f t="shared" si="191"/>
        <v>0</v>
      </c>
      <c r="M105" s="188">
        <f t="shared" si="191"/>
        <v>0</v>
      </c>
      <c r="N105" s="188">
        <f t="shared" si="191"/>
        <v>0</v>
      </c>
      <c r="O105" s="188">
        <f t="shared" si="191"/>
        <v>0</v>
      </c>
      <c r="P105" s="188">
        <f t="shared" si="191"/>
        <v>0</v>
      </c>
      <c r="Q105" s="188">
        <f t="shared" si="191"/>
        <v>0</v>
      </c>
      <c r="R105" s="188">
        <f t="shared" si="191"/>
        <v>0</v>
      </c>
      <c r="S105" s="188">
        <f t="shared" si="191"/>
        <v>0</v>
      </c>
      <c r="T105" s="188">
        <f t="shared" si="191"/>
        <v>0</v>
      </c>
      <c r="U105" s="188">
        <f t="shared" si="191"/>
        <v>0</v>
      </c>
      <c r="V105" s="188">
        <f t="shared" si="191"/>
        <v>0</v>
      </c>
      <c r="W105" s="188">
        <f t="shared" si="191"/>
        <v>0</v>
      </c>
      <c r="X105" s="188">
        <f t="shared" si="191"/>
        <v>0</v>
      </c>
      <c r="Y105" s="188">
        <f t="shared" si="191"/>
        <v>0</v>
      </c>
      <c r="Z105" s="188">
        <f t="shared" si="191"/>
        <v>0</v>
      </c>
      <c r="AA105" s="188">
        <f t="shared" si="191"/>
        <v>0</v>
      </c>
      <c r="AB105" s="188">
        <f t="shared" si="191"/>
        <v>0</v>
      </c>
      <c r="AC105" s="188">
        <f t="shared" si="191"/>
        <v>0</v>
      </c>
      <c r="AD105" s="188">
        <f t="shared" si="191"/>
        <v>0</v>
      </c>
      <c r="AE105" s="188">
        <f t="shared" si="191"/>
        <v>0</v>
      </c>
      <c r="AF105" s="188">
        <f t="shared" si="191"/>
        <v>0</v>
      </c>
      <c r="AG105" s="188">
        <f t="shared" si="191"/>
        <v>0</v>
      </c>
      <c r="AH105" s="188">
        <f t="shared" si="191"/>
        <v>0</v>
      </c>
      <c r="AI105" s="188">
        <f t="shared" si="191"/>
        <v>0</v>
      </c>
      <c r="AJ105" s="188">
        <f t="shared" si="191"/>
        <v>0</v>
      </c>
      <c r="AK105" s="188">
        <f t="shared" si="191"/>
        <v>0</v>
      </c>
      <c r="AL105" s="188">
        <f t="shared" si="191"/>
        <v>0</v>
      </c>
      <c r="AM105" s="188">
        <f t="shared" si="191"/>
        <v>0</v>
      </c>
      <c r="AN105" s="188">
        <f t="shared" si="191"/>
        <v>0</v>
      </c>
      <c r="AO105" s="188">
        <f t="shared" si="191"/>
        <v>0</v>
      </c>
      <c r="AP105" s="188">
        <f t="shared" ref="AP105:BG105" si="192">IF(SUMPRODUCT($J96:$BG96,discount_rate_divider)=0,0,SUMPRODUCT($J87:$BG87,discount_rate_divider)/SUMPRODUCT($J96:$BG96,discount_rate_divider))*AP$72</f>
        <v>0</v>
      </c>
      <c r="AQ105" s="188">
        <f t="shared" si="192"/>
        <v>0</v>
      </c>
      <c r="AR105" s="188">
        <f t="shared" si="192"/>
        <v>0</v>
      </c>
      <c r="AS105" s="188">
        <f t="shared" si="192"/>
        <v>0</v>
      </c>
      <c r="AT105" s="188">
        <f t="shared" si="192"/>
        <v>0</v>
      </c>
      <c r="AU105" s="188">
        <f t="shared" si="192"/>
        <v>0</v>
      </c>
      <c r="AV105" s="188">
        <f t="shared" si="192"/>
        <v>0</v>
      </c>
      <c r="AW105" s="188">
        <f t="shared" si="192"/>
        <v>0</v>
      </c>
      <c r="AX105" s="188">
        <f t="shared" si="192"/>
        <v>0</v>
      </c>
      <c r="AY105" s="188">
        <f t="shared" si="192"/>
        <v>0</v>
      </c>
      <c r="AZ105" s="188">
        <f t="shared" si="192"/>
        <v>0</v>
      </c>
      <c r="BA105" s="188">
        <f t="shared" si="192"/>
        <v>0</v>
      </c>
      <c r="BB105" s="188">
        <f t="shared" si="192"/>
        <v>0</v>
      </c>
      <c r="BC105" s="188">
        <f t="shared" si="192"/>
        <v>0</v>
      </c>
      <c r="BD105" s="188">
        <f t="shared" si="192"/>
        <v>0</v>
      </c>
      <c r="BE105" s="188">
        <f t="shared" si="192"/>
        <v>0</v>
      </c>
      <c r="BF105" s="188">
        <f t="shared" si="192"/>
        <v>0</v>
      </c>
      <c r="BG105" s="188">
        <f t="shared" si="192"/>
        <v>0</v>
      </c>
    </row>
    <row r="106" spans="1:158" ht="12.75" x14ac:dyDescent="0.2">
      <c r="B106" s="101"/>
      <c r="C106" s="179" t="s">
        <v>256</v>
      </c>
      <c r="F106" s="92"/>
      <c r="G106" s="92" t="s">
        <v>142</v>
      </c>
      <c r="I106" s="113"/>
      <c r="J106" s="188">
        <f t="shared" ref="J106:AO106" si="193">IF(SUMPRODUCT($J97:$BG97,discount_rate_divider)=0,0,SUMPRODUCT($J88:$BG88,discount_rate_divider)/SUMPRODUCT($J97:$BG97,discount_rate_divider))*J$72</f>
        <v>0</v>
      </c>
      <c r="K106" s="188">
        <f t="shared" si="193"/>
        <v>0</v>
      </c>
      <c r="L106" s="188">
        <f t="shared" si="193"/>
        <v>0</v>
      </c>
      <c r="M106" s="188">
        <f t="shared" si="193"/>
        <v>0</v>
      </c>
      <c r="N106" s="188">
        <f t="shared" si="193"/>
        <v>0</v>
      </c>
      <c r="O106" s="188">
        <f t="shared" si="193"/>
        <v>0</v>
      </c>
      <c r="P106" s="188">
        <f t="shared" si="193"/>
        <v>0</v>
      </c>
      <c r="Q106" s="188">
        <f t="shared" si="193"/>
        <v>0</v>
      </c>
      <c r="R106" s="188">
        <f t="shared" si="193"/>
        <v>0</v>
      </c>
      <c r="S106" s="188">
        <f t="shared" si="193"/>
        <v>0</v>
      </c>
      <c r="T106" s="188">
        <f t="shared" si="193"/>
        <v>0</v>
      </c>
      <c r="U106" s="188">
        <f t="shared" si="193"/>
        <v>0</v>
      </c>
      <c r="V106" s="188">
        <f t="shared" si="193"/>
        <v>0</v>
      </c>
      <c r="W106" s="188">
        <f t="shared" si="193"/>
        <v>0</v>
      </c>
      <c r="X106" s="188">
        <f t="shared" si="193"/>
        <v>0</v>
      </c>
      <c r="Y106" s="188">
        <f t="shared" si="193"/>
        <v>0</v>
      </c>
      <c r="Z106" s="188">
        <f t="shared" si="193"/>
        <v>0</v>
      </c>
      <c r="AA106" s="188">
        <f t="shared" si="193"/>
        <v>0</v>
      </c>
      <c r="AB106" s="188">
        <f t="shared" si="193"/>
        <v>0</v>
      </c>
      <c r="AC106" s="188">
        <f t="shared" si="193"/>
        <v>0</v>
      </c>
      <c r="AD106" s="188">
        <f t="shared" si="193"/>
        <v>0</v>
      </c>
      <c r="AE106" s="188">
        <f t="shared" si="193"/>
        <v>0</v>
      </c>
      <c r="AF106" s="188">
        <f t="shared" si="193"/>
        <v>0</v>
      </c>
      <c r="AG106" s="188">
        <f t="shared" si="193"/>
        <v>0</v>
      </c>
      <c r="AH106" s="188">
        <f t="shared" si="193"/>
        <v>0</v>
      </c>
      <c r="AI106" s="188">
        <f t="shared" si="193"/>
        <v>0</v>
      </c>
      <c r="AJ106" s="188">
        <f t="shared" si="193"/>
        <v>0</v>
      </c>
      <c r="AK106" s="188">
        <f t="shared" si="193"/>
        <v>0</v>
      </c>
      <c r="AL106" s="188">
        <f t="shared" si="193"/>
        <v>0</v>
      </c>
      <c r="AM106" s="188">
        <f t="shared" si="193"/>
        <v>0</v>
      </c>
      <c r="AN106" s="188">
        <f t="shared" si="193"/>
        <v>0</v>
      </c>
      <c r="AO106" s="188">
        <f t="shared" si="193"/>
        <v>0</v>
      </c>
      <c r="AP106" s="188">
        <f t="shared" ref="AP106:BG106" si="194">IF(SUMPRODUCT($J97:$BG97,discount_rate_divider)=0,0,SUMPRODUCT($J88:$BG88,discount_rate_divider)/SUMPRODUCT($J97:$BG97,discount_rate_divider))*AP$72</f>
        <v>0</v>
      </c>
      <c r="AQ106" s="188">
        <f t="shared" si="194"/>
        <v>0</v>
      </c>
      <c r="AR106" s="188">
        <f t="shared" si="194"/>
        <v>0</v>
      </c>
      <c r="AS106" s="188">
        <f t="shared" si="194"/>
        <v>0</v>
      </c>
      <c r="AT106" s="188">
        <f t="shared" si="194"/>
        <v>0</v>
      </c>
      <c r="AU106" s="188">
        <f t="shared" si="194"/>
        <v>0</v>
      </c>
      <c r="AV106" s="188">
        <f t="shared" si="194"/>
        <v>0</v>
      </c>
      <c r="AW106" s="188">
        <f t="shared" si="194"/>
        <v>0</v>
      </c>
      <c r="AX106" s="188">
        <f t="shared" si="194"/>
        <v>0</v>
      </c>
      <c r="AY106" s="188">
        <f t="shared" si="194"/>
        <v>0</v>
      </c>
      <c r="AZ106" s="188">
        <f t="shared" si="194"/>
        <v>0</v>
      </c>
      <c r="BA106" s="188">
        <f t="shared" si="194"/>
        <v>0</v>
      </c>
      <c r="BB106" s="188">
        <f t="shared" si="194"/>
        <v>0</v>
      </c>
      <c r="BC106" s="188">
        <f t="shared" si="194"/>
        <v>0</v>
      </c>
      <c r="BD106" s="188">
        <f t="shared" si="194"/>
        <v>0</v>
      </c>
      <c r="BE106" s="188">
        <f t="shared" si="194"/>
        <v>0</v>
      </c>
      <c r="BF106" s="188">
        <f t="shared" si="194"/>
        <v>0</v>
      </c>
      <c r="BG106" s="188">
        <f t="shared" si="194"/>
        <v>0</v>
      </c>
    </row>
    <row r="107" spans="1:158" ht="12.75" x14ac:dyDescent="0.2">
      <c r="B107" s="101"/>
      <c r="C107" s="90" t="s">
        <v>246</v>
      </c>
      <c r="F107" s="92"/>
      <c r="G107" s="92" t="s">
        <v>142</v>
      </c>
      <c r="I107" s="113"/>
      <c r="J107" s="124">
        <f t="shared" ref="J107:AO107" si="195">IF(SUMPRODUCT($J98:$BG98,discount_rate_divider)=0,0,SUMPRODUCT($J89:$BG89,discount_rate_divider)/SUMPRODUCT($J98:$BG98,discount_rate_divider))*J$72</f>
        <v>4.6047379385053183E-2</v>
      </c>
      <c r="K107" s="124">
        <f t="shared" si="195"/>
        <v>4.7806389277562214E-2</v>
      </c>
      <c r="L107" s="124">
        <f t="shared" si="195"/>
        <v>4.9513077374771189E-2</v>
      </c>
      <c r="M107" s="124">
        <f t="shared" si="195"/>
        <v>5.147874654654961E-2</v>
      </c>
      <c r="N107" s="124">
        <f t="shared" si="195"/>
        <v>5.3579079405648836E-2</v>
      </c>
      <c r="O107" s="124">
        <f t="shared" si="195"/>
        <v>5.4720313796989162E-2</v>
      </c>
      <c r="P107" s="124">
        <f t="shared" si="195"/>
        <v>5.6558916340568005E-2</v>
      </c>
      <c r="Q107" s="124">
        <f t="shared" si="195"/>
        <v>6.0387954976824455E-2</v>
      </c>
      <c r="R107" s="124">
        <f t="shared" si="195"/>
        <v>6.3141645723767653E-2</v>
      </c>
      <c r="S107" s="124">
        <f t="shared" si="195"/>
        <v>6.5541028261270826E-2</v>
      </c>
      <c r="T107" s="124">
        <f t="shared" si="195"/>
        <v>6.7939829895633339E-2</v>
      </c>
      <c r="U107" s="124">
        <f t="shared" si="195"/>
        <v>6.9978024792502341E-2</v>
      </c>
      <c r="V107" s="124">
        <f t="shared" si="195"/>
        <v>7.2077365536277416E-2</v>
      </c>
      <c r="W107" s="124">
        <f t="shared" si="195"/>
        <v>7.4239686502365732E-2</v>
      </c>
      <c r="X107" s="124">
        <f t="shared" si="195"/>
        <v>7.6466877097436714E-2</v>
      </c>
      <c r="Y107" s="124">
        <f t="shared" si="195"/>
        <v>7.8760883410359805E-2</v>
      </c>
      <c r="Z107" s="124">
        <f t="shared" si="195"/>
        <v>8.1123709912670608E-2</v>
      </c>
      <c r="AA107" s="124">
        <f t="shared" si="195"/>
        <v>8.355742121005072E-2</v>
      </c>
      <c r="AB107" s="124">
        <f t="shared" si="195"/>
        <v>8.6064143846352248E-2</v>
      </c>
      <c r="AC107" s="124">
        <f t="shared" si="195"/>
        <v>8.8646068161742822E-2</v>
      </c>
      <c r="AD107" s="124">
        <f t="shared" si="195"/>
        <v>9.1305450206595098E-2</v>
      </c>
      <c r="AE107" s="124">
        <f t="shared" si="195"/>
        <v>9.4044613712792963E-2</v>
      </c>
      <c r="AF107" s="124">
        <f t="shared" si="195"/>
        <v>9.6865952124176757E-2</v>
      </c>
      <c r="AG107" s="124">
        <f t="shared" si="195"/>
        <v>9.9771930687902063E-2</v>
      </c>
      <c r="AH107" s="124">
        <f t="shared" si="195"/>
        <v>0.10276508860853913</v>
      </c>
      <c r="AI107" s="124">
        <f t="shared" si="195"/>
        <v>0.1058480412667953</v>
      </c>
      <c r="AJ107" s="124">
        <f t="shared" si="195"/>
        <v>0.10902348250479917</v>
      </c>
      <c r="AK107" s="124">
        <f t="shared" si="195"/>
        <v>0.11229418697994314</v>
      </c>
      <c r="AL107" s="124">
        <f t="shared" si="195"/>
        <v>0.11566301258934145</v>
      </c>
      <c r="AM107" s="124">
        <f t="shared" si="195"/>
        <v>0.11913290296702168</v>
      </c>
      <c r="AN107" s="124">
        <f t="shared" si="195"/>
        <v>0.12270689005603233</v>
      </c>
      <c r="AO107" s="124">
        <f t="shared" si="195"/>
        <v>0.12638809675771331</v>
      </c>
      <c r="AP107" s="124">
        <f t="shared" ref="AP107:BG107" si="196">IF(SUMPRODUCT($J98:$BG98,discount_rate_divider)=0,0,SUMPRODUCT($J89:$BG89,discount_rate_divider)/SUMPRODUCT($J98:$BG98,discount_rate_divider))*AP$72</f>
        <v>0.13017973966044472</v>
      </c>
      <c r="AQ107" s="124">
        <f t="shared" si="196"/>
        <v>0.13408513185025805</v>
      </c>
      <c r="AR107" s="124">
        <f t="shared" si="196"/>
        <v>0.1381076858057658</v>
      </c>
      <c r="AS107" s="124">
        <f t="shared" si="196"/>
        <v>0.14225091637993878</v>
      </c>
      <c r="AT107" s="124">
        <f t="shared" si="196"/>
        <v>0.14651844387133692</v>
      </c>
      <c r="AU107" s="124">
        <f t="shared" si="196"/>
        <v>0.15091399718747706</v>
      </c>
      <c r="AV107" s="124">
        <f t="shared" si="196"/>
        <v>0.15544141710310136</v>
      </c>
      <c r="AW107" s="124">
        <f t="shared" si="196"/>
        <v>0.16010465961619438</v>
      </c>
      <c r="AX107" s="124">
        <f t="shared" si="196"/>
        <v>0.16490779940468023</v>
      </c>
      <c r="AY107" s="124">
        <f t="shared" si="196"/>
        <v>0.16985503338682065</v>
      </c>
      <c r="AZ107" s="124">
        <f t="shared" si="196"/>
        <v>0.17495068438842526</v>
      </c>
      <c r="BA107" s="124">
        <f t="shared" si="196"/>
        <v>0.18019920492007802</v>
      </c>
      <c r="BB107" s="124">
        <f t="shared" si="196"/>
        <v>0.18560518106768037</v>
      </c>
      <c r="BC107" s="124">
        <f t="shared" si="196"/>
        <v>0.19117333649971077</v>
      </c>
      <c r="BD107" s="124">
        <f t="shared" si="196"/>
        <v>0.19690853659470212</v>
      </c>
      <c r="BE107" s="124">
        <f t="shared" si="196"/>
        <v>0.20281579269254316</v>
      </c>
      <c r="BF107" s="124">
        <f t="shared" si="196"/>
        <v>0.20890026647331947</v>
      </c>
      <c r="BG107" s="124">
        <f t="shared" si="196"/>
        <v>0.21516727446751907</v>
      </c>
    </row>
    <row r="108" spans="1:158" x14ac:dyDescent="0.2">
      <c r="C108" s="90" t="s">
        <v>177</v>
      </c>
      <c r="G108" s="92" t="s">
        <v>142</v>
      </c>
      <c r="I108" s="113"/>
      <c r="J108" s="124">
        <f t="shared" ref="J108:AO108" si="197">IF(SUMPRODUCT($J99:$BG99,discount_rate_divider)=0,0,SUMPRODUCT($J90:$BG90,discount_rate_divider)/SUMPRODUCT($J99:$BG99,discount_rate_divider))*J$72</f>
        <v>5.9546855464093502</v>
      </c>
      <c r="K108" s="124">
        <f t="shared" si="197"/>
        <v>6.1821545342821871</v>
      </c>
      <c r="L108" s="124">
        <f t="shared" si="197"/>
        <v>6.4028574511560619</v>
      </c>
      <c r="M108" s="124">
        <f t="shared" si="197"/>
        <v>6.6570508919669589</v>
      </c>
      <c r="N108" s="124">
        <f t="shared" si="197"/>
        <v>6.9286585683592108</v>
      </c>
      <c r="O108" s="124">
        <f t="shared" si="197"/>
        <v>7.0762389958652623</v>
      </c>
      <c r="P108" s="124">
        <f t="shared" si="197"/>
        <v>7.3140006261263357</v>
      </c>
      <c r="Q108" s="124">
        <f t="shared" si="197"/>
        <v>7.809158468515089</v>
      </c>
      <c r="R108" s="124">
        <f t="shared" si="197"/>
        <v>8.1652560946793766</v>
      </c>
      <c r="S108" s="124">
        <f t="shared" si="197"/>
        <v>8.4755358262771932</v>
      </c>
      <c r="T108" s="124">
        <f t="shared" si="197"/>
        <v>8.785740437518939</v>
      </c>
      <c r="U108" s="124">
        <f t="shared" si="197"/>
        <v>9.0493126506445076</v>
      </c>
      <c r="V108" s="124">
        <f t="shared" si="197"/>
        <v>9.3207920301638421</v>
      </c>
      <c r="W108" s="124">
        <f t="shared" si="197"/>
        <v>9.6004157910687571</v>
      </c>
      <c r="X108" s="124">
        <f t="shared" si="197"/>
        <v>9.8884282648008206</v>
      </c>
      <c r="Y108" s="124">
        <f t="shared" si="197"/>
        <v>10.185081112744845</v>
      </c>
      <c r="Z108" s="124">
        <f t="shared" si="197"/>
        <v>10.49063354612719</v>
      </c>
      <c r="AA108" s="124">
        <f t="shared" si="197"/>
        <v>10.805352552511007</v>
      </c>
      <c r="AB108" s="124">
        <f t="shared" si="197"/>
        <v>11.129513129086337</v>
      </c>
      <c r="AC108" s="124">
        <f t="shared" si="197"/>
        <v>11.463398522958927</v>
      </c>
      <c r="AD108" s="124">
        <f t="shared" si="197"/>
        <v>11.807300478647695</v>
      </c>
      <c r="AE108" s="124">
        <f t="shared" si="197"/>
        <v>12.161519493007127</v>
      </c>
      <c r="AF108" s="124">
        <f t="shared" si="197"/>
        <v>12.52636507779734</v>
      </c>
      <c r="AG108" s="124">
        <f t="shared" si="197"/>
        <v>12.902156030131263</v>
      </c>
      <c r="AH108" s="124">
        <f t="shared" si="197"/>
        <v>13.289220711035201</v>
      </c>
      <c r="AI108" s="124">
        <f t="shared" si="197"/>
        <v>13.687897332366257</v>
      </c>
      <c r="AJ108" s="124">
        <f t="shared" si="197"/>
        <v>14.098534252337245</v>
      </c>
      <c r="AK108" s="124">
        <f t="shared" si="197"/>
        <v>14.521490279907363</v>
      </c>
      <c r="AL108" s="124">
        <f t="shared" si="197"/>
        <v>14.957134988304585</v>
      </c>
      <c r="AM108" s="124">
        <f t="shared" si="197"/>
        <v>15.405849037953722</v>
      </c>
      <c r="AN108" s="124">
        <f t="shared" si="197"/>
        <v>15.868024509092333</v>
      </c>
      <c r="AO108" s="124">
        <f t="shared" si="197"/>
        <v>16.344065244365105</v>
      </c>
      <c r="AP108" s="124">
        <f t="shared" ref="AP108:BG108" si="198">IF(SUMPRODUCT($J99:$BG99,discount_rate_divider)=0,0,SUMPRODUCT($J90:$BG90,discount_rate_divider)/SUMPRODUCT($J99:$BG99,discount_rate_divider))*AP$72</f>
        <v>16.83438720169606</v>
      </c>
      <c r="AQ108" s="124">
        <f t="shared" si="198"/>
        <v>17.339418817746939</v>
      </c>
      <c r="AR108" s="124">
        <f t="shared" si="198"/>
        <v>17.859601382279347</v>
      </c>
      <c r="AS108" s="124">
        <f t="shared" si="198"/>
        <v>18.395389423747726</v>
      </c>
      <c r="AT108" s="124">
        <f t="shared" si="198"/>
        <v>18.947251106460158</v>
      </c>
      <c r="AU108" s="124">
        <f t="shared" si="198"/>
        <v>19.515668639653963</v>
      </c>
      <c r="AV108" s="124">
        <f t="shared" si="198"/>
        <v>20.101138698843585</v>
      </c>
      <c r="AW108" s="124">
        <f t="shared" si="198"/>
        <v>20.704172859808892</v>
      </c>
      <c r="AX108" s="124">
        <f t="shared" si="198"/>
        <v>21.325298045603159</v>
      </c>
      <c r="AY108" s="124">
        <f t="shared" si="198"/>
        <v>21.965056986971252</v>
      </c>
      <c r="AZ108" s="124">
        <f t="shared" si="198"/>
        <v>22.62400869658039</v>
      </c>
      <c r="BA108" s="124">
        <f t="shared" si="198"/>
        <v>23.302728957477804</v>
      </c>
      <c r="BB108" s="124">
        <f t="shared" si="198"/>
        <v>24.001810826202139</v>
      </c>
      <c r="BC108" s="124">
        <f t="shared" si="198"/>
        <v>24.721865150988201</v>
      </c>
      <c r="BD108" s="124">
        <f t="shared" si="198"/>
        <v>25.463521105517849</v>
      </c>
      <c r="BE108" s="124">
        <f t="shared" si="198"/>
        <v>26.227426738683384</v>
      </c>
      <c r="BF108" s="124">
        <f t="shared" si="198"/>
        <v>27.014249540843888</v>
      </c>
      <c r="BG108" s="124">
        <f t="shared" si="198"/>
        <v>27.824677027069207</v>
      </c>
    </row>
    <row r="110" spans="1:158" ht="18" x14ac:dyDescent="0.25">
      <c r="A110" s="86">
        <v>3</v>
      </c>
      <c r="B110" s="87" t="s">
        <v>176</v>
      </c>
      <c r="C110" s="88"/>
      <c r="D110" s="88"/>
      <c r="E110" s="88"/>
      <c r="F110" s="91"/>
      <c r="G110" s="91"/>
      <c r="H110" s="88"/>
      <c r="I110" s="88"/>
      <c r="J110" s="88"/>
      <c r="K110" s="88"/>
      <c r="L110" s="88"/>
      <c r="M110" s="88"/>
      <c r="N110" s="88"/>
      <c r="O110" s="88"/>
      <c r="P110" s="88"/>
      <c r="Q110" s="88"/>
      <c r="R110" s="88"/>
      <c r="S110" s="88"/>
      <c r="T110" s="88"/>
      <c r="U110" s="88"/>
      <c r="V110" s="88"/>
      <c r="W110" s="88"/>
      <c r="X110" s="88"/>
      <c r="Y110" s="88"/>
      <c r="Z110" s="88"/>
      <c r="AA110" s="88"/>
      <c r="AB110" s="88"/>
      <c r="AC110" s="88"/>
      <c r="AD110" s="88"/>
      <c r="AE110" s="88"/>
      <c r="AF110" s="88"/>
      <c r="AG110" s="88"/>
      <c r="AH110" s="88"/>
      <c r="AI110" s="88"/>
      <c r="AJ110" s="88"/>
      <c r="AK110" s="88"/>
      <c r="AL110" s="88"/>
      <c r="AM110" s="88"/>
      <c r="AN110" s="88"/>
      <c r="AO110" s="88"/>
      <c r="AP110" s="88"/>
      <c r="AQ110" s="88"/>
      <c r="AR110" s="88"/>
      <c r="AS110" s="88"/>
      <c r="AT110" s="88"/>
      <c r="AU110" s="88"/>
      <c r="AV110" s="88"/>
      <c r="AW110" s="88"/>
      <c r="AX110" s="88"/>
      <c r="AY110" s="88"/>
      <c r="AZ110" s="88"/>
      <c r="BA110" s="88"/>
      <c r="BB110" s="88"/>
      <c r="BC110" s="88"/>
      <c r="BD110" s="88"/>
      <c r="BE110" s="88"/>
      <c r="BF110" s="88"/>
      <c r="BG110" s="88"/>
      <c r="BH110" s="88"/>
      <c r="BI110" s="88"/>
      <c r="BJ110" s="88"/>
      <c r="BK110" s="88"/>
      <c r="BL110" s="88"/>
      <c r="BM110" s="88"/>
      <c r="BN110" s="88"/>
      <c r="BO110" s="88"/>
      <c r="BP110" s="88"/>
      <c r="BQ110" s="88"/>
      <c r="BR110" s="88"/>
      <c r="BS110" s="88"/>
      <c r="BT110" s="88"/>
      <c r="BU110" s="88"/>
      <c r="BV110" s="88"/>
      <c r="BW110" s="88"/>
      <c r="BX110" s="88"/>
      <c r="BY110" s="88"/>
      <c r="BZ110" s="88"/>
      <c r="CA110" s="88"/>
      <c r="CB110" s="88"/>
      <c r="CC110" s="88"/>
      <c r="CD110" s="88"/>
      <c r="CE110" s="88"/>
      <c r="CF110" s="88"/>
      <c r="CG110" s="88"/>
      <c r="CH110" s="88"/>
      <c r="CI110" s="88"/>
      <c r="CJ110" s="88"/>
      <c r="CK110" s="88"/>
      <c r="CL110" s="88"/>
      <c r="CM110" s="88"/>
      <c r="CN110" s="88"/>
      <c r="CO110" s="88"/>
      <c r="CP110" s="88"/>
      <c r="CQ110" s="88"/>
      <c r="CR110" s="88"/>
      <c r="CS110" s="88"/>
      <c r="CT110" s="88"/>
      <c r="CU110" s="88"/>
      <c r="CV110" s="88"/>
      <c r="CW110" s="88"/>
      <c r="CX110" s="88"/>
      <c r="CY110" s="88"/>
      <c r="CZ110" s="88"/>
      <c r="DA110" s="88"/>
      <c r="DB110" s="88"/>
      <c r="DC110" s="88"/>
      <c r="DE110" s="88"/>
      <c r="DF110" s="88"/>
      <c r="DG110" s="88"/>
      <c r="DH110" s="88"/>
      <c r="DI110" s="88"/>
      <c r="DJ110" s="88"/>
      <c r="DK110" s="88"/>
      <c r="DL110" s="88"/>
      <c r="DM110" s="88"/>
      <c r="DN110" s="88"/>
      <c r="DO110" s="88"/>
      <c r="DP110" s="88"/>
      <c r="DQ110" s="88"/>
      <c r="DR110" s="88"/>
      <c r="DS110" s="88"/>
      <c r="DT110" s="88"/>
      <c r="DU110" s="88"/>
      <c r="DV110" s="88"/>
      <c r="DW110" s="88"/>
      <c r="DX110" s="88"/>
      <c r="DY110" s="88"/>
      <c r="DZ110" s="88"/>
      <c r="EA110" s="88"/>
      <c r="EB110" s="88"/>
      <c r="EC110" s="88"/>
      <c r="ED110" s="88"/>
      <c r="EE110" s="88"/>
      <c r="EF110" s="88"/>
      <c r="EG110" s="88"/>
      <c r="EH110" s="88"/>
      <c r="EI110" s="88"/>
      <c r="EJ110" s="88"/>
      <c r="EK110" s="88"/>
      <c r="EL110" s="88"/>
      <c r="EM110" s="88"/>
      <c r="EN110" s="88"/>
      <c r="EO110" s="88"/>
      <c r="EP110" s="88"/>
      <c r="EQ110" s="88"/>
      <c r="ER110" s="88"/>
      <c r="ES110" s="88"/>
      <c r="ET110" s="88"/>
      <c r="EU110" s="88"/>
      <c r="EV110" s="88"/>
      <c r="EW110" s="88"/>
      <c r="EX110" s="88"/>
      <c r="EY110" s="88"/>
      <c r="EZ110" s="88"/>
      <c r="FA110" s="88"/>
      <c r="FB110" s="88"/>
    </row>
    <row r="111" spans="1:158" s="90" customFormat="1" ht="12" customHeight="1" x14ac:dyDescent="0.2">
      <c r="A111" s="89"/>
      <c r="B111" s="95"/>
      <c r="S111" s="205"/>
    </row>
    <row r="112" spans="1:158" s="90" customFormat="1" ht="12.75" x14ac:dyDescent="0.2">
      <c r="A112" s="43"/>
      <c r="B112" s="93" t="s">
        <v>139</v>
      </c>
      <c r="C112" s="43"/>
      <c r="D112" s="43"/>
      <c r="E112" s="43"/>
      <c r="F112" s="43"/>
      <c r="G112" s="43"/>
      <c r="H112" s="43"/>
      <c r="I112" s="43"/>
      <c r="J112" s="43"/>
      <c r="K112" s="43"/>
      <c r="L112" s="43"/>
      <c r="M112" s="43"/>
      <c r="N112" s="43"/>
      <c r="O112" s="43"/>
      <c r="P112" s="43"/>
      <c r="Q112" s="43"/>
      <c r="R112" s="43"/>
      <c r="S112" s="205"/>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c r="BG112" s="43"/>
      <c r="BH112" s="43"/>
    </row>
    <row r="113" spans="1:158" s="90" customFormat="1" x14ac:dyDescent="0.2">
      <c r="A113" s="43"/>
      <c r="C113" s="90" t="s">
        <v>175</v>
      </c>
      <c r="D113" s="43"/>
      <c r="E113" s="43"/>
      <c r="F113" s="43"/>
      <c r="G113" s="92" t="s">
        <v>142</v>
      </c>
      <c r="H113" s="43"/>
      <c r="I113" s="43"/>
      <c r="J113" s="124">
        <f t="shared" ref="J113:N114" si="199">$O113*J$118</f>
        <v>7.4574374999999998E-2</v>
      </c>
      <c r="K113" s="124">
        <f t="shared" si="199"/>
        <v>7.4574374999999998E-2</v>
      </c>
      <c r="L113" s="124">
        <f t="shared" si="199"/>
        <v>7.4574374999999998E-2</v>
      </c>
      <c r="M113" s="124">
        <f t="shared" si="199"/>
        <v>7.4574374999999998E-2</v>
      </c>
      <c r="N113" s="124">
        <f t="shared" si="199"/>
        <v>7.4574374999999998E-2</v>
      </c>
      <c r="O113" s="129">
        <f>precio.folio</f>
        <v>7.4574374999999998E-2</v>
      </c>
      <c r="P113" s="124">
        <f t="shared" ref="P113:Y114" si="200">$O113*P$118</f>
        <v>7.4574374999999998E-2</v>
      </c>
      <c r="Q113" s="124">
        <f t="shared" si="200"/>
        <v>7.4574374999999998E-2</v>
      </c>
      <c r="R113" s="124">
        <f>$O113*Q$118</f>
        <v>7.4574374999999998E-2</v>
      </c>
      <c r="S113" s="124">
        <f t="shared" si="200"/>
        <v>7.6073319937499995E-2</v>
      </c>
      <c r="T113" s="124">
        <f t="shared" si="200"/>
        <v>7.6834053136874997E-2</v>
      </c>
      <c r="U113" s="124">
        <f t="shared" si="200"/>
        <v>7.7602393668243744E-2</v>
      </c>
      <c r="V113" s="124">
        <f t="shared" si="200"/>
        <v>7.8378417604926184E-2</v>
      </c>
      <c r="W113" s="124">
        <f t="shared" si="200"/>
        <v>7.9162201780975439E-2</v>
      </c>
      <c r="X113" s="124">
        <f t="shared" si="200"/>
        <v>7.9953823798785184E-2</v>
      </c>
      <c r="Y113" s="124">
        <f t="shared" si="200"/>
        <v>8.0753362036773052E-2</v>
      </c>
      <c r="Z113" s="124">
        <f t="shared" ref="Z113:AI114" si="201">$O113*Z$118</f>
        <v>8.1560895657140781E-2</v>
      </c>
      <c r="AA113" s="124">
        <f t="shared" si="201"/>
        <v>8.2376504613712195E-2</v>
      </c>
      <c r="AB113" s="124">
        <f t="shared" si="201"/>
        <v>8.3200269659849321E-2</v>
      </c>
      <c r="AC113" s="124">
        <f t="shared" si="201"/>
        <v>8.4032272356447807E-2</v>
      </c>
      <c r="AD113" s="124">
        <f t="shared" si="201"/>
        <v>8.4872595080012297E-2</v>
      </c>
      <c r="AE113" s="124">
        <f t="shared" si="201"/>
        <v>8.5721321030812411E-2</v>
      </c>
      <c r="AF113" s="124">
        <f t="shared" si="201"/>
        <v>8.6578534241120539E-2</v>
      </c>
      <c r="AG113" s="124">
        <f t="shared" si="201"/>
        <v>8.7444319583531743E-2</v>
      </c>
      <c r="AH113" s="124">
        <f t="shared" si="201"/>
        <v>8.8318762779367066E-2</v>
      </c>
      <c r="AI113" s="124">
        <f t="shared" si="201"/>
        <v>8.9201950407160738E-2</v>
      </c>
      <c r="AJ113" s="124">
        <f t="shared" ref="AJ113:AS114" si="202">$O113*AJ$118</f>
        <v>9.0093969911232336E-2</v>
      </c>
      <c r="AK113" s="124">
        <f t="shared" si="202"/>
        <v>9.0994909610344676E-2</v>
      </c>
      <c r="AL113" s="124">
        <f t="shared" si="202"/>
        <v>9.1904858706448128E-2</v>
      </c>
      <c r="AM113" s="124">
        <f t="shared" si="202"/>
        <v>9.2823907293512614E-2</v>
      </c>
      <c r="AN113" s="124">
        <f t="shared" si="202"/>
        <v>9.3752146366447742E-2</v>
      </c>
      <c r="AO113" s="124">
        <f t="shared" si="202"/>
        <v>9.468966783011222E-2</v>
      </c>
      <c r="AP113" s="124">
        <f t="shared" si="202"/>
        <v>9.5636564508413346E-2</v>
      </c>
      <c r="AQ113" s="124">
        <f t="shared" si="202"/>
        <v>9.6592930153497472E-2</v>
      </c>
      <c r="AR113" s="124">
        <f t="shared" si="202"/>
        <v>9.755885945503244E-2</v>
      </c>
      <c r="AS113" s="124">
        <f t="shared" si="202"/>
        <v>9.8534448049582779E-2</v>
      </c>
      <c r="AT113" s="124">
        <f t="shared" ref="AT113:BG114" si="203">$O113*AT$118</f>
        <v>9.9519792530078616E-2</v>
      </c>
      <c r="AU113" s="124">
        <f t="shared" si="203"/>
        <v>0.1005149904553794</v>
      </c>
      <c r="AV113" s="124">
        <f t="shared" si="203"/>
        <v>0.10152014035993319</v>
      </c>
      <c r="AW113" s="124">
        <f t="shared" si="203"/>
        <v>0.10253534176353253</v>
      </c>
      <c r="AX113" s="124">
        <f t="shared" si="203"/>
        <v>0.10356069518116787</v>
      </c>
      <c r="AY113" s="124">
        <f t="shared" si="203"/>
        <v>0.10459630213297955</v>
      </c>
      <c r="AZ113" s="124">
        <f t="shared" si="203"/>
        <v>0.10564226515430933</v>
      </c>
      <c r="BA113" s="124">
        <f t="shared" si="203"/>
        <v>0.10669868780585243</v>
      </c>
      <c r="BB113" s="124">
        <f t="shared" si="203"/>
        <v>0.10776567468391095</v>
      </c>
      <c r="BC113" s="124">
        <f t="shared" si="203"/>
        <v>0.10884333143075006</v>
      </c>
      <c r="BD113" s="124">
        <f t="shared" si="203"/>
        <v>0.10993176474505757</v>
      </c>
      <c r="BE113" s="124">
        <f t="shared" si="203"/>
        <v>0.11103108239250814</v>
      </c>
      <c r="BF113" s="124">
        <f t="shared" si="203"/>
        <v>0.11214139321643322</v>
      </c>
      <c r="BG113" s="124">
        <f t="shared" si="203"/>
        <v>0.11326280714859756</v>
      </c>
      <c r="BH113" s="43"/>
    </row>
    <row r="114" spans="1:158" s="90" customFormat="1" ht="12.75" x14ac:dyDescent="0.2">
      <c r="A114" s="43"/>
      <c r="B114" s="101"/>
      <c r="C114" s="90" t="s">
        <v>145</v>
      </c>
      <c r="D114" s="43"/>
      <c r="E114" s="43"/>
      <c r="F114" s="43"/>
      <c r="G114" s="92" t="s">
        <v>142</v>
      </c>
      <c r="H114" s="43"/>
      <c r="I114" s="43"/>
      <c r="J114" s="124">
        <f t="shared" si="199"/>
        <v>0.26283333333333331</v>
      </c>
      <c r="K114" s="124">
        <f t="shared" si="199"/>
        <v>0.26283333333333331</v>
      </c>
      <c r="L114" s="124">
        <f t="shared" si="199"/>
        <v>0.26283333333333331</v>
      </c>
      <c r="M114" s="124">
        <f t="shared" si="199"/>
        <v>0.26283333333333331</v>
      </c>
      <c r="N114" s="124">
        <f t="shared" si="199"/>
        <v>0.26283333333333331</v>
      </c>
      <c r="O114" s="129">
        <f>precio.sobre</f>
        <v>0.26283333333333331</v>
      </c>
      <c r="P114" s="124">
        <f t="shared" si="200"/>
        <v>0.26283333333333331</v>
      </c>
      <c r="Q114" s="124">
        <f t="shared" si="200"/>
        <v>0.26283333333333331</v>
      </c>
      <c r="R114" s="124">
        <f t="shared" si="200"/>
        <v>0.26546166666666665</v>
      </c>
      <c r="S114" s="124">
        <f t="shared" si="200"/>
        <v>0.26811628333333332</v>
      </c>
      <c r="T114" s="124">
        <f t="shared" si="200"/>
        <v>0.27079744616666662</v>
      </c>
      <c r="U114" s="124">
        <f t="shared" si="200"/>
        <v>0.27350542062833333</v>
      </c>
      <c r="V114" s="124">
        <f t="shared" si="200"/>
        <v>0.27624047483461661</v>
      </c>
      <c r="W114" s="124">
        <f t="shared" si="200"/>
        <v>0.27900287958296277</v>
      </c>
      <c r="X114" s="124">
        <f t="shared" si="200"/>
        <v>0.28179290837879239</v>
      </c>
      <c r="Y114" s="124">
        <f t="shared" si="200"/>
        <v>0.28461083746258031</v>
      </c>
      <c r="Z114" s="124">
        <f t="shared" si="201"/>
        <v>0.28745694583720616</v>
      </c>
      <c r="AA114" s="124">
        <f t="shared" si="201"/>
        <v>0.29033151529557821</v>
      </c>
      <c r="AB114" s="124">
        <f t="shared" si="201"/>
        <v>0.29323483044853399</v>
      </c>
      <c r="AC114" s="124">
        <f t="shared" si="201"/>
        <v>0.29616717875301934</v>
      </c>
      <c r="AD114" s="124">
        <f t="shared" si="201"/>
        <v>0.29912885054054955</v>
      </c>
      <c r="AE114" s="124">
        <f t="shared" si="201"/>
        <v>0.30212013904595503</v>
      </c>
      <c r="AF114" s="124">
        <f t="shared" si="201"/>
        <v>0.30514134043641461</v>
      </c>
      <c r="AG114" s="124">
        <f t="shared" si="201"/>
        <v>0.30819275384077877</v>
      </c>
      <c r="AH114" s="124">
        <f t="shared" si="201"/>
        <v>0.31127468137918657</v>
      </c>
      <c r="AI114" s="124">
        <f t="shared" si="201"/>
        <v>0.31438742819297844</v>
      </c>
      <c r="AJ114" s="124">
        <f t="shared" si="202"/>
        <v>0.31753130247490818</v>
      </c>
      <c r="AK114" s="124">
        <f t="shared" si="202"/>
        <v>0.32070661549965729</v>
      </c>
      <c r="AL114" s="124">
        <f t="shared" si="202"/>
        <v>0.3239136816546539</v>
      </c>
      <c r="AM114" s="124">
        <f t="shared" si="202"/>
        <v>0.32715281847120048</v>
      </c>
      <c r="AN114" s="124">
        <f t="shared" si="202"/>
        <v>0.33042434665591247</v>
      </c>
      <c r="AO114" s="124">
        <f t="shared" si="202"/>
        <v>0.33372859012247164</v>
      </c>
      <c r="AP114" s="124">
        <f t="shared" si="202"/>
        <v>0.33706587602369631</v>
      </c>
      <c r="AQ114" s="124">
        <f t="shared" si="202"/>
        <v>0.34043653478393326</v>
      </c>
      <c r="AR114" s="124">
        <f t="shared" si="202"/>
        <v>0.3438409001317726</v>
      </c>
      <c r="AS114" s="124">
        <f t="shared" si="202"/>
        <v>0.34727930913309035</v>
      </c>
      <c r="AT114" s="124">
        <f t="shared" si="203"/>
        <v>0.35075210222442127</v>
      </c>
      <c r="AU114" s="124">
        <f t="shared" si="203"/>
        <v>0.35425962324666549</v>
      </c>
      <c r="AV114" s="124">
        <f t="shared" si="203"/>
        <v>0.35780221947913216</v>
      </c>
      <c r="AW114" s="124">
        <f t="shared" si="203"/>
        <v>0.36138024167392352</v>
      </c>
      <c r="AX114" s="124">
        <f t="shared" si="203"/>
        <v>0.36499404409066277</v>
      </c>
      <c r="AY114" s="124">
        <f t="shared" si="203"/>
        <v>0.36864398453156938</v>
      </c>
      <c r="AZ114" s="124">
        <f t="shared" si="203"/>
        <v>0.37233042437688507</v>
      </c>
      <c r="BA114" s="124">
        <f t="shared" si="203"/>
        <v>0.37605372862065389</v>
      </c>
      <c r="BB114" s="124">
        <f t="shared" si="203"/>
        <v>0.37981426590686046</v>
      </c>
      <c r="BC114" s="124">
        <f t="shared" si="203"/>
        <v>0.3836124085659291</v>
      </c>
      <c r="BD114" s="124">
        <f t="shared" si="203"/>
        <v>0.38744853265158841</v>
      </c>
      <c r="BE114" s="124">
        <f t="shared" si="203"/>
        <v>0.39132301797810426</v>
      </c>
      <c r="BF114" s="124">
        <f t="shared" si="203"/>
        <v>0.39523624815788533</v>
      </c>
      <c r="BG114" s="124">
        <f t="shared" si="203"/>
        <v>0.39918861063946415</v>
      </c>
      <c r="BH114" s="43"/>
    </row>
    <row r="115" spans="1:158" s="90" customFormat="1" ht="12.75" x14ac:dyDescent="0.2">
      <c r="A115" s="43"/>
      <c r="B115" s="101"/>
      <c r="C115" s="90" t="s">
        <v>296</v>
      </c>
      <c r="D115" s="43"/>
      <c r="E115" s="43"/>
      <c r="F115" s="43"/>
      <c r="G115" s="92" t="s">
        <v>142</v>
      </c>
      <c r="H115" s="43"/>
      <c r="I115" s="43"/>
      <c r="J115" s="124">
        <f t="shared" ref="J115:M115" si="204">$O115*J$118</f>
        <v>0.98207999999999995</v>
      </c>
      <c r="K115" s="124">
        <f t="shared" si="204"/>
        <v>0.98207999999999995</v>
      </c>
      <c r="L115" s="124">
        <f t="shared" si="204"/>
        <v>0.98207999999999995</v>
      </c>
      <c r="M115" s="124">
        <f t="shared" si="204"/>
        <v>0.98207999999999995</v>
      </c>
      <c r="N115" s="124">
        <f>$O115*N$118</f>
        <v>0.98207999999999995</v>
      </c>
      <c r="O115" s="129">
        <f>costo_por_copia_color</f>
        <v>0.98207999999999995</v>
      </c>
      <c r="P115" s="124">
        <f>$O115*P$118</f>
        <v>0.98207999999999995</v>
      </c>
      <c r="Q115" s="124">
        <f>$O115*Q$118</f>
        <v>0.98207999999999995</v>
      </c>
      <c r="R115" s="124">
        <f t="shared" ref="R115:BG115" si="205">$O115*R$118</f>
        <v>0.99190079999999992</v>
      </c>
      <c r="S115" s="124">
        <f t="shared" si="205"/>
        <v>1.001819808</v>
      </c>
      <c r="T115" s="124">
        <f t="shared" si="205"/>
        <v>1.0118380060799999</v>
      </c>
      <c r="U115" s="124">
        <f t="shared" si="205"/>
        <v>1.0219563861407999</v>
      </c>
      <c r="V115" s="124">
        <f t="shared" si="205"/>
        <v>1.0321759500022079</v>
      </c>
      <c r="W115" s="124">
        <f t="shared" si="205"/>
        <v>1.0424977095022299</v>
      </c>
      <c r="X115" s="124">
        <f t="shared" si="205"/>
        <v>1.0529226865972521</v>
      </c>
      <c r="Y115" s="124">
        <f t="shared" si="205"/>
        <v>1.0634519134632248</v>
      </c>
      <c r="Z115" s="124">
        <f t="shared" si="205"/>
        <v>1.0740864325978572</v>
      </c>
      <c r="AA115" s="124">
        <f t="shared" si="205"/>
        <v>1.0848272969238357</v>
      </c>
      <c r="AB115" s="124">
        <f t="shared" si="205"/>
        <v>1.095675569893074</v>
      </c>
      <c r="AC115" s="124">
        <f t="shared" si="205"/>
        <v>1.1066323255920048</v>
      </c>
      <c r="AD115" s="124">
        <f t="shared" si="205"/>
        <v>1.1176986488479248</v>
      </c>
      <c r="AE115" s="124">
        <f t="shared" si="205"/>
        <v>1.128875635336404</v>
      </c>
      <c r="AF115" s="124">
        <f t="shared" si="205"/>
        <v>1.1401643916897681</v>
      </c>
      <c r="AG115" s="124">
        <f t="shared" si="205"/>
        <v>1.1515660356066659</v>
      </c>
      <c r="AH115" s="124">
        <f t="shared" si="205"/>
        <v>1.1630816959627326</v>
      </c>
      <c r="AI115" s="124">
        <f t="shared" si="205"/>
        <v>1.1747125129223599</v>
      </c>
      <c r="AJ115" s="124">
        <f t="shared" si="205"/>
        <v>1.1864596380515835</v>
      </c>
      <c r="AK115" s="124">
        <f t="shared" si="205"/>
        <v>1.1983242344320995</v>
      </c>
      <c r="AL115" s="124">
        <f t="shared" si="205"/>
        <v>1.2103074767764206</v>
      </c>
      <c r="AM115" s="124">
        <f t="shared" si="205"/>
        <v>1.2224105515441848</v>
      </c>
      <c r="AN115" s="124">
        <f t="shared" si="205"/>
        <v>1.2346346570596267</v>
      </c>
      <c r="AO115" s="124">
        <f t="shared" si="205"/>
        <v>1.2469810036302229</v>
      </c>
      <c r="AP115" s="124">
        <f t="shared" si="205"/>
        <v>1.2594508136665252</v>
      </c>
      <c r="AQ115" s="124">
        <f t="shared" si="205"/>
        <v>1.2720453218031904</v>
      </c>
      <c r="AR115" s="124">
        <f t="shared" si="205"/>
        <v>1.2847657750212222</v>
      </c>
      <c r="AS115" s="124">
        <f t="shared" si="205"/>
        <v>1.2976134327714346</v>
      </c>
      <c r="AT115" s="124">
        <f t="shared" si="205"/>
        <v>1.310589567099149</v>
      </c>
      <c r="AU115" s="124">
        <f t="shared" si="205"/>
        <v>1.3236954627701405</v>
      </c>
      <c r="AV115" s="124">
        <f t="shared" si="205"/>
        <v>1.3369324173978419</v>
      </c>
      <c r="AW115" s="124">
        <f t="shared" si="205"/>
        <v>1.3503017415718204</v>
      </c>
      <c r="AX115" s="124">
        <f t="shared" si="205"/>
        <v>1.3638047589875386</v>
      </c>
      <c r="AY115" s="124">
        <f t="shared" si="205"/>
        <v>1.377442806577414</v>
      </c>
      <c r="AZ115" s="124">
        <f t="shared" si="205"/>
        <v>1.3912172346431881</v>
      </c>
      <c r="BA115" s="124">
        <f t="shared" si="205"/>
        <v>1.4051294069896201</v>
      </c>
      <c r="BB115" s="124">
        <f t="shared" si="205"/>
        <v>1.4191807010595163</v>
      </c>
      <c r="BC115" s="124">
        <f t="shared" si="205"/>
        <v>1.4333725080701116</v>
      </c>
      <c r="BD115" s="124">
        <f t="shared" si="205"/>
        <v>1.4477062331508126</v>
      </c>
      <c r="BE115" s="124">
        <f t="shared" si="205"/>
        <v>1.4621832954823208</v>
      </c>
      <c r="BF115" s="124">
        <f t="shared" si="205"/>
        <v>1.476805128437144</v>
      </c>
      <c r="BG115" s="124">
        <f t="shared" si="205"/>
        <v>1.4915731797215155</v>
      </c>
      <c r="BH115" s="43"/>
    </row>
    <row r="116" spans="1:158" ht="12.75" x14ac:dyDescent="0.2">
      <c r="B116" s="93"/>
      <c r="C116" t="s">
        <v>146</v>
      </c>
      <c r="G116" s="92" t="s">
        <v>142</v>
      </c>
      <c r="I116" s="43"/>
      <c r="J116" s="124">
        <f>$O116*J$118</f>
        <v>2.23</v>
      </c>
      <c r="K116" s="124">
        <f>$O116*K$118</f>
        <v>2.23</v>
      </c>
      <c r="L116" s="124">
        <f>$O116*L$118</f>
        <v>2.23</v>
      </c>
      <c r="M116" s="124">
        <f>$O116*M$118</f>
        <v>2.23</v>
      </c>
      <c r="N116" s="124">
        <f>$O116*N$118</f>
        <v>2.23</v>
      </c>
      <c r="O116" s="129">
        <f>franqueo</f>
        <v>2.23</v>
      </c>
      <c r="P116" s="124">
        <f>$O116*P$118</f>
        <v>2.23</v>
      </c>
      <c r="Q116" s="124">
        <f t="shared" ref="Q116:BG116" si="206">$O116*Q$118</f>
        <v>2.23</v>
      </c>
      <c r="R116" s="124">
        <f>$O116*R$118</f>
        <v>2.2523</v>
      </c>
      <c r="S116" s="124">
        <f t="shared" si="206"/>
        <v>2.274823</v>
      </c>
      <c r="T116" s="124">
        <f t="shared" si="206"/>
        <v>2.29757123</v>
      </c>
      <c r="U116" s="124">
        <f t="shared" si="206"/>
        <v>2.3205469423</v>
      </c>
      <c r="V116" s="124">
        <f t="shared" si="206"/>
        <v>2.343752411723</v>
      </c>
      <c r="W116" s="124">
        <f t="shared" si="206"/>
        <v>2.36718993584023</v>
      </c>
      <c r="X116" s="124">
        <f t="shared" si="206"/>
        <v>2.3908618351986317</v>
      </c>
      <c r="Y116" s="124">
        <f t="shared" si="206"/>
        <v>2.4147704535506183</v>
      </c>
      <c r="Z116" s="124">
        <f t="shared" si="206"/>
        <v>2.4389181580861248</v>
      </c>
      <c r="AA116" s="124">
        <f t="shared" si="206"/>
        <v>2.463307339666986</v>
      </c>
      <c r="AB116" s="124">
        <f t="shared" si="206"/>
        <v>2.4879404130636558</v>
      </c>
      <c r="AC116" s="124">
        <f t="shared" si="206"/>
        <v>2.5128198171942926</v>
      </c>
      <c r="AD116" s="124">
        <f t="shared" si="206"/>
        <v>2.5379480153662355</v>
      </c>
      <c r="AE116" s="124">
        <f t="shared" si="206"/>
        <v>2.5633274955198977</v>
      </c>
      <c r="AF116" s="124">
        <f t="shared" si="206"/>
        <v>2.5889607704750972</v>
      </c>
      <c r="AG116" s="124">
        <f t="shared" si="206"/>
        <v>2.614850378179848</v>
      </c>
      <c r="AH116" s="124">
        <f t="shared" si="206"/>
        <v>2.6409988819616466</v>
      </c>
      <c r="AI116" s="124">
        <f t="shared" si="206"/>
        <v>2.6674088707812631</v>
      </c>
      <c r="AJ116" s="124">
        <f t="shared" si="206"/>
        <v>2.6940829594890756</v>
      </c>
      <c r="AK116" s="124">
        <f t="shared" si="206"/>
        <v>2.7210237890839664</v>
      </c>
      <c r="AL116" s="124">
        <f t="shared" si="206"/>
        <v>2.7482340269748065</v>
      </c>
      <c r="AM116" s="124">
        <f t="shared" si="206"/>
        <v>2.7757163672445544</v>
      </c>
      <c r="AN116" s="124">
        <f t="shared" si="206"/>
        <v>2.803473530917</v>
      </c>
      <c r="AO116" s="124">
        <f t="shared" si="206"/>
        <v>2.8315082662261704</v>
      </c>
      <c r="AP116" s="124">
        <f t="shared" si="206"/>
        <v>2.8598233488884319</v>
      </c>
      <c r="AQ116" s="124">
        <f t="shared" si="206"/>
        <v>2.8884215823773163</v>
      </c>
      <c r="AR116" s="124">
        <f t="shared" si="206"/>
        <v>2.9173057982010895</v>
      </c>
      <c r="AS116" s="124">
        <f t="shared" si="206"/>
        <v>2.9464788561831003</v>
      </c>
      <c r="AT116" s="124">
        <f t="shared" si="206"/>
        <v>2.9759436447449317</v>
      </c>
      <c r="AU116" s="124">
        <f t="shared" si="206"/>
        <v>3.0057030811923808</v>
      </c>
      <c r="AV116" s="124">
        <f t="shared" si="206"/>
        <v>3.0357601120043047</v>
      </c>
      <c r="AW116" s="124">
        <f t="shared" si="206"/>
        <v>3.0661177131243482</v>
      </c>
      <c r="AX116" s="124">
        <f t="shared" si="206"/>
        <v>3.0967788902555915</v>
      </c>
      <c r="AY116" s="124">
        <f t="shared" si="206"/>
        <v>3.1277466791581476</v>
      </c>
      <c r="AZ116" s="124">
        <f t="shared" si="206"/>
        <v>3.1590241459497288</v>
      </c>
      <c r="BA116" s="124">
        <f t="shared" si="206"/>
        <v>3.1906143874092261</v>
      </c>
      <c r="BB116" s="124">
        <f t="shared" si="206"/>
        <v>3.2225205312833185</v>
      </c>
      <c r="BC116" s="124">
        <f t="shared" si="206"/>
        <v>3.2547457365961519</v>
      </c>
      <c r="BD116" s="124">
        <f t="shared" si="206"/>
        <v>3.2872931939621135</v>
      </c>
      <c r="BE116" s="124">
        <f t="shared" si="206"/>
        <v>3.3201661259017343</v>
      </c>
      <c r="BF116" s="124">
        <f t="shared" si="206"/>
        <v>3.3533677871607521</v>
      </c>
      <c r="BG116" s="124">
        <f t="shared" si="206"/>
        <v>3.3869014650323597</v>
      </c>
    </row>
    <row r="117" spans="1:158" s="90" customFormat="1" x14ac:dyDescent="0.2">
      <c r="B117" s="110" t="s">
        <v>209</v>
      </c>
      <c r="G117" s="90" t="s">
        <v>143</v>
      </c>
      <c r="I117" s="43"/>
      <c r="J117" s="132">
        <v>0</v>
      </c>
      <c r="K117" s="132">
        <v>0</v>
      </c>
      <c r="L117" s="132">
        <v>0</v>
      </c>
      <c r="M117" s="132">
        <v>0</v>
      </c>
      <c r="N117" s="132">
        <v>0</v>
      </c>
      <c r="O117" s="132">
        <v>0</v>
      </c>
      <c r="P117" s="132">
        <v>0</v>
      </c>
      <c r="Q117" s="132">
        <v>0</v>
      </c>
      <c r="R117" s="132">
        <v>0.01</v>
      </c>
      <c r="S117" s="176">
        <f t="shared" ref="S117:BG117" si="207">R117</f>
        <v>0.01</v>
      </c>
      <c r="T117" s="176">
        <f t="shared" si="207"/>
        <v>0.01</v>
      </c>
      <c r="U117" s="176">
        <f t="shared" si="207"/>
        <v>0.01</v>
      </c>
      <c r="V117" s="176">
        <f t="shared" si="207"/>
        <v>0.01</v>
      </c>
      <c r="W117" s="176">
        <f t="shared" si="207"/>
        <v>0.01</v>
      </c>
      <c r="X117" s="176">
        <f t="shared" si="207"/>
        <v>0.01</v>
      </c>
      <c r="Y117" s="176">
        <f t="shared" si="207"/>
        <v>0.01</v>
      </c>
      <c r="Z117" s="176">
        <f t="shared" si="207"/>
        <v>0.01</v>
      </c>
      <c r="AA117" s="176">
        <f t="shared" si="207"/>
        <v>0.01</v>
      </c>
      <c r="AB117" s="176">
        <f t="shared" si="207"/>
        <v>0.01</v>
      </c>
      <c r="AC117" s="176">
        <f t="shared" si="207"/>
        <v>0.01</v>
      </c>
      <c r="AD117" s="176">
        <f t="shared" si="207"/>
        <v>0.01</v>
      </c>
      <c r="AE117" s="176">
        <f t="shared" si="207"/>
        <v>0.01</v>
      </c>
      <c r="AF117" s="176">
        <f t="shared" si="207"/>
        <v>0.01</v>
      </c>
      <c r="AG117" s="176">
        <f t="shared" si="207"/>
        <v>0.01</v>
      </c>
      <c r="AH117" s="176">
        <f t="shared" si="207"/>
        <v>0.01</v>
      </c>
      <c r="AI117" s="176">
        <f t="shared" si="207"/>
        <v>0.01</v>
      </c>
      <c r="AJ117" s="176">
        <f t="shared" si="207"/>
        <v>0.01</v>
      </c>
      <c r="AK117" s="176">
        <f t="shared" si="207"/>
        <v>0.01</v>
      </c>
      <c r="AL117" s="176">
        <f t="shared" si="207"/>
        <v>0.01</v>
      </c>
      <c r="AM117" s="176">
        <f t="shared" si="207"/>
        <v>0.01</v>
      </c>
      <c r="AN117" s="176">
        <f t="shared" si="207"/>
        <v>0.01</v>
      </c>
      <c r="AO117" s="176">
        <f t="shared" si="207"/>
        <v>0.01</v>
      </c>
      <c r="AP117" s="176">
        <f t="shared" si="207"/>
        <v>0.01</v>
      </c>
      <c r="AQ117" s="176">
        <f t="shared" si="207"/>
        <v>0.01</v>
      </c>
      <c r="AR117" s="176">
        <f t="shared" si="207"/>
        <v>0.01</v>
      </c>
      <c r="AS117" s="176">
        <f t="shared" si="207"/>
        <v>0.01</v>
      </c>
      <c r="AT117" s="176">
        <f t="shared" si="207"/>
        <v>0.01</v>
      </c>
      <c r="AU117" s="176">
        <f t="shared" si="207"/>
        <v>0.01</v>
      </c>
      <c r="AV117" s="176">
        <f t="shared" si="207"/>
        <v>0.01</v>
      </c>
      <c r="AW117" s="176">
        <f t="shared" si="207"/>
        <v>0.01</v>
      </c>
      <c r="AX117" s="176">
        <f t="shared" si="207"/>
        <v>0.01</v>
      </c>
      <c r="AY117" s="176">
        <f t="shared" si="207"/>
        <v>0.01</v>
      </c>
      <c r="AZ117" s="176">
        <f t="shared" si="207"/>
        <v>0.01</v>
      </c>
      <c r="BA117" s="176">
        <f t="shared" si="207"/>
        <v>0.01</v>
      </c>
      <c r="BB117" s="176">
        <f t="shared" si="207"/>
        <v>0.01</v>
      </c>
      <c r="BC117" s="176">
        <f t="shared" si="207"/>
        <v>0.01</v>
      </c>
      <c r="BD117" s="176">
        <f t="shared" si="207"/>
        <v>0.01</v>
      </c>
      <c r="BE117" s="176">
        <f t="shared" si="207"/>
        <v>0.01</v>
      </c>
      <c r="BF117" s="176">
        <f t="shared" si="207"/>
        <v>0.01</v>
      </c>
      <c r="BG117" s="176">
        <f t="shared" si="207"/>
        <v>0.01</v>
      </c>
    </row>
    <row r="118" spans="1:158" s="90" customFormat="1" x14ac:dyDescent="0.2">
      <c r="B118" s="110"/>
      <c r="C118" s="90" t="s">
        <v>178</v>
      </c>
      <c r="I118" s="43"/>
      <c r="J118" s="175">
        <f>K118/(1+K117)</f>
        <v>1</v>
      </c>
      <c r="K118" s="175">
        <f>L118/(1+L117)</f>
        <v>1</v>
      </c>
      <c r="L118" s="175">
        <f>M118/(1+M117)</f>
        <v>1</v>
      </c>
      <c r="M118" s="175">
        <f>N118/(1+N117)</f>
        <v>1</v>
      </c>
      <c r="N118" s="175">
        <f>O118/(1+O117)</f>
        <v>1</v>
      </c>
      <c r="O118" s="119">
        <v>1</v>
      </c>
      <c r="P118" s="124">
        <f>O118*(1+P117)</f>
        <v>1</v>
      </c>
      <c r="Q118" s="124">
        <f>P118*(1+Q117)</f>
        <v>1</v>
      </c>
      <c r="R118" s="124">
        <f t="shared" ref="R118:BG118" si="208">Q118*(1+R117)</f>
        <v>1.01</v>
      </c>
      <c r="S118" s="124">
        <f t="shared" si="208"/>
        <v>1.0201</v>
      </c>
      <c r="T118" s="124">
        <f t="shared" si="208"/>
        <v>1.0303009999999999</v>
      </c>
      <c r="U118" s="124">
        <f t="shared" si="208"/>
        <v>1.04060401</v>
      </c>
      <c r="V118" s="124">
        <f t="shared" si="208"/>
        <v>1.0510100500999999</v>
      </c>
      <c r="W118" s="124">
        <f t="shared" si="208"/>
        <v>1.0615201506009999</v>
      </c>
      <c r="X118" s="124">
        <f t="shared" si="208"/>
        <v>1.0721353521070098</v>
      </c>
      <c r="Y118" s="124">
        <f t="shared" si="208"/>
        <v>1.08285670562808</v>
      </c>
      <c r="Z118" s="124">
        <f t="shared" si="208"/>
        <v>1.0936852726843609</v>
      </c>
      <c r="AA118" s="124">
        <f t="shared" si="208"/>
        <v>1.1046221254112045</v>
      </c>
      <c r="AB118" s="124">
        <f t="shared" si="208"/>
        <v>1.1156683466653166</v>
      </c>
      <c r="AC118" s="124">
        <f t="shared" si="208"/>
        <v>1.1268250301319698</v>
      </c>
      <c r="AD118" s="124">
        <f t="shared" si="208"/>
        <v>1.1380932804332895</v>
      </c>
      <c r="AE118" s="124">
        <f t="shared" si="208"/>
        <v>1.1494742132376223</v>
      </c>
      <c r="AF118" s="124">
        <f t="shared" si="208"/>
        <v>1.1609689553699987</v>
      </c>
      <c r="AG118" s="124">
        <f t="shared" si="208"/>
        <v>1.1725786449236986</v>
      </c>
      <c r="AH118" s="124">
        <f t="shared" si="208"/>
        <v>1.1843044313729356</v>
      </c>
      <c r="AI118" s="124">
        <f t="shared" si="208"/>
        <v>1.196147475686665</v>
      </c>
      <c r="AJ118" s="124">
        <f t="shared" si="208"/>
        <v>1.2081089504435316</v>
      </c>
      <c r="AK118" s="124">
        <f t="shared" si="208"/>
        <v>1.220190039947967</v>
      </c>
      <c r="AL118" s="124">
        <f t="shared" si="208"/>
        <v>1.2323919403474468</v>
      </c>
      <c r="AM118" s="124">
        <f t="shared" si="208"/>
        <v>1.2447158597509214</v>
      </c>
      <c r="AN118" s="124">
        <f t="shared" si="208"/>
        <v>1.2571630183484306</v>
      </c>
      <c r="AO118" s="124">
        <f t="shared" si="208"/>
        <v>1.269734648531915</v>
      </c>
      <c r="AP118" s="124">
        <f t="shared" si="208"/>
        <v>1.282431995017234</v>
      </c>
      <c r="AQ118" s="124">
        <f t="shared" si="208"/>
        <v>1.2952563149674063</v>
      </c>
      <c r="AR118" s="124">
        <f t="shared" si="208"/>
        <v>1.3082088781170804</v>
      </c>
      <c r="AS118" s="124">
        <f t="shared" si="208"/>
        <v>1.3212909668982513</v>
      </c>
      <c r="AT118" s="124">
        <f t="shared" si="208"/>
        <v>1.3345038765672339</v>
      </c>
      <c r="AU118" s="124">
        <f t="shared" si="208"/>
        <v>1.3478489153329063</v>
      </c>
      <c r="AV118" s="124">
        <f t="shared" si="208"/>
        <v>1.3613274044862353</v>
      </c>
      <c r="AW118" s="124">
        <f t="shared" si="208"/>
        <v>1.3749406785310978</v>
      </c>
      <c r="AX118" s="124">
        <f t="shared" si="208"/>
        <v>1.3886900853164088</v>
      </c>
      <c r="AY118" s="124">
        <f t="shared" si="208"/>
        <v>1.4025769861695729</v>
      </c>
      <c r="AZ118" s="124">
        <f t="shared" si="208"/>
        <v>1.4166027560312686</v>
      </c>
      <c r="BA118" s="124">
        <f t="shared" si="208"/>
        <v>1.4307687835915812</v>
      </c>
      <c r="BB118" s="124">
        <f t="shared" si="208"/>
        <v>1.4450764714274971</v>
      </c>
      <c r="BC118" s="124">
        <f t="shared" si="208"/>
        <v>1.4595272361417722</v>
      </c>
      <c r="BD118" s="124">
        <f t="shared" si="208"/>
        <v>1.4741225085031899</v>
      </c>
      <c r="BE118" s="124">
        <f t="shared" si="208"/>
        <v>1.4888637335882218</v>
      </c>
      <c r="BF118" s="124">
        <f t="shared" si="208"/>
        <v>1.5037523709241041</v>
      </c>
      <c r="BG118" s="124">
        <f t="shared" si="208"/>
        <v>1.5187898946333451</v>
      </c>
    </row>
    <row r="119" spans="1:158" s="90" customFormat="1" x14ac:dyDescent="0.2">
      <c r="B119" s="110" t="s">
        <v>153</v>
      </c>
      <c r="I119" s="111"/>
      <c r="J119" s="111"/>
      <c r="K119" s="111"/>
      <c r="L119" s="111"/>
      <c r="M119" s="111"/>
      <c r="N119" s="111"/>
      <c r="O119" s="111"/>
      <c r="P119" s="111"/>
      <c r="Q119" s="111"/>
      <c r="R119" s="111"/>
      <c r="S119" s="111"/>
      <c r="T119" s="111"/>
      <c r="U119" s="111"/>
      <c r="V119" s="111"/>
      <c r="W119" s="111"/>
      <c r="X119" s="111"/>
      <c r="Y119" s="111"/>
      <c r="Z119" s="111"/>
      <c r="AA119" s="111"/>
      <c r="AB119" s="111"/>
      <c r="AC119" s="111"/>
      <c r="AD119" s="111"/>
      <c r="AE119" s="111"/>
      <c r="AF119" s="111"/>
      <c r="AG119" s="111"/>
      <c r="AH119" s="111"/>
      <c r="AI119" s="111"/>
      <c r="AJ119" s="111"/>
      <c r="AK119" s="111"/>
      <c r="AL119" s="111"/>
      <c r="AM119" s="111"/>
      <c r="AN119" s="111"/>
      <c r="AO119" s="111"/>
      <c r="AP119" s="111"/>
      <c r="AQ119" s="111"/>
      <c r="AR119" s="111"/>
      <c r="AS119" s="111"/>
      <c r="AT119" s="111"/>
      <c r="AU119" s="111"/>
      <c r="AV119" s="111"/>
      <c r="AW119" s="111"/>
      <c r="AX119" s="111"/>
      <c r="AY119" s="111"/>
      <c r="AZ119" s="111"/>
      <c r="BA119" s="111"/>
      <c r="BB119" s="111"/>
      <c r="BC119" s="111"/>
      <c r="BD119" s="111"/>
      <c r="BE119" s="111"/>
      <c r="BF119" s="111"/>
      <c r="BG119" s="111"/>
    </row>
    <row r="120" spans="1:158" s="90" customFormat="1" x14ac:dyDescent="0.2">
      <c r="B120" s="110"/>
      <c r="C120" s="131" t="s">
        <v>183</v>
      </c>
      <c r="G120" s="90" t="s">
        <v>142</v>
      </c>
      <c r="I120"/>
      <c r="J120" s="129">
        <f t="array" ref="J120:BG120">recibo_promedio</f>
        <v>333.1840054180347</v>
      </c>
      <c r="K120" s="129">
        <v>320.12982208151402</v>
      </c>
      <c r="L120" s="129">
        <v>309.36935949353818</v>
      </c>
      <c r="M120" s="129">
        <v>296.68669161983917</v>
      </c>
      <c r="N120" s="129">
        <v>294.66817094530796</v>
      </c>
      <c r="O120" s="129">
        <v>244.34461074129021</v>
      </c>
      <c r="P120" s="129">
        <v>232.64169902601415</v>
      </c>
      <c r="Q120" s="129">
        <v>223.72777943766383</v>
      </c>
      <c r="R120" s="177">
        <v>217.29849963549313</v>
      </c>
      <c r="S120" s="177">
        <v>213.13548552295572</v>
      </c>
      <c r="T120" s="177">
        <v>211.09385606945523</v>
      </c>
      <c r="U120" s="177">
        <v>211.09385606945523</v>
      </c>
      <c r="V120" s="177">
        <v>211.09385606945523</v>
      </c>
      <c r="W120" s="177">
        <v>211.09385606945523</v>
      </c>
      <c r="X120" s="177">
        <v>211.09385606945523</v>
      </c>
      <c r="Y120" s="177">
        <v>211.09385606945523</v>
      </c>
      <c r="Z120" s="177">
        <v>211.09385606945523</v>
      </c>
      <c r="AA120" s="177">
        <v>211.09385606945523</v>
      </c>
      <c r="AB120" s="177">
        <v>211.09385606945526</v>
      </c>
      <c r="AC120" s="177">
        <v>211.09385606945523</v>
      </c>
      <c r="AD120" s="177">
        <v>211.09385606945523</v>
      </c>
      <c r="AE120" s="177">
        <v>211.09385606945523</v>
      </c>
      <c r="AF120" s="177">
        <v>211.09385606945523</v>
      </c>
      <c r="AG120" s="177">
        <v>211.09385606945523</v>
      </c>
      <c r="AH120" s="177">
        <v>211.09385606945523</v>
      </c>
      <c r="AI120" s="177">
        <v>211.09385606945523</v>
      </c>
      <c r="AJ120" s="177">
        <v>211.09385606945523</v>
      </c>
      <c r="AK120" s="177">
        <v>211.09385606945523</v>
      </c>
      <c r="AL120" s="177">
        <v>211.09385606945523</v>
      </c>
      <c r="AM120" s="177">
        <v>211.09385606945523</v>
      </c>
      <c r="AN120" s="177">
        <v>211.09385606945523</v>
      </c>
      <c r="AO120" s="177">
        <v>211.09385606945523</v>
      </c>
      <c r="AP120" s="177">
        <v>211.09385606945523</v>
      </c>
      <c r="AQ120" s="177">
        <v>211.09385606945523</v>
      </c>
      <c r="AR120" s="177">
        <v>211.09385606945523</v>
      </c>
      <c r="AS120" s="177">
        <v>211.09385606945523</v>
      </c>
      <c r="AT120" s="177">
        <v>211.09385606945523</v>
      </c>
      <c r="AU120" s="177">
        <v>211.09385606945523</v>
      </c>
      <c r="AV120" s="177">
        <v>211.09385606945523</v>
      </c>
      <c r="AW120" s="177">
        <v>211.09385606945523</v>
      </c>
      <c r="AX120" s="177">
        <v>211.09385606945523</v>
      </c>
      <c r="AY120" s="177">
        <v>211.09385606945523</v>
      </c>
      <c r="AZ120" s="177">
        <v>211.09385606945523</v>
      </c>
      <c r="BA120" s="177">
        <v>211.09385606945523</v>
      </c>
      <c r="BB120" s="177">
        <v>211.09385606945523</v>
      </c>
      <c r="BC120" s="177">
        <v>211.09385606945523</v>
      </c>
      <c r="BD120" s="177">
        <v>211.09385606945523</v>
      </c>
      <c r="BE120" s="177">
        <v>211.09385606945523</v>
      </c>
      <c r="BF120" s="177">
        <v>211.09385606945523</v>
      </c>
      <c r="BG120" s="177">
        <v>211.09385606945523</v>
      </c>
    </row>
    <row r="122" spans="1:158" x14ac:dyDescent="0.2">
      <c r="C122" s="131" t="s">
        <v>269</v>
      </c>
    </row>
    <row r="123" spans="1:158" s="90" customFormat="1" x14ac:dyDescent="0.2">
      <c r="B123" s="110"/>
      <c r="C123" s="157" t="s">
        <v>270</v>
      </c>
      <c r="G123" s="90" t="s">
        <v>143</v>
      </c>
      <c r="I123"/>
      <c r="J123" s="159">
        <f t="shared" ref="J123:AO123" si="209">comision_media</f>
        <v>1.4523824070158727E-2</v>
      </c>
      <c r="K123" s="159">
        <f t="shared" si="209"/>
        <v>1.4523824070158727E-2</v>
      </c>
      <c r="L123" s="159">
        <f t="shared" si="209"/>
        <v>1.4523824070158727E-2</v>
      </c>
      <c r="M123" s="159">
        <f t="shared" si="209"/>
        <v>1.4523824070158727E-2</v>
      </c>
      <c r="N123" s="159">
        <f t="shared" si="209"/>
        <v>1.4523824070158727E-2</v>
      </c>
      <c r="O123" s="159">
        <f t="shared" si="209"/>
        <v>1.4523824070158727E-2</v>
      </c>
      <c r="P123" s="159">
        <f t="shared" si="209"/>
        <v>1.4523824070158727E-2</v>
      </c>
      <c r="Q123" s="159">
        <f t="shared" si="209"/>
        <v>1.4523824070158727E-2</v>
      </c>
      <c r="R123" s="159">
        <f t="shared" si="209"/>
        <v>1.4523824070158727E-2</v>
      </c>
      <c r="S123" s="159">
        <f t="shared" si="209"/>
        <v>1.4523824070158727E-2</v>
      </c>
      <c r="T123" s="159">
        <f t="shared" si="209"/>
        <v>1.4523824070158727E-2</v>
      </c>
      <c r="U123" s="159">
        <f t="shared" si="209"/>
        <v>1.4523824070158727E-2</v>
      </c>
      <c r="V123" s="159">
        <f t="shared" si="209"/>
        <v>1.4523824070158727E-2</v>
      </c>
      <c r="W123" s="159">
        <f t="shared" si="209"/>
        <v>1.4523824070158727E-2</v>
      </c>
      <c r="X123" s="159">
        <f t="shared" si="209"/>
        <v>1.4523824070158727E-2</v>
      </c>
      <c r="Y123" s="159">
        <f t="shared" si="209"/>
        <v>1.4523824070158727E-2</v>
      </c>
      <c r="Z123" s="159">
        <f t="shared" si="209"/>
        <v>1.4523824070158727E-2</v>
      </c>
      <c r="AA123" s="159">
        <f t="shared" si="209"/>
        <v>1.4523824070158727E-2</v>
      </c>
      <c r="AB123" s="159">
        <f t="shared" si="209"/>
        <v>1.4523824070158727E-2</v>
      </c>
      <c r="AC123" s="159">
        <f t="shared" si="209"/>
        <v>1.4523824070158727E-2</v>
      </c>
      <c r="AD123" s="159">
        <f t="shared" si="209"/>
        <v>1.4523824070158727E-2</v>
      </c>
      <c r="AE123" s="159">
        <f t="shared" si="209"/>
        <v>1.4523824070158727E-2</v>
      </c>
      <c r="AF123" s="159">
        <f t="shared" si="209"/>
        <v>1.4523824070158727E-2</v>
      </c>
      <c r="AG123" s="159">
        <f t="shared" si="209"/>
        <v>1.4523824070158727E-2</v>
      </c>
      <c r="AH123" s="159">
        <f t="shared" si="209"/>
        <v>1.4523824070158727E-2</v>
      </c>
      <c r="AI123" s="159">
        <f t="shared" si="209"/>
        <v>1.4523824070158727E-2</v>
      </c>
      <c r="AJ123" s="159">
        <f t="shared" si="209"/>
        <v>1.4523824070158727E-2</v>
      </c>
      <c r="AK123" s="159">
        <f t="shared" si="209"/>
        <v>1.4523824070158727E-2</v>
      </c>
      <c r="AL123" s="159">
        <f t="shared" si="209"/>
        <v>1.4523824070158727E-2</v>
      </c>
      <c r="AM123" s="159">
        <f t="shared" si="209"/>
        <v>1.4523824070158727E-2</v>
      </c>
      <c r="AN123" s="159">
        <f t="shared" si="209"/>
        <v>1.4523824070158727E-2</v>
      </c>
      <c r="AO123" s="159">
        <f t="shared" si="209"/>
        <v>1.4523824070158727E-2</v>
      </c>
      <c r="AP123" s="159">
        <f t="shared" ref="AP123:BG123" si="210">comision_media</f>
        <v>1.4523824070158727E-2</v>
      </c>
      <c r="AQ123" s="159">
        <f t="shared" si="210"/>
        <v>1.4523824070158727E-2</v>
      </c>
      <c r="AR123" s="159">
        <f t="shared" si="210"/>
        <v>1.4523824070158727E-2</v>
      </c>
      <c r="AS123" s="159">
        <f t="shared" si="210"/>
        <v>1.4523824070158727E-2</v>
      </c>
      <c r="AT123" s="159">
        <f t="shared" si="210"/>
        <v>1.4523824070158727E-2</v>
      </c>
      <c r="AU123" s="159">
        <f t="shared" si="210"/>
        <v>1.4523824070158727E-2</v>
      </c>
      <c r="AV123" s="159">
        <f t="shared" si="210"/>
        <v>1.4523824070158727E-2</v>
      </c>
      <c r="AW123" s="159">
        <f t="shared" si="210"/>
        <v>1.4523824070158727E-2</v>
      </c>
      <c r="AX123" s="159">
        <f t="shared" si="210"/>
        <v>1.4523824070158727E-2</v>
      </c>
      <c r="AY123" s="159">
        <f t="shared" si="210"/>
        <v>1.4523824070158727E-2</v>
      </c>
      <c r="AZ123" s="159">
        <f t="shared" si="210"/>
        <v>1.4523824070158727E-2</v>
      </c>
      <c r="BA123" s="159">
        <f t="shared" si="210"/>
        <v>1.4523824070158727E-2</v>
      </c>
      <c r="BB123" s="159">
        <f t="shared" si="210"/>
        <v>1.4523824070158727E-2</v>
      </c>
      <c r="BC123" s="159">
        <f t="shared" si="210"/>
        <v>1.4523824070158727E-2</v>
      </c>
      <c r="BD123" s="159">
        <f t="shared" si="210"/>
        <v>1.4523824070158727E-2</v>
      </c>
      <c r="BE123" s="159">
        <f t="shared" si="210"/>
        <v>1.4523824070158727E-2</v>
      </c>
      <c r="BF123" s="159">
        <f t="shared" si="210"/>
        <v>1.4523824070158727E-2</v>
      </c>
      <c r="BG123" s="159">
        <f t="shared" si="210"/>
        <v>1.4523824070158727E-2</v>
      </c>
    </row>
    <row r="124" spans="1:158" s="90" customFormat="1" x14ac:dyDescent="0.2">
      <c r="B124" s="110"/>
      <c r="C124" s="157" t="s">
        <v>197</v>
      </c>
      <c r="G124" s="90" t="s">
        <v>142</v>
      </c>
      <c r="I124"/>
      <c r="J124" s="124">
        <f>J120*J123</f>
        <v>4.8391058776823481</v>
      </c>
      <c r="K124" s="124">
        <f t="shared" ref="K124:Q124" si="211">K120*K123</f>
        <v>4.6495092155231239</v>
      </c>
      <c r="L124" s="124">
        <f t="shared" si="211"/>
        <v>4.4932261499818384</v>
      </c>
      <c r="M124" s="124">
        <f t="shared" si="211"/>
        <v>4.3090253130439793</v>
      </c>
      <c r="N124" s="124">
        <f t="shared" si="211"/>
        <v>4.2797086738851107</v>
      </c>
      <c r="O124" s="124">
        <f t="shared" si="211"/>
        <v>3.5488181388979156</v>
      </c>
      <c r="P124" s="124">
        <f t="shared" si="211"/>
        <v>3.3788471080366467</v>
      </c>
      <c r="Q124" s="124">
        <f t="shared" si="211"/>
        <v>3.2493829081599048</v>
      </c>
      <c r="R124" s="124">
        <f t="shared" ref="R124:BG124" si="212">R120*R123</f>
        <v>3.1560051794153527</v>
      </c>
      <c r="S124" s="124">
        <f t="shared" si="212"/>
        <v>3.0955422948432711</v>
      </c>
      <c r="T124" s="124">
        <f t="shared" si="212"/>
        <v>3.0658900278441759</v>
      </c>
      <c r="U124" s="124">
        <f t="shared" si="212"/>
        <v>3.0658900278441759</v>
      </c>
      <c r="V124" s="124">
        <f t="shared" si="212"/>
        <v>3.0658900278441759</v>
      </c>
      <c r="W124" s="124">
        <f t="shared" si="212"/>
        <v>3.0658900278441759</v>
      </c>
      <c r="X124" s="124">
        <f t="shared" si="212"/>
        <v>3.0658900278441759</v>
      </c>
      <c r="Y124" s="124">
        <f t="shared" si="212"/>
        <v>3.0658900278441759</v>
      </c>
      <c r="Z124" s="124">
        <f t="shared" si="212"/>
        <v>3.0658900278441759</v>
      </c>
      <c r="AA124" s="124">
        <f t="shared" si="212"/>
        <v>3.0658900278441759</v>
      </c>
      <c r="AB124" s="124">
        <f t="shared" si="212"/>
        <v>3.0658900278441763</v>
      </c>
      <c r="AC124" s="124">
        <f t="shared" si="212"/>
        <v>3.0658900278441759</v>
      </c>
      <c r="AD124" s="124">
        <f t="shared" si="212"/>
        <v>3.0658900278441759</v>
      </c>
      <c r="AE124" s="124">
        <f t="shared" si="212"/>
        <v>3.0658900278441759</v>
      </c>
      <c r="AF124" s="124">
        <f t="shared" si="212"/>
        <v>3.0658900278441759</v>
      </c>
      <c r="AG124" s="124">
        <f t="shared" si="212"/>
        <v>3.0658900278441759</v>
      </c>
      <c r="AH124" s="124">
        <f t="shared" si="212"/>
        <v>3.0658900278441759</v>
      </c>
      <c r="AI124" s="124">
        <f t="shared" si="212"/>
        <v>3.0658900278441759</v>
      </c>
      <c r="AJ124" s="124">
        <f t="shared" si="212"/>
        <v>3.0658900278441759</v>
      </c>
      <c r="AK124" s="124">
        <f t="shared" si="212"/>
        <v>3.0658900278441759</v>
      </c>
      <c r="AL124" s="124">
        <f t="shared" si="212"/>
        <v>3.0658900278441759</v>
      </c>
      <c r="AM124" s="124">
        <f t="shared" si="212"/>
        <v>3.0658900278441759</v>
      </c>
      <c r="AN124" s="124">
        <f t="shared" si="212"/>
        <v>3.0658900278441759</v>
      </c>
      <c r="AO124" s="124">
        <f t="shared" si="212"/>
        <v>3.0658900278441759</v>
      </c>
      <c r="AP124" s="124">
        <f t="shared" si="212"/>
        <v>3.0658900278441759</v>
      </c>
      <c r="AQ124" s="124">
        <f t="shared" si="212"/>
        <v>3.0658900278441759</v>
      </c>
      <c r="AR124" s="124">
        <f t="shared" si="212"/>
        <v>3.0658900278441759</v>
      </c>
      <c r="AS124" s="124">
        <f t="shared" si="212"/>
        <v>3.0658900278441759</v>
      </c>
      <c r="AT124" s="124">
        <f t="shared" si="212"/>
        <v>3.0658900278441759</v>
      </c>
      <c r="AU124" s="124">
        <f t="shared" si="212"/>
        <v>3.0658900278441759</v>
      </c>
      <c r="AV124" s="124">
        <f t="shared" si="212"/>
        <v>3.0658900278441759</v>
      </c>
      <c r="AW124" s="124">
        <f t="shared" si="212"/>
        <v>3.0658900278441759</v>
      </c>
      <c r="AX124" s="124">
        <f t="shared" si="212"/>
        <v>3.0658900278441759</v>
      </c>
      <c r="AY124" s="124">
        <f t="shared" si="212"/>
        <v>3.0658900278441759</v>
      </c>
      <c r="AZ124" s="124">
        <f t="shared" si="212"/>
        <v>3.0658900278441759</v>
      </c>
      <c r="BA124" s="124">
        <f t="shared" si="212"/>
        <v>3.0658900278441759</v>
      </c>
      <c r="BB124" s="124">
        <f t="shared" si="212"/>
        <v>3.0658900278441759</v>
      </c>
      <c r="BC124" s="124">
        <f t="shared" si="212"/>
        <v>3.0658900278441759</v>
      </c>
      <c r="BD124" s="124">
        <f t="shared" si="212"/>
        <v>3.0658900278441759</v>
      </c>
      <c r="BE124" s="124">
        <f t="shared" si="212"/>
        <v>3.0658900278441759</v>
      </c>
      <c r="BF124" s="124">
        <f t="shared" si="212"/>
        <v>3.0658900278441759</v>
      </c>
      <c r="BG124" s="124">
        <f t="shared" si="212"/>
        <v>3.0658900278441759</v>
      </c>
    </row>
    <row r="125" spans="1:158" ht="12.75" x14ac:dyDescent="0.2">
      <c r="B125" s="101"/>
    </row>
    <row r="126" spans="1:158" ht="18" x14ac:dyDescent="0.25">
      <c r="A126" s="86">
        <v>4</v>
      </c>
      <c r="B126" s="87" t="s">
        <v>185</v>
      </c>
      <c r="C126" s="88"/>
      <c r="D126" s="88"/>
      <c r="E126" s="88"/>
      <c r="F126" s="91"/>
      <c r="G126" s="91"/>
      <c r="H126" s="88"/>
      <c r="I126" s="88"/>
      <c r="J126" s="88"/>
      <c r="K126" s="88"/>
      <c r="L126" s="88"/>
      <c r="M126" s="88"/>
      <c r="N126" s="88"/>
      <c r="O126" s="88"/>
      <c r="P126" s="88"/>
      <c r="Q126" s="88"/>
      <c r="R126" s="88"/>
      <c r="S126" s="88"/>
      <c r="T126" s="88"/>
      <c r="U126" s="88"/>
      <c r="V126" s="88"/>
      <c r="W126" s="88"/>
      <c r="X126" s="88"/>
      <c r="Y126" s="88"/>
      <c r="Z126" s="88"/>
      <c r="AA126" s="88"/>
      <c r="AB126" s="88"/>
      <c r="AC126" s="88"/>
      <c r="AD126" s="88"/>
      <c r="AE126" s="88"/>
      <c r="AF126" s="88"/>
      <c r="AG126" s="88"/>
      <c r="AH126" s="88"/>
      <c r="AI126" s="88"/>
      <c r="AJ126" s="88"/>
      <c r="AK126" s="88"/>
      <c r="AL126" s="88"/>
      <c r="AM126" s="88"/>
      <c r="AN126" s="88"/>
      <c r="AO126" s="88"/>
      <c r="AP126" s="88"/>
      <c r="AQ126" s="88"/>
      <c r="AR126" s="88"/>
      <c r="AS126" s="88"/>
      <c r="AT126" s="88"/>
      <c r="AU126" s="88"/>
      <c r="AV126" s="88"/>
      <c r="AW126" s="88"/>
      <c r="AX126" s="88"/>
      <c r="AY126" s="88"/>
      <c r="AZ126" s="88"/>
      <c r="BA126" s="88"/>
      <c r="BB126" s="88"/>
      <c r="BC126" s="88"/>
      <c r="BD126" s="88"/>
      <c r="BE126" s="88"/>
      <c r="BF126" s="88"/>
      <c r="BG126" s="88"/>
      <c r="BH126" s="88"/>
      <c r="BI126" s="88"/>
      <c r="BJ126" s="88"/>
      <c r="BK126" s="88"/>
      <c r="BL126" s="88"/>
      <c r="BM126" s="88"/>
      <c r="BN126" s="88"/>
      <c r="BO126" s="88"/>
      <c r="BP126" s="88"/>
      <c r="BQ126" s="88"/>
      <c r="BR126" s="88"/>
      <c r="BS126" s="88"/>
      <c r="BT126" s="88"/>
      <c r="BU126" s="88"/>
      <c r="BV126" s="88"/>
      <c r="BW126" s="88"/>
      <c r="BX126" s="88"/>
      <c r="BY126" s="88"/>
      <c r="BZ126" s="88"/>
      <c r="CA126" s="88"/>
      <c r="CB126" s="88"/>
      <c r="CC126" s="88"/>
      <c r="CD126" s="88"/>
      <c r="CE126" s="88"/>
      <c r="CF126" s="88"/>
      <c r="CG126" s="88"/>
      <c r="CH126" s="88"/>
      <c r="CI126" s="88"/>
      <c r="CJ126" s="88"/>
      <c r="CK126" s="88"/>
      <c r="CL126" s="88"/>
      <c r="CM126" s="88"/>
      <c r="CN126" s="88"/>
      <c r="CO126" s="88"/>
      <c r="CP126" s="88"/>
      <c r="CQ126" s="88"/>
      <c r="CR126" s="88"/>
      <c r="CS126" s="88"/>
      <c r="CT126" s="88"/>
      <c r="CU126" s="88"/>
      <c r="CV126" s="88"/>
      <c r="CW126" s="88"/>
      <c r="CX126" s="88"/>
      <c r="CY126" s="88"/>
      <c r="CZ126" s="88"/>
      <c r="DA126" s="88"/>
      <c r="DB126" s="88"/>
      <c r="DC126" s="88"/>
      <c r="DE126" s="88"/>
      <c r="DF126" s="88"/>
      <c r="DG126" s="88"/>
      <c r="DH126" s="88"/>
      <c r="DI126" s="88"/>
      <c r="DJ126" s="88"/>
      <c r="DK126" s="88"/>
      <c r="DL126" s="88"/>
      <c r="DM126" s="88"/>
      <c r="DN126" s="88"/>
      <c r="DO126" s="88"/>
      <c r="DP126" s="88"/>
      <c r="DQ126" s="88"/>
      <c r="DR126" s="88"/>
      <c r="DS126" s="88"/>
      <c r="DT126" s="88"/>
      <c r="DU126" s="88"/>
      <c r="DV126" s="88"/>
      <c r="DW126" s="88"/>
      <c r="DX126" s="88"/>
      <c r="DY126" s="88"/>
      <c r="DZ126" s="88"/>
      <c r="EA126" s="88"/>
      <c r="EB126" s="88"/>
      <c r="EC126" s="88"/>
      <c r="ED126" s="88"/>
      <c r="EE126" s="88"/>
      <c r="EF126" s="88"/>
      <c r="EG126" s="88"/>
      <c r="EH126" s="88"/>
      <c r="EI126" s="88"/>
      <c r="EJ126" s="88"/>
      <c r="EK126" s="88"/>
      <c r="EL126" s="88"/>
      <c r="EM126" s="88"/>
      <c r="EN126" s="88"/>
      <c r="EO126" s="88"/>
      <c r="EP126" s="88"/>
      <c r="EQ126" s="88"/>
      <c r="ER126" s="88"/>
      <c r="ES126" s="88"/>
      <c r="ET126" s="88"/>
      <c r="EU126" s="88"/>
      <c r="EV126" s="88"/>
      <c r="EW126" s="88"/>
      <c r="EX126" s="88"/>
      <c r="EY126" s="88"/>
      <c r="EZ126" s="88"/>
      <c r="FA126" s="88"/>
      <c r="FB126" s="88"/>
    </row>
    <row r="127" spans="1:158" s="90" customFormat="1" ht="12" customHeight="1" x14ac:dyDescent="0.2">
      <c r="A127" s="89"/>
      <c r="B127" s="95"/>
    </row>
    <row r="128" spans="1:158" s="90" customFormat="1" ht="12.75" x14ac:dyDescent="0.2">
      <c r="A128" s="43"/>
      <c r="B128" s="93" t="s">
        <v>180</v>
      </c>
      <c r="C128" s="43"/>
      <c r="D128" s="43"/>
      <c r="E128" s="43"/>
      <c r="F128" s="43"/>
      <c r="G128" s="92" t="s">
        <v>142</v>
      </c>
      <c r="H128" s="43"/>
      <c r="J128" s="124">
        <f ca="1">SUM(J53:J58,J101:J106) + (J113*ROUNDUP(folios_por_recibo/2,0)) + J114 +  (J115*folios_por_recibo) + J107</f>
        <v>3.1329007966586442</v>
      </c>
      <c r="K128" s="124">
        <f t="shared" ref="K128:AP128" ca="1" si="213">SUM(J53:J58,J101:J106) + (J113*ROUNDUP(folios_por_recibo/2,0)) + J114 +  (J115*folios_por_recibo) + J107</f>
        <v>3.1329007966586442</v>
      </c>
      <c r="L128" s="124">
        <f t="shared" ca="1" si="213"/>
        <v>3.1382591506298465</v>
      </c>
      <c r="M128" s="124">
        <f t="shared" ca="1" si="213"/>
        <v>3.1434581202219047</v>
      </c>
      <c r="N128" s="124">
        <f t="shared" ca="1" si="213"/>
        <v>3.1494460065081191</v>
      </c>
      <c r="O128" s="124">
        <f t="shared" ca="1" si="213"/>
        <v>3.1558441097617331</v>
      </c>
      <c r="P128" s="124">
        <f t="shared" ca="1" si="213"/>
        <v>3.1568116222792613</v>
      </c>
      <c r="Q128" s="124">
        <f t="shared" ca="1" si="213"/>
        <v>3.1599536597378362</v>
      </c>
      <c r="R128" s="124">
        <f t="shared" ca="1" si="213"/>
        <v>3.1692082047796726</v>
      </c>
      <c r="S128" s="124">
        <f t="shared" ca="1" si="213"/>
        <v>3.2024155149102072</v>
      </c>
      <c r="T128" s="124">
        <f t="shared" ca="1" si="213"/>
        <v>3.2378604410276846</v>
      </c>
      <c r="U128" s="124">
        <f t="shared" ca="1" si="213"/>
        <v>3.2721479790427646</v>
      </c>
      <c r="V128" s="124">
        <f t="shared" ca="1" si="213"/>
        <v>3.3056748640626101</v>
      </c>
      <c r="W128" s="124">
        <f t="shared" ca="1" si="213"/>
        <v>3.3397278703794964</v>
      </c>
      <c r="X128" s="124">
        <f t="shared" ca="1" si="213"/>
        <v>3.3743146509739983</v>
      </c>
      <c r="Y128" s="124">
        <f t="shared" ca="1" si="213"/>
        <v>3.4094430737856434</v>
      </c>
      <c r="Z128" s="124">
        <f t="shared" ca="1" si="213"/>
        <v>3.4451212266818492</v>
      </c>
      <c r="AA128" s="124">
        <f t="shared" ca="1" si="213"/>
        <v>3.481357422587807</v>
      </c>
      <c r="AB128" s="124">
        <f t="shared" ca="1" si="213"/>
        <v>3.518160204781716</v>
      </c>
      <c r="AC128" s="124">
        <f t="shared" ca="1" si="213"/>
        <v>3.5555383523599291</v>
      </c>
      <c r="AD128" s="124">
        <f t="shared" ca="1" si="213"/>
        <v>3.5935008858766944</v>
      </c>
      <c r="AE128" s="124">
        <f t="shared" ca="1" si="213"/>
        <v>3.632057073163343</v>
      </c>
      <c r="AF128" s="124">
        <f t="shared" ca="1" si="213"/>
        <v>3.6712164353319152</v>
      </c>
      <c r="AG128" s="124">
        <f t="shared" ca="1" si="213"/>
        <v>3.7109887529683805</v>
      </c>
      <c r="AH128" s="124">
        <f t="shared" ca="1" si="213"/>
        <v>3.7513840725207399</v>
      </c>
      <c r="AI128" s="124">
        <f t="shared" ca="1" si="213"/>
        <v>3.792412712887518</v>
      </c>
      <c r="AJ128" s="124">
        <f t="shared" ca="1" si="213"/>
        <v>3.8340852722122616</v>
      </c>
      <c r="AK128" s="124">
        <f t="shared" ca="1" si="213"/>
        <v>3.8764126348898786</v>
      </c>
      <c r="AL128" s="124">
        <f t="shared" ca="1" si="213"/>
        <v>3.9194059787908109</v>
      </c>
      <c r="AM128" s="124">
        <f t="shared" ca="1" si="213"/>
        <v>3.9630767827092312</v>
      </c>
      <c r="AN128" s="124">
        <f t="shared" ca="1" si="213"/>
        <v>4.0074368340416289</v>
      </c>
      <c r="AO128" s="124">
        <f t="shared" ca="1" si="213"/>
        <v>4.0524982367023714</v>
      </c>
      <c r="AP128" s="124">
        <f t="shared" ca="1" si="213"/>
        <v>4.0982734192829948</v>
      </c>
      <c r="AQ128" s="124">
        <f t="shared" ref="AQ128:BG128" ca="1" si="214">SUM(AP53:AP58,AP101:AP106) + (AP113*ROUNDUP(folios_por_recibo/2,0)) + AP114 +  (AP115*folios_por_recibo) + AP107</f>
        <v>4.1447751434622244</v>
      </c>
      <c r="AR128" s="124">
        <f t="shared" ca="1" si="214"/>
        <v>4.1920165126738986</v>
      </c>
      <c r="AS128" s="124">
        <f t="shared" ca="1" si="214"/>
        <v>4.2400109810402444</v>
      </c>
      <c r="AT128" s="124">
        <f t="shared" ca="1" si="214"/>
        <v>4.2887723625780998</v>
      </c>
      <c r="AU128" s="124">
        <f t="shared" ca="1" si="214"/>
        <v>4.3383148406859995</v>
      </c>
      <c r="AV128" s="124">
        <f t="shared" ca="1" si="214"/>
        <v>4.3886529779202279</v>
      </c>
      <c r="AW128" s="124">
        <f t="shared" ca="1" si="214"/>
        <v>4.4398017260681915</v>
      </c>
      <c r="AX128" s="124">
        <f t="shared" ca="1" si="214"/>
        <v>4.4917764365277382</v>
      </c>
      <c r="AY128" s="124">
        <f t="shared" ca="1" si="214"/>
        <v>4.5445928710013046</v>
      </c>
      <c r="AZ128" s="124">
        <f t="shared" ca="1" si="214"/>
        <v>4.5982672125140445</v>
      </c>
      <c r="BA128" s="124">
        <f t="shared" ca="1" si="214"/>
        <v>4.652816076765359</v>
      </c>
      <c r="BB128" s="124">
        <f t="shared" ca="1" si="214"/>
        <v>4.7082565238235512</v>
      </c>
      <c r="BC128" s="124">
        <f t="shared" ca="1" si="214"/>
        <v>4.7646060701736088</v>
      </c>
      <c r="BD128" s="124">
        <f t="shared" ca="1" si="214"/>
        <v>4.8218827011284366</v>
      </c>
      <c r="BE128" s="124">
        <f t="shared" ca="1" si="214"/>
        <v>4.8801048836141634</v>
      </c>
      <c r="BF128" s="124">
        <f t="shared" ca="1" si="214"/>
        <v>4.9392915793404617</v>
      </c>
      <c r="BG128" s="124">
        <f t="shared" ca="1" si="214"/>
        <v>4.9994622583671813</v>
      </c>
    </row>
    <row r="129" spans="1:60" s="90" customFormat="1" x14ac:dyDescent="0.2">
      <c r="A129" s="43"/>
      <c r="D129" s="43"/>
      <c r="E129" s="43"/>
      <c r="F129" s="43"/>
      <c r="G129" s="43"/>
      <c r="H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row>
    <row r="130" spans="1:60" ht="12.75" x14ac:dyDescent="0.2">
      <c r="B130" s="93" t="s">
        <v>182</v>
      </c>
      <c r="G130" t="s">
        <v>142</v>
      </c>
      <c r="I130" s="90"/>
      <c r="J130" s="124">
        <f t="shared" ref="J130:Q130" si="215">J116</f>
        <v>2.23</v>
      </c>
      <c r="K130" s="124">
        <f t="shared" si="215"/>
        <v>2.23</v>
      </c>
      <c r="L130" s="124">
        <f t="shared" si="215"/>
        <v>2.23</v>
      </c>
      <c r="M130" s="124">
        <f t="shared" si="215"/>
        <v>2.23</v>
      </c>
      <c r="N130" s="124">
        <f t="shared" si="215"/>
        <v>2.23</v>
      </c>
      <c r="O130" s="124">
        <f t="shared" si="215"/>
        <v>2.23</v>
      </c>
      <c r="P130" s="124">
        <f t="shared" si="215"/>
        <v>2.23</v>
      </c>
      <c r="Q130" s="124">
        <f t="shared" si="215"/>
        <v>2.23</v>
      </c>
      <c r="R130" s="124">
        <f t="shared" ref="R130:BG130" si="216">R116</f>
        <v>2.2523</v>
      </c>
      <c r="S130" s="124">
        <f t="shared" si="216"/>
        <v>2.274823</v>
      </c>
      <c r="T130" s="124">
        <f t="shared" si="216"/>
        <v>2.29757123</v>
      </c>
      <c r="U130" s="124">
        <f t="shared" si="216"/>
        <v>2.3205469423</v>
      </c>
      <c r="V130" s="124">
        <f t="shared" si="216"/>
        <v>2.343752411723</v>
      </c>
      <c r="W130" s="124">
        <f t="shared" si="216"/>
        <v>2.36718993584023</v>
      </c>
      <c r="X130" s="124">
        <f t="shared" si="216"/>
        <v>2.3908618351986317</v>
      </c>
      <c r="Y130" s="124">
        <f t="shared" si="216"/>
        <v>2.4147704535506183</v>
      </c>
      <c r="Z130" s="124">
        <f t="shared" si="216"/>
        <v>2.4389181580861248</v>
      </c>
      <c r="AA130" s="124">
        <f t="shared" si="216"/>
        <v>2.463307339666986</v>
      </c>
      <c r="AB130" s="124">
        <f t="shared" si="216"/>
        <v>2.4879404130636558</v>
      </c>
      <c r="AC130" s="124">
        <f t="shared" si="216"/>
        <v>2.5128198171942926</v>
      </c>
      <c r="AD130" s="124">
        <f t="shared" si="216"/>
        <v>2.5379480153662355</v>
      </c>
      <c r="AE130" s="124">
        <f t="shared" si="216"/>
        <v>2.5633274955198977</v>
      </c>
      <c r="AF130" s="124">
        <f t="shared" si="216"/>
        <v>2.5889607704750972</v>
      </c>
      <c r="AG130" s="124">
        <f t="shared" si="216"/>
        <v>2.614850378179848</v>
      </c>
      <c r="AH130" s="124">
        <f t="shared" si="216"/>
        <v>2.6409988819616466</v>
      </c>
      <c r="AI130" s="124">
        <f t="shared" si="216"/>
        <v>2.6674088707812631</v>
      </c>
      <c r="AJ130" s="124">
        <f t="shared" si="216"/>
        <v>2.6940829594890756</v>
      </c>
      <c r="AK130" s="124">
        <f t="shared" si="216"/>
        <v>2.7210237890839664</v>
      </c>
      <c r="AL130" s="124">
        <f t="shared" si="216"/>
        <v>2.7482340269748065</v>
      </c>
      <c r="AM130" s="124">
        <f t="shared" si="216"/>
        <v>2.7757163672445544</v>
      </c>
      <c r="AN130" s="124">
        <f t="shared" si="216"/>
        <v>2.803473530917</v>
      </c>
      <c r="AO130" s="124">
        <f t="shared" si="216"/>
        <v>2.8315082662261704</v>
      </c>
      <c r="AP130" s="124">
        <f t="shared" si="216"/>
        <v>2.8598233488884319</v>
      </c>
      <c r="AQ130" s="124">
        <f t="shared" si="216"/>
        <v>2.8884215823773163</v>
      </c>
      <c r="AR130" s="124">
        <f t="shared" si="216"/>
        <v>2.9173057982010895</v>
      </c>
      <c r="AS130" s="124">
        <f t="shared" si="216"/>
        <v>2.9464788561831003</v>
      </c>
      <c r="AT130" s="124">
        <f t="shared" si="216"/>
        <v>2.9759436447449317</v>
      </c>
      <c r="AU130" s="124">
        <f t="shared" si="216"/>
        <v>3.0057030811923808</v>
      </c>
      <c r="AV130" s="124">
        <f t="shared" si="216"/>
        <v>3.0357601120043047</v>
      </c>
      <c r="AW130" s="124">
        <f t="shared" si="216"/>
        <v>3.0661177131243482</v>
      </c>
      <c r="AX130" s="124">
        <f t="shared" si="216"/>
        <v>3.0967788902555915</v>
      </c>
      <c r="AY130" s="124">
        <f t="shared" si="216"/>
        <v>3.1277466791581476</v>
      </c>
      <c r="AZ130" s="124">
        <f t="shared" si="216"/>
        <v>3.1590241459497288</v>
      </c>
      <c r="BA130" s="124">
        <f t="shared" si="216"/>
        <v>3.1906143874092261</v>
      </c>
      <c r="BB130" s="124">
        <f t="shared" si="216"/>
        <v>3.2225205312833185</v>
      </c>
      <c r="BC130" s="124">
        <f t="shared" si="216"/>
        <v>3.2547457365961519</v>
      </c>
      <c r="BD130" s="124">
        <f t="shared" si="216"/>
        <v>3.2872931939621135</v>
      </c>
      <c r="BE130" s="124">
        <f t="shared" si="216"/>
        <v>3.3201661259017343</v>
      </c>
      <c r="BF130" s="124">
        <f t="shared" si="216"/>
        <v>3.3533677871607521</v>
      </c>
      <c r="BG130" s="124">
        <f t="shared" si="216"/>
        <v>3.3869014650323597</v>
      </c>
    </row>
    <row r="131" spans="1:60" x14ac:dyDescent="0.2">
      <c r="I131" s="90"/>
      <c r="J131" s="90"/>
      <c r="K131" s="90"/>
      <c r="L131" s="90"/>
      <c r="M131" s="90"/>
      <c r="N131" s="90"/>
      <c r="O131" s="90"/>
      <c r="P131" s="90"/>
      <c r="Q131" s="90"/>
    </row>
    <row r="132" spans="1:60" ht="12.75" x14ac:dyDescent="0.2">
      <c r="B132" s="93" t="s">
        <v>181</v>
      </c>
      <c r="G132" t="s">
        <v>142</v>
      </c>
      <c r="I132" s="90"/>
      <c r="J132" s="124">
        <f>(J108*total_tiendas_Telmex + 0*(1-total_tiendas_Telmex))+'Costos anualizados'!J124</f>
        <v>5.7323087096437506</v>
      </c>
      <c r="K132" s="124">
        <f>(K108*total_tiendas_Telmex + 0*(1-total_tiendas_Telmex))+'Costos anualizados'!K124</f>
        <v>5.576832395665452</v>
      </c>
      <c r="L132" s="124">
        <f>(L108*total_tiendas_Telmex + 0*(1-total_tiendas_Telmex))+'Costos anualizados'!L124</f>
        <v>5.453654767655248</v>
      </c>
      <c r="M132" s="124">
        <f>(M108*total_tiendas_Telmex + 0*(1-total_tiendas_Telmex))+'Costos anualizados'!M124</f>
        <v>5.3075829468390232</v>
      </c>
      <c r="N132" s="124">
        <f>(N108*total_tiendas_Telmex + 0*(1-total_tiendas_Telmex))+'Costos anualizados'!N124</f>
        <v>5.3190074591389926</v>
      </c>
      <c r="O132" s="124">
        <f>(O108*total_tiendas_Telmex + 0*(1-total_tiendas_Telmex))+'Costos anualizados'!O124</f>
        <v>4.6102539882777052</v>
      </c>
      <c r="P132" s="124">
        <f>(P108*total_tiendas_Telmex + 0*(1-total_tiendas_Telmex))+'Costos anualizados'!P124</f>
        <v>4.4759472019555968</v>
      </c>
      <c r="Q132" s="124">
        <f>(Q108*total_tiendas_Telmex + 0*(1-total_tiendas_Telmex))+'Costos anualizados'!Q124</f>
        <v>4.4207566784371686</v>
      </c>
      <c r="R132" s="124">
        <f>(R108*total_tiendas_Telmex + 0*(1-total_tiendas_Telmex))+'Costos anualizados'!R124</f>
        <v>4.3807935936172591</v>
      </c>
      <c r="S132" s="124">
        <f>(S108*total_tiendas_Telmex + 0*(1-total_tiendas_Telmex))+'Costos anualizados'!S124</f>
        <v>4.3668726687848505</v>
      </c>
      <c r="T132" s="124">
        <f>(T108*total_tiendas_Telmex + 0*(1-total_tiendas_Telmex))+'Costos anualizados'!T124</f>
        <v>4.383751093472017</v>
      </c>
      <c r="U132" s="124">
        <f>(U108*total_tiendas_Telmex + 0*(1-total_tiendas_Telmex))+'Costos anualizados'!U124</f>
        <v>4.423286925440852</v>
      </c>
      <c r="V132" s="124">
        <f>(V108*total_tiendas_Telmex + 0*(1-total_tiendas_Telmex))+'Costos anualizados'!V124</f>
        <v>4.4640088323687523</v>
      </c>
      <c r="W132" s="124">
        <f>(W108*total_tiendas_Telmex + 0*(1-total_tiendas_Telmex))+'Costos anualizados'!W124</f>
        <v>4.5059523965044894</v>
      </c>
      <c r="X132" s="124">
        <f>(X108*total_tiendas_Telmex + 0*(1-total_tiendas_Telmex))+'Costos anualizados'!X124</f>
        <v>4.5491542675642993</v>
      </c>
      <c r="Y132" s="124">
        <f>(Y108*total_tiendas_Telmex + 0*(1-total_tiendas_Telmex))+'Costos anualizados'!Y124</f>
        <v>4.5936521947559026</v>
      </c>
      <c r="Z132" s="124">
        <f>(Z108*total_tiendas_Telmex + 0*(1-total_tiendas_Telmex))+'Costos anualizados'!Z124</f>
        <v>4.6394850597632544</v>
      </c>
      <c r="AA132" s="124">
        <f>(AA108*total_tiendas_Telmex + 0*(1-total_tiendas_Telmex))+'Costos anualizados'!AA124</f>
        <v>4.6866929107208275</v>
      </c>
      <c r="AB132" s="124">
        <f>(AB108*total_tiendas_Telmex + 0*(1-total_tiendas_Telmex))+'Costos anualizados'!AB124</f>
        <v>4.7353169972071267</v>
      </c>
      <c r="AC132" s="124">
        <f>(AC108*total_tiendas_Telmex + 0*(1-total_tiendas_Telmex))+'Costos anualizados'!AC124</f>
        <v>4.785399806288015</v>
      </c>
      <c r="AD132" s="124">
        <f>(AD108*total_tiendas_Telmex + 0*(1-total_tiendas_Telmex))+'Costos anualizados'!AD124</f>
        <v>4.8369850996413302</v>
      </c>
      <c r="AE132" s="124">
        <f>(AE108*total_tiendas_Telmex + 0*(1-total_tiendas_Telmex))+'Costos anualizados'!AE124</f>
        <v>4.8901179517952453</v>
      </c>
      <c r="AF132" s="124">
        <f>(AF108*total_tiendas_Telmex + 0*(1-total_tiendas_Telmex))+'Costos anualizados'!AF124</f>
        <v>4.9448447895137768</v>
      </c>
      <c r="AG132" s="124">
        <f>(AG108*total_tiendas_Telmex + 0*(1-total_tiendas_Telmex))+'Costos anualizados'!AG124</f>
        <v>5.0012134323638655</v>
      </c>
      <c r="AH132" s="124">
        <f>(AH108*total_tiendas_Telmex + 0*(1-total_tiendas_Telmex))+'Costos anualizados'!AH124</f>
        <v>5.0592731344994561</v>
      </c>
      <c r="AI132" s="124">
        <f>(AI108*total_tiendas_Telmex + 0*(1-total_tiendas_Telmex))+'Costos anualizados'!AI124</f>
        <v>5.1190746276991153</v>
      </c>
      <c r="AJ132" s="124">
        <f>(AJ108*total_tiendas_Telmex + 0*(1-total_tiendas_Telmex))+'Costos anualizados'!AJ124</f>
        <v>5.1806701656947629</v>
      </c>
      <c r="AK132" s="124">
        <f>(AK108*total_tiendas_Telmex + 0*(1-total_tiendas_Telmex))+'Costos anualizados'!AK124</f>
        <v>5.2441135698302812</v>
      </c>
      <c r="AL132" s="124">
        <f>(AL108*total_tiendas_Telmex + 0*(1-total_tiendas_Telmex))+'Costos anualizados'!AL124</f>
        <v>5.3094602760898635</v>
      </c>
      <c r="AM132" s="124">
        <f>(AM108*total_tiendas_Telmex + 0*(1-total_tiendas_Telmex))+'Costos anualizados'!AM124</f>
        <v>5.3767673835372349</v>
      </c>
      <c r="AN132" s="124">
        <f>(AN108*total_tiendas_Telmex + 0*(1-total_tiendas_Telmex))+'Costos anualizados'!AN124</f>
        <v>5.4460937042080264</v>
      </c>
      <c r="AO132" s="124">
        <f>(AO108*total_tiendas_Telmex + 0*(1-total_tiendas_Telmex))+'Costos anualizados'!AO124</f>
        <v>5.517499814498942</v>
      </c>
      <c r="AP132" s="124">
        <f>(AP108*total_tiendas_Telmex + 0*(1-total_tiendas_Telmex))+'Costos anualizados'!AP124</f>
        <v>5.591048108098585</v>
      </c>
      <c r="AQ132" s="124">
        <f>(AQ108*total_tiendas_Telmex + 0*(1-total_tiendas_Telmex))+'Costos anualizados'!AQ124</f>
        <v>5.6668028505062171</v>
      </c>
      <c r="AR132" s="124">
        <f>(AR108*total_tiendas_Telmex + 0*(1-total_tiendas_Telmex))+'Costos anualizados'!AR124</f>
        <v>5.7448302351860789</v>
      </c>
      <c r="AS132" s="124">
        <f>(AS108*total_tiendas_Telmex + 0*(1-total_tiendas_Telmex))+'Costos anualizados'!AS124</f>
        <v>5.8251984414063358</v>
      </c>
      <c r="AT132" s="124">
        <f>(AT108*total_tiendas_Telmex + 0*(1-total_tiendas_Telmex))+'Costos anualizados'!AT124</f>
        <v>5.9079776938131996</v>
      </c>
      <c r="AU132" s="124">
        <f>(AU108*total_tiendas_Telmex + 0*(1-total_tiendas_Telmex))+'Costos anualizados'!AU124</f>
        <v>5.9932403237922713</v>
      </c>
      <c r="AV132" s="124">
        <f>(AV108*total_tiendas_Telmex + 0*(1-total_tiendas_Telmex))+'Costos anualizados'!AV124</f>
        <v>6.0810608326707136</v>
      </c>
      <c r="AW132" s="124">
        <f>(AW108*total_tiendas_Telmex + 0*(1-total_tiendas_Telmex))+'Costos anualizados'!AW124</f>
        <v>6.1715159568155098</v>
      </c>
      <c r="AX132" s="124">
        <f>(AX108*total_tiendas_Telmex + 0*(1-total_tiendas_Telmex))+'Costos anualizados'!AX124</f>
        <v>6.2646847346846499</v>
      </c>
      <c r="AY132" s="124">
        <f>(AY108*total_tiendas_Telmex + 0*(1-total_tiendas_Telmex))+'Costos anualizados'!AY124</f>
        <v>6.3606485758898641</v>
      </c>
      <c r="AZ132" s="124">
        <f>(AZ108*total_tiendas_Telmex + 0*(1-total_tiendas_Telmex))+'Costos anualizados'!AZ124</f>
        <v>6.4594913323312344</v>
      </c>
      <c r="BA132" s="124">
        <f>(BA108*total_tiendas_Telmex + 0*(1-total_tiendas_Telmex))+'Costos anualizados'!BA124</f>
        <v>6.5612993714658465</v>
      </c>
      <c r="BB132" s="124">
        <f>(BB108*total_tiendas_Telmex + 0*(1-total_tiendas_Telmex))+'Costos anualizados'!BB124</f>
        <v>6.6661616517744973</v>
      </c>
      <c r="BC132" s="124">
        <f>(BC108*total_tiendas_Telmex + 0*(1-total_tiendas_Telmex))+'Costos anualizados'!BC124</f>
        <v>6.7741698004924071</v>
      </c>
      <c r="BD132" s="124">
        <f>(BD108*total_tiendas_Telmex + 0*(1-total_tiendas_Telmex))+'Costos anualizados'!BD124</f>
        <v>6.8854181936718533</v>
      </c>
      <c r="BE132" s="124">
        <f>(BE108*total_tiendas_Telmex + 0*(1-total_tiendas_Telmex))+'Costos anualizados'!BE124</f>
        <v>7.0000040386466846</v>
      </c>
      <c r="BF132" s="124">
        <f>(BF108*total_tiendas_Telmex + 0*(1-total_tiendas_Telmex))+'Costos anualizados'!BF124</f>
        <v>7.1180274589707597</v>
      </c>
      <c r="BG132" s="124">
        <f>(BG108*total_tiendas_Telmex + 0*(1-total_tiendas_Telmex))+'Costos anualizados'!BG124</f>
        <v>7.2395915819045573</v>
      </c>
    </row>
    <row r="133" spans="1:60" x14ac:dyDescent="0.2">
      <c r="I133" s="90"/>
      <c r="J133" s="90"/>
      <c r="K133" s="90"/>
      <c r="L133" s="90"/>
      <c r="M133" s="90"/>
      <c r="N133" s="90"/>
      <c r="O133" s="90"/>
      <c r="P133" s="90"/>
      <c r="Q133" s="90"/>
    </row>
    <row r="134" spans="1:60" x14ac:dyDescent="0.2">
      <c r="B134" s="100" t="s">
        <v>161</v>
      </c>
      <c r="G134" t="s">
        <v>142</v>
      </c>
      <c r="I134" s="90"/>
      <c r="J134" s="126">
        <f t="shared" ref="J134:Q134" ca="1" si="217">J128+J130+J132</f>
        <v>11.095209506302396</v>
      </c>
      <c r="K134" s="126">
        <f t="shared" ca="1" si="217"/>
        <v>10.939733192324097</v>
      </c>
      <c r="L134" s="126">
        <f t="shared" ca="1" si="217"/>
        <v>10.821913918285095</v>
      </c>
      <c r="M134" s="126">
        <f t="shared" ca="1" si="217"/>
        <v>10.681041067060928</v>
      </c>
      <c r="N134" s="126">
        <f t="shared" ca="1" si="217"/>
        <v>10.698453465647113</v>
      </c>
      <c r="O134" s="126">
        <f t="shared" ca="1" si="217"/>
        <v>9.9960980980394378</v>
      </c>
      <c r="P134" s="126">
        <f t="shared" ca="1" si="217"/>
        <v>9.8627588242348576</v>
      </c>
      <c r="Q134" s="126">
        <f t="shared" ca="1" si="217"/>
        <v>9.8107103381750047</v>
      </c>
      <c r="R134" s="126">
        <f ca="1">R128+R130+R132</f>
        <v>9.8023017983969325</v>
      </c>
      <c r="S134" s="126">
        <f ca="1">S128+S130+S132</f>
        <v>9.8441111836950572</v>
      </c>
      <c r="T134" s="126">
        <f t="shared" ref="T134:BG134" ca="1" si="218">T128+T130+T132</f>
        <v>9.9191827644997019</v>
      </c>
      <c r="U134" s="126">
        <f t="shared" ca="1" si="218"/>
        <v>10.015981846783617</v>
      </c>
      <c r="V134" s="126">
        <f t="shared" ca="1" si="218"/>
        <v>10.113436108154364</v>
      </c>
      <c r="W134" s="126">
        <f t="shared" ca="1" si="218"/>
        <v>10.212870202724215</v>
      </c>
      <c r="X134" s="126">
        <f t="shared" ca="1" si="218"/>
        <v>10.314330753736929</v>
      </c>
      <c r="Y134" s="126">
        <f t="shared" ca="1" si="218"/>
        <v>10.417865722092165</v>
      </c>
      <c r="Z134" s="126">
        <f t="shared" ca="1" si="218"/>
        <v>10.523524444531228</v>
      </c>
      <c r="AA134" s="126">
        <f t="shared" ca="1" si="218"/>
        <v>10.631357672975621</v>
      </c>
      <c r="AB134" s="126">
        <f t="shared" ca="1" si="218"/>
        <v>10.741417615052498</v>
      </c>
      <c r="AC134" s="126">
        <f t="shared" ca="1" si="218"/>
        <v>10.853757975842235</v>
      </c>
      <c r="AD134" s="126">
        <f t="shared" ca="1" si="218"/>
        <v>10.96843400088426</v>
      </c>
      <c r="AE134" s="126">
        <f t="shared" ca="1" si="218"/>
        <v>11.085502520478485</v>
      </c>
      <c r="AF134" s="126">
        <f t="shared" ca="1" si="218"/>
        <v>11.20502199532079</v>
      </c>
      <c r="AG134" s="126">
        <f t="shared" ca="1" si="218"/>
        <v>11.327052563512094</v>
      </c>
      <c r="AH134" s="126">
        <f t="shared" ca="1" si="218"/>
        <v>11.451656088981842</v>
      </c>
      <c r="AI134" s="126">
        <f t="shared" ca="1" si="218"/>
        <v>11.578896211367896</v>
      </c>
      <c r="AJ134" s="126">
        <f t="shared" ca="1" si="218"/>
        <v>11.7088383973961</v>
      </c>
      <c r="AK134" s="126">
        <f t="shared" ca="1" si="218"/>
        <v>11.841549993804126</v>
      </c>
      <c r="AL134" s="126">
        <f t="shared" ca="1" si="218"/>
        <v>11.977100281855481</v>
      </c>
      <c r="AM134" s="126">
        <f t="shared" ca="1" si="218"/>
        <v>12.115560533491021</v>
      </c>
      <c r="AN134" s="126">
        <f t="shared" ca="1" si="218"/>
        <v>12.257004069166655</v>
      </c>
      <c r="AO134" s="126">
        <f t="shared" ca="1" si="218"/>
        <v>12.401506317427483</v>
      </c>
      <c r="AP134" s="126">
        <f t="shared" ca="1" si="218"/>
        <v>12.549144876270011</v>
      </c>
      <c r="AQ134" s="126">
        <f t="shared" ca="1" si="218"/>
        <v>12.699999576345757</v>
      </c>
      <c r="AR134" s="126">
        <f t="shared" ca="1" si="218"/>
        <v>12.854152546061067</v>
      </c>
      <c r="AS134" s="126">
        <f t="shared" ca="1" si="218"/>
        <v>13.011688278629681</v>
      </c>
      <c r="AT134" s="126">
        <f t="shared" ca="1" si="218"/>
        <v>13.172693701136231</v>
      </c>
      <c r="AU134" s="126">
        <f t="shared" ca="1" si="218"/>
        <v>13.337258245670652</v>
      </c>
      <c r="AV134" s="126">
        <f t="shared" ca="1" si="218"/>
        <v>13.505473922595247</v>
      </c>
      <c r="AW134" s="126">
        <f t="shared" ca="1" si="218"/>
        <v>13.67743539600805</v>
      </c>
      <c r="AX134" s="126">
        <f t="shared" ca="1" si="218"/>
        <v>13.853240061467979</v>
      </c>
      <c r="AY134" s="126">
        <f t="shared" ca="1" si="218"/>
        <v>14.032988126049316</v>
      </c>
      <c r="AZ134" s="126">
        <f t="shared" ca="1" si="218"/>
        <v>14.216782690795007</v>
      </c>
      <c r="BA134" s="126">
        <f t="shared" ca="1" si="218"/>
        <v>14.404729835640431</v>
      </c>
      <c r="BB134" s="126">
        <f t="shared" ca="1" si="218"/>
        <v>14.596938706881367</v>
      </c>
      <c r="BC134" s="126">
        <f t="shared" ca="1" si="218"/>
        <v>14.793521607262168</v>
      </c>
      <c r="BD134" s="126">
        <f t="shared" ca="1" si="218"/>
        <v>14.994594088762403</v>
      </c>
      <c r="BE134" s="126">
        <f t="shared" ca="1" si="218"/>
        <v>15.200275048162583</v>
      </c>
      <c r="BF134" s="126">
        <f t="shared" ca="1" si="218"/>
        <v>15.410686825471974</v>
      </c>
      <c r="BG134" s="126">
        <f t="shared" ca="1" si="218"/>
        <v>15.625955305304098</v>
      </c>
    </row>
    <row r="138" spans="1:60" x14ac:dyDescent="0.2">
      <c r="V138" s="203"/>
    </row>
    <row r="139" spans="1:60" x14ac:dyDescent="0.2">
      <c r="S139" s="201"/>
      <c r="V139" s="203"/>
    </row>
    <row r="140" spans="1:60" x14ac:dyDescent="0.2">
      <c r="S140" s="201"/>
      <c r="V140" s="203"/>
    </row>
    <row r="141" spans="1:60" x14ac:dyDescent="0.2">
      <c r="S141" s="201"/>
      <c r="V141" s="204"/>
    </row>
    <row r="142" spans="1:60" x14ac:dyDescent="0.2">
      <c r="S142" s="201"/>
      <c r="V142" s="204"/>
    </row>
    <row r="143" spans="1:60" x14ac:dyDescent="0.2">
      <c r="S143" s="201"/>
      <c r="V143" s="204"/>
    </row>
    <row r="144" spans="1:60" x14ac:dyDescent="0.2">
      <c r="S144" s="201"/>
      <c r="V144" s="204"/>
    </row>
    <row r="145" spans="19:22" x14ac:dyDescent="0.2">
      <c r="S145" s="201"/>
      <c r="V145" s="204"/>
    </row>
    <row r="146" spans="19:22" x14ac:dyDescent="0.2">
      <c r="V146" s="202"/>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ignoredErrors>
    <ignoredError sqref="O114:O116 O63:O66 O69:O70 O9:O10 O113 R113"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38</vt:i4>
      </vt:variant>
    </vt:vector>
  </HeadingPairs>
  <TitlesOfParts>
    <vt:vector size="45" baseType="lpstr">
      <vt:lpstr>C</vt:lpstr>
      <vt:lpstr>S</vt:lpstr>
      <vt:lpstr>Resultados</vt:lpstr>
      <vt:lpstr>Cálculos --&gt;</vt:lpstr>
      <vt:lpstr>Datos de entrada</vt:lpstr>
      <vt:lpstr>Actividades</vt:lpstr>
      <vt:lpstr>Costos anualizados</vt:lpstr>
      <vt:lpstr>capacidad_billing</vt:lpstr>
      <vt:lpstr>capacidad_CRM</vt:lpstr>
      <vt:lpstr>capacidad_equipo_impresion</vt:lpstr>
      <vt:lpstr>capacidad_equipo_sobreteo</vt:lpstr>
      <vt:lpstr>comision_media</vt:lpstr>
      <vt:lpstr>costo_anual_equipo_impresion</vt:lpstr>
      <vt:lpstr>costo_anual_equipo_sobreteo</vt:lpstr>
      <vt:lpstr>costo_billing</vt:lpstr>
      <vt:lpstr>costo_CRM</vt:lpstr>
      <vt:lpstr>costo_por_copia_color</vt:lpstr>
      <vt:lpstr>costo_por_FTE</vt:lpstr>
      <vt:lpstr>costo_renting_equipo_impresion</vt:lpstr>
      <vt:lpstr>costo_renting_equipo_sobreteo</vt:lpstr>
      <vt:lpstr>costo_tienda_telmex</vt:lpstr>
      <vt:lpstr>discount_rate_divider</vt:lpstr>
      <vt:lpstr>factor_utilizacion_billing</vt:lpstr>
      <vt:lpstr>factor_utilizacion_CRM</vt:lpstr>
      <vt:lpstr>factor_utilizacion_equipo_impresion</vt:lpstr>
      <vt:lpstr>factor_utilizacion_equipo_sobreteo</vt:lpstr>
      <vt:lpstr>folios_por_recibo</vt:lpstr>
      <vt:lpstr>franqueo</vt:lpstr>
      <vt:lpstr>FTE_por_equipo</vt:lpstr>
      <vt:lpstr>opex_billing</vt:lpstr>
      <vt:lpstr>opex_CRM</vt:lpstr>
      <vt:lpstr>precio.folio</vt:lpstr>
      <vt:lpstr>precio.sobre</vt:lpstr>
      <vt:lpstr>promedio_usuarios_fijos</vt:lpstr>
      <vt:lpstr>recibo_promedio</vt:lpstr>
      <vt:lpstr>recibos_ano</vt:lpstr>
      <vt:lpstr>tiempo_cobranza</vt:lpstr>
      <vt:lpstr>tiendas_telmex</vt:lpstr>
      <vt:lpstr>total_tiendas_Telmex</vt:lpstr>
      <vt:lpstr>vida_billing</vt:lpstr>
      <vt:lpstr>vida_CRM</vt:lpstr>
      <vt:lpstr>vida_equipo_impresion</vt:lpstr>
      <vt:lpstr>vida_equipo_sobreteo</vt:lpstr>
      <vt:lpstr>Workbook.Objective</vt:lpstr>
      <vt:lpstr>Workbook.Title</vt:lpstr>
    </vt:vector>
  </TitlesOfParts>
  <Manager>-</Manager>
  <Company>Analysys Mason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Analysys Mason workbook</dc:title>
  <dc:subject>-</dc:subject>
  <dc:creator>Carlos Lezama</dc:creator>
  <cp:lastModifiedBy>Usuario de Windows</cp:lastModifiedBy>
  <cp:lastPrinted>2017-04-10T10:57:26Z</cp:lastPrinted>
  <dcterms:created xsi:type="dcterms:W3CDTF">1997-01-23T15:12:23Z</dcterms:created>
  <dcterms:modified xsi:type="dcterms:W3CDTF">2019-09-05T01:35:15Z</dcterms:modified>
</cp:coreProperties>
</file>