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codeName="ThisWorkbook"/>
  <mc:AlternateContent xmlns:mc="http://schemas.openxmlformats.org/markup-compatibility/2006">
    <mc:Choice Requires="x15">
      <x15ac:absPath xmlns:x15ac="http://schemas.microsoft.com/office/spreadsheetml/2010/11/ac" url="http://sharepointift/uni/upr/DGDTR/DAC/Replicabilidad/Actualización/Acuerdos/Notificación modelos/Móvil/CD/"/>
    </mc:Choice>
  </mc:AlternateContent>
  <xr:revisionPtr revIDLastSave="0" documentId="13_ncr:1_{2BD1B3A7-E482-46A4-8502-71B80AAC63E7}" xr6:coauthVersionLast="47" xr6:coauthVersionMax="47" xr10:uidLastSave="{00000000-0000-0000-0000-000000000000}"/>
  <bookViews>
    <workbookView xWindow="-120" yWindow="-120" windowWidth="29040" windowHeight="15840" tabRatio="809" xr2:uid="{00000000-000D-0000-FFFF-FFFF00000000}"/>
  </bookViews>
  <sheets>
    <sheet name="Descripción" sheetId="34" r:id="rId1"/>
    <sheet name="Resultados &gt;&gt;" sheetId="38" r:id="rId2"/>
    <sheet name="Prueba Servicios Moviles" sheetId="50" r:id="rId3"/>
    <sheet name="Resultados intermedios &gt;&gt;" sheetId="39" r:id="rId4"/>
    <sheet name="Ingresos minoristas" sheetId="40" r:id="rId5"/>
    <sheet name="Costos" sheetId="41" r:id="rId6"/>
    <sheet name="Cálculos intermedios &gt;&gt;" sheetId="52" r:id="rId7"/>
    <sheet name="Costos aguas abajo" sheetId="43" r:id="rId8"/>
    <sheet name="Pagos Mayoristas" sheetId="57" r:id="rId9"/>
    <sheet name="Requerimiento de información &gt;&gt;" sheetId="45" r:id="rId10"/>
    <sheet name="Ofertas insignia" sheetId="51" r:id="rId11"/>
    <sheet name="Informacion del AEP" sheetId="47" r:id="rId12"/>
    <sheet name="Precio Mayorista" sheetId="53" r:id="rId13"/>
    <sheet name="Precios mayoristas efectivos" sheetId="61" r:id="rId14"/>
    <sheet name="Oferta de Referencia &gt;&gt;" sheetId="60" r:id="rId15"/>
    <sheet name="Hoja Auxiliar" sheetId="55" r:id="rId16"/>
    <sheet name="Supuestos" sheetId="46" r:id="rId17"/>
    <sheet name="Hoja auxiliar gráficos" sheetId="59" r:id="rId18"/>
  </sheets>
  <externalReferences>
    <externalReference r:id="rId19"/>
    <externalReference r:id="rId20"/>
    <externalReference r:id="rId21"/>
    <externalReference r:id="rId22"/>
    <externalReference r:id="rId23"/>
    <externalReference r:id="rId24"/>
    <externalReference r:id="rId25"/>
  </externalReferences>
  <definedNames>
    <definedName name="_1377_0">#REF!</definedName>
    <definedName name="_2754_0ecm">#REF!</definedName>
    <definedName name="_4131_0ecw">#REF!</definedName>
    <definedName name="asdas" localSheetId="6" hidden="1">{#N/A,#N/A,FALSE,"TMCOMP96";#N/A,#N/A,FALSE,"MAT96";#N/A,#N/A,FALSE,"FANDA96";#N/A,#N/A,FALSE,"INTRAN96";#N/A,#N/A,FALSE,"NAA9697";#N/A,#N/A,FALSE,"ECWEBB";#N/A,#N/A,FALSE,"MFT96";#N/A,#N/A,FALSE,"CTrecon"}</definedName>
    <definedName name="asdas" hidden="1">{#N/A,#N/A,FALSE,"TMCOMP96";#N/A,#N/A,FALSE,"MAT96";#N/A,#N/A,FALSE,"FANDA96";#N/A,#N/A,FALSE,"INTRAN96";#N/A,#N/A,FALSE,"NAA9697";#N/A,#N/A,FALSE,"ECWEBB";#N/A,#N/A,FALSE,"MFT96";#N/A,#N/A,FALSE,"CTrecon"}</definedName>
    <definedName name="Average_Bill_List">OFFSET('[1]Average bills'!$AI$31,0,0,16-COUNTIF('[1]Average bills'!$AI$31:$AI$48,""),1)</definedName>
    <definedName name="BillEffect">OFFSET('[1]Incidence effects'!$AS$10,0,0,45-COUNTBLANK('[1]Incidence effects'!$AS$10:$AS$54),1)</definedName>
    <definedName name="BillEffect_Schedule">OFFSET('[1]Incidence effects'!$AT$10,0,0,45-COUNTBLANK('[1]Incidence effects'!$AT$10:$AT$54),1)</definedName>
    <definedName name="BLPH1" hidden="1">'[2]4.6 ten year bonds'!$A$4</definedName>
    <definedName name="BLPH2" hidden="1">'[2]4.6 ten year bonds'!$D$4</definedName>
    <definedName name="BLPH3" hidden="1">'[2]4.6 ten year bonds'!$G$4</definedName>
    <definedName name="BLPH4" hidden="1">'[2]4.6 ten year bonds'!$J$4</definedName>
    <definedName name="BLPH5" hidden="1">'[2]4.6 ten year bonds'!$M$4</definedName>
    <definedName name="Countries">[3]Breakdown!$B$4:$B$15</definedName>
    <definedName name="CustomerName">OFFSET('[1]Incidence effects'!$AR$10,0,0,(ROWS('[1]Incidence effects'!$AI$10:$AI$1048576)-COUNTIF('[1]Incidence effects'!$AI$10:$AI$1048576,"")),1)</definedName>
    <definedName name="dgsgf" localSheetId="6" hidden="1">{#N/A,#N/A,FALSE,"TMCOMP96";#N/A,#N/A,FALSE,"MAT96";#N/A,#N/A,FALSE,"FANDA96";#N/A,#N/A,FALSE,"INTRAN96";#N/A,#N/A,FALSE,"NAA9697";#N/A,#N/A,FALSE,"ECWEBB";#N/A,#N/A,FALSE,"MFT96";#N/A,#N/A,FALSE,"CTrecon"}</definedName>
    <definedName name="dgsgf" hidden="1">{#N/A,#N/A,FALSE,"TMCOMP96";#N/A,#N/A,FALSE,"MAT96";#N/A,#N/A,FALSE,"FANDA96";#N/A,#N/A,FALSE,"INTRAN96";#N/A,#N/A,FALSE,"NAA9697";#N/A,#N/A,FALSE,"ECWEBB";#N/A,#N/A,FALSE,"MFT96";#N/A,#N/A,FALSE,"CTrecon"}</definedName>
    <definedName name="Differential_List">OFFSET([1]Differentials!$U$14,0,0,(6-COUNTIF([1]Differentials!$U$14:$U$19,"")),1)</definedName>
    <definedName name="Distribution" hidden="1">#REF!</definedName>
    <definedName name="ExtraProfiles" hidden="1">#REF!</definedName>
    <definedName name="fg" localSheetId="6" hidden="1">{#N/A,#N/A,FALSE,"TMCOMP96";#N/A,#N/A,FALSE,"MAT96";#N/A,#N/A,FALSE,"FANDA96";#N/A,#N/A,FALSE,"INTRAN96";#N/A,#N/A,FALSE,"NAA9697";#N/A,#N/A,FALSE,"ECWEBB";#N/A,#N/A,FALSE,"MFT96";#N/A,#N/A,FALSE,"CTrecon"}</definedName>
    <definedName name="fg" hidden="1">{#N/A,#N/A,FALSE,"TMCOMP96";#N/A,#N/A,FALSE,"MAT96";#N/A,#N/A,FALSE,"FANDA96";#N/A,#N/A,FALSE,"INTRAN96";#N/A,#N/A,FALSE,"NAA9697";#N/A,#N/A,FALSE,"ECWEBB";#N/A,#N/A,FALSE,"MFT96";#N/A,#N/A,FALSE,"CTrecon"}</definedName>
    <definedName name="fgfd" localSheetId="6"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orecast">[3]drop_down!$C$16:$C$17</definedName>
    <definedName name="Frontier_BAJABBAFCHAB">#REF!</definedName>
    <definedName name="Frontier_BAJABFAJDDBE">'[4]Help cells'!#REF!</definedName>
    <definedName name="Frontier_BAJABFAJDFAI">'[4]Help cells'!#REF!</definedName>
    <definedName name="Frontier_BAJABFAJDJDH">'[4]Help cells'!#REF!</definedName>
    <definedName name="Frontier_BAJABGABBCAF">#REF!</definedName>
    <definedName name="Frontier_BAJABGADAHBH">#REF!</definedName>
    <definedName name="Frontier_BAJABGADBCAE">[4]Historical_SONIA!#REF!</definedName>
    <definedName name="Frontier_BAJABGAGADAH">#REF!</definedName>
    <definedName name="Frontier_BAJABGAGADAI">#REF!</definedName>
    <definedName name="Frontier_BAJABIAAJCCC">#REF!</definedName>
    <definedName name="Frontier_BAJABIAECBDJ">#REF!</definedName>
    <definedName name="Frontier_BAJABIAECEDJ">#REF!</definedName>
    <definedName name="Frontier_BAJABIAGDDDA">#REF!</definedName>
    <definedName name="Frontier_BAJDBAADCAJC">#REF!</definedName>
    <definedName name="Frontier_BAJDBAAFDBBI">#REF!</definedName>
    <definedName name="Frontier_BAJDBAAGBBBD">#REF!</definedName>
    <definedName name="Frontier_BAJDBAAGBECD">#REF!</definedName>
    <definedName name="Frontier_BAJDBAAGBEDI">#REF!</definedName>
    <definedName name="Frontier_BAJDBFADCICF">#REF!</definedName>
    <definedName name="Frontier_BAJFAGAJDDAI">#REF!</definedName>
    <definedName name="Frontier_BAJFAGAJDDCJ">#REF!</definedName>
    <definedName name="Frontier_BAJFAGAJDDJC">#REF!</definedName>
    <definedName name="Frontier_BAJFAGJFECAA">#REF!</definedName>
    <definedName name="Frontier_BAJFAGJFEDED">#REF!</definedName>
    <definedName name="Frontier_BAJFAGJFEDJD">#REF!</definedName>
    <definedName name="Frontier_BAJFAGJFEICF">#REF!</definedName>
    <definedName name="Frontier_BAJFAGJGJAAH">#REF!</definedName>
    <definedName name="Frontier_BAJFAGJGJCDB">#REF!</definedName>
    <definedName name="Frontier_BAJFAGJGJDBH">#REF!</definedName>
    <definedName name="Frontier_BAJFAGJGJFAF">#REF!</definedName>
    <definedName name="Frontier_BAJFAGJGJGJJ">#REF!</definedName>
    <definedName name="Frontier_BAJFAGJGJIBB">#REF!</definedName>
    <definedName name="Frontier_BAJFAGJGJIBC">#REF!</definedName>
    <definedName name="Frontier_BAJFAGJGJIBD">#REF!</definedName>
    <definedName name="Frontier_BAJFAGJGJIJI">#REF!</definedName>
    <definedName name="Frontier_BAJFBHABEBJD">#REF!</definedName>
    <definedName name="Frontier_BAJFBHABEJEA">#REF!</definedName>
    <definedName name="Frontier_BAJFBHAEDACC">#REF!</definedName>
    <definedName name="Frontier_BAJIAFAGBDJC">#REF!</definedName>
    <definedName name="Frontier_BAJIAFAGEDCF">#REF!</definedName>
    <definedName name="Frontier_BAJIBBAAEDDG">#REF!</definedName>
    <definedName name="Frontier_BAJIBBAAEHEF">#REF!</definedName>
    <definedName name="Frontier_BAJIBJADECEB">#REF!</definedName>
    <definedName name="Frontier_BJAABCABCIJF">#REF!</definedName>
    <definedName name="Frontier_BJAABCADAJAG">#REF!</definedName>
    <definedName name="Frontier_BJAABCADDEED">#REF!</definedName>
    <definedName name="Frontier_BJAABCADEAJC">#REF!</definedName>
    <definedName name="Frontier_BJAABCADJHEF">#REF!</definedName>
    <definedName name="Frontier_BJAABCAEBADA">#REF!</definedName>
    <definedName name="Frontier_BJAABCAEBBJD">#REF!</definedName>
    <definedName name="Frontier_BJAABCAEJIBG">#REF!</definedName>
    <definedName name="Frontier_BJAABCAEJIDE">#REF!</definedName>
    <definedName name="Frontier_BJAABDAAAGBE">#REF!</definedName>
    <definedName name="Frontier_BJAABDAAAGCH">#REF!</definedName>
    <definedName name="Frontier_BJAABDAAAHEH">#REF!</definedName>
    <definedName name="Frontier_BJAABDAABADF">#REF!</definedName>
    <definedName name="Frontier_BJAABDAACJBB">#REF!</definedName>
    <definedName name="Frontier_BJAABDAADDJG">#REF!</definedName>
    <definedName name="Frontier_BJAABDAADIJF">#REF!</definedName>
    <definedName name="Frontier_BJAABEABAJAH">#REF!</definedName>
    <definedName name="Frontier_BJAABEABDFEB">#REF!</definedName>
    <definedName name="Frontier_BJAABEABDGDA">#REF!</definedName>
    <definedName name="Frontier_BJAABEACDFJJ">#REF!</definedName>
    <definedName name="Frontier_BJAABFAJJCEB">#REF!</definedName>
    <definedName name="Frontier_BJAABFAJJEAE">#REF!</definedName>
    <definedName name="Frontier_BJAABFAJJHCF">#REF!</definedName>
    <definedName name="Frontier_BJAABGADECEC">#REF!</definedName>
    <definedName name="Frontier_BJAABGAEEJBG">#REF!</definedName>
    <definedName name="Frontier_BJAABGAFCGJB">#REF!</definedName>
    <definedName name="Frontier_BJAABGAFCIBH">#REF!</definedName>
    <definedName name="Frontier_BJAABGAFCIDD">#REF!</definedName>
    <definedName name="Frontier_BJAABGAFDICA">#REF!</definedName>
    <definedName name="Frontier_BJAACJAAEGJE">#REF!</definedName>
    <definedName name="Frontier_BJAACJABJIJA">#REF!</definedName>
    <definedName name="Frontier_BJAACJADCCJE">#REF!</definedName>
    <definedName name="Frontier_BJAACJADEDCJ">#REF!</definedName>
    <definedName name="Frontier_BJAACJAEAGDB">#REF!</definedName>
    <definedName name="Frontier_BJAACJAEAGDH">#REF!</definedName>
    <definedName name="Frontier_BJAACJAEAIDB">#REF!</definedName>
    <definedName name="Frontier_BJAACJAEJGEA">#REF!</definedName>
    <definedName name="Frontier_BJAACJAHEDJF">#REF!</definedName>
    <definedName name="Frontier_BJABJBAEACDA">#REF!</definedName>
    <definedName name="Frontier_BJABJBAEACDD">#REF!</definedName>
    <definedName name="Frontier_BJABJBAEAGBE">#REF!</definedName>
    <definedName name="Frontier_BJABJBAEBDDF">#REF!</definedName>
    <definedName name="Frontier_BJABJBAEBEEB">#REF!</definedName>
    <definedName name="Frontier_BJABJBAEBEEF">#REF!</definedName>
    <definedName name="Frontier_BJABJBAECJEA">#REF!</definedName>
    <definedName name="Frontier_BJABJBAFJCCJ">#REF!</definedName>
    <definedName name="Frontier_BJABJCAACEAC">#REF!</definedName>
    <definedName name="Frontier_BJABJCAACGJC">#REF!</definedName>
    <definedName name="Frontier_BJABJCAADJAF">#REF!</definedName>
    <definedName name="Frontier_BJABJCAEDHAA">#REF!</definedName>
    <definedName name="Frontier_BJABJCAGCDAD">#REF!</definedName>
    <definedName name="Frontier_BJABJCAGCDDJ">#REF!</definedName>
    <definedName name="Frontier_BJABJCAGDDEJ">#REF!</definedName>
    <definedName name="Frontier_BJABJCAGDGAI">#REF!</definedName>
    <definedName name="Frontier_BJABJCAGJCAB">#REF!</definedName>
    <definedName name="Frontier_BJABJDAADDCI">#REF!</definedName>
    <definedName name="Frontier_BJABJDAADFCA">#REF!</definedName>
    <definedName name="Frontier_BJABJDAADIBH">#REF!</definedName>
    <definedName name="Frontier_BJABJDABCDAH">#REF!</definedName>
    <definedName name="Frontier_BJABJDABDGJF">#REF!</definedName>
    <definedName name="Frontier_BJABJDABEBED">#REF!</definedName>
    <definedName name="Frontier_BJABJDABEDAA">#REF!</definedName>
    <definedName name="Frontier_BJABJDABJEDJ">#REF!</definedName>
    <definedName name="Frontier_BJABJDACJBBE">#REF!</definedName>
    <definedName name="Frontier_BJABJDAJJJBI">#REF!</definedName>
    <definedName name="Frontier_BJABJHAJCABH">#REF!</definedName>
    <definedName name="Frontier_BJABJHAJCBAA">#REF!</definedName>
    <definedName name="Frontier_BJABJHAJECAI">#REF!</definedName>
    <definedName name="Frontier_BJABJHAJEEBA">#REF!</definedName>
    <definedName name="ghj" localSheetId="6" hidden="1">{#N/A,#N/A,FALSE,"TMCOMP96";#N/A,#N/A,FALSE,"MAT96";#N/A,#N/A,FALSE,"FANDA96";#N/A,#N/A,FALSE,"INTRAN96";#N/A,#N/A,FALSE,"NAA9697";#N/A,#N/A,FALSE,"ECWEBB";#N/A,#N/A,FALSE,"MFT96";#N/A,#N/A,FALSE,"CTrecon"}</definedName>
    <definedName name="ghj" hidden="1">{#N/A,#N/A,FALSE,"TMCOMP96";#N/A,#N/A,FALSE,"MAT96";#N/A,#N/A,FALSE,"FANDA96";#N/A,#N/A,FALSE,"INTRAN96";#N/A,#N/A,FALSE,"NAA9697";#N/A,#N/A,FALSE,"ECWEBB";#N/A,#N/A,FALSE,"MFT96";#N/A,#N/A,FALSE,"CTrecon"}</definedName>
    <definedName name="Industries">'[3]Profit calc'!$B$4:$B$18</definedName>
    <definedName name="jhkgh" localSheetId="6" hidden="1">{#N/A,#N/A,FALSE,"TMCOMP96";#N/A,#N/A,FALSE,"MAT96";#N/A,#N/A,FALSE,"FANDA96";#N/A,#N/A,FALSE,"INTRAN96";#N/A,#N/A,FALSE,"NAA9697";#N/A,#N/A,FALSE,"ECWEBB";#N/A,#N/A,FALSE,"MFT96";#N/A,#N/A,FALSE,"CTrecon"}</definedName>
    <definedName name="jhkgh" hidden="1">{#N/A,#N/A,FALSE,"TMCOMP96";#N/A,#N/A,FALSE,"MAT96";#N/A,#N/A,FALSE,"FANDA96";#N/A,#N/A,FALSE,"INTRAN96";#N/A,#N/A,FALSE,"NAA9697";#N/A,#N/A,FALSE,"ECWEBB";#N/A,#N/A,FALSE,"MFT96";#N/A,#N/A,FALSE,"CTrecon"}</definedName>
    <definedName name="jhkgh2" localSheetId="6"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NAC">[3]drop_down!$C$11:$C$12</definedName>
    <definedName name="Option2" localSheetId="6" hidden="1">{#N/A,#N/A,FALSE,"TMCOMP96";#N/A,#N/A,FALSE,"MAT96";#N/A,#N/A,FALSE,"FANDA96";#N/A,#N/A,FALSE,"INTRAN96";#N/A,#N/A,FALSE,"NAA9697";#N/A,#N/A,FALSE,"ECWEBB";#N/A,#N/A,FALSE,"MFT96";#N/A,#N/A,FALSE,"CTrecon"}</definedName>
    <definedName name="Option2" hidden="1">{#N/A,#N/A,FALSE,"TMCOMP96";#N/A,#N/A,FALSE,"MAT96";#N/A,#N/A,FALSE,"FANDA96";#N/A,#N/A,FALSE,"INTRAN96";#N/A,#N/A,FALSE,"NAA9697";#N/A,#N/A,FALSE,"ECWEBB";#N/A,#N/A,FALSE,"MFT96";#N/A,#N/A,FALSE,"CTrecon"}</definedName>
    <definedName name="Pop" hidden="1">[5]Population!#REF!</definedName>
    <definedName name="Population" hidden="1">#REF!</definedName>
    <definedName name="Profiles" hidden="1">#REF!</definedName>
    <definedName name="Projections" hidden="1">#REF!</definedName>
    <definedName name="Results" hidden="1">[6]UK99!$A$1:$A$1</definedName>
    <definedName name="sdf" localSheetId="6" hidden="1">{#N/A,#N/A,FALSE,"TMCOMP96";#N/A,#N/A,FALSE,"MAT96";#N/A,#N/A,FALSE,"FANDA96";#N/A,#N/A,FALSE,"INTRAN96";#N/A,#N/A,FALSE,"NAA9697";#N/A,#N/A,FALSE,"ECWEBB";#N/A,#N/A,FALSE,"MFT96";#N/A,#N/A,FALSE,"CTrecon"}</definedName>
    <definedName name="sdf" hidden="1">{#N/A,#N/A,FALSE,"TMCOMP96";#N/A,#N/A,FALSE,"MAT96";#N/A,#N/A,FALSE,"FANDA96";#N/A,#N/A,FALSE,"INTRAN96";#N/A,#N/A,FALSE,"NAA9697";#N/A,#N/A,FALSE,"ECWEBB";#N/A,#N/A,FALSE,"MFT96";#N/A,#N/A,FALSE,"CTrecon"}</definedName>
    <definedName name="sdff" localSheetId="6"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fad" localSheetId="6" hidden="1">{#N/A,#N/A,FALSE,"TMCOMP96";#N/A,#N/A,FALSE,"MAT96";#N/A,#N/A,FALSE,"FANDA96";#N/A,#N/A,FALSE,"INTRAN96";#N/A,#N/A,FALSE,"NAA9697";#N/A,#N/A,FALSE,"ECWEBB";#N/A,#N/A,FALSE,"MFT96";#N/A,#N/A,FALSE,"CTrecon"}</definedName>
    <definedName name="sfad" hidden="1">{#N/A,#N/A,FALSE,"TMCOMP96";#N/A,#N/A,FALSE,"MAT96";#N/A,#N/A,FALSE,"FANDA96";#N/A,#N/A,FALSE,"INTRAN96";#N/A,#N/A,FALSE,"NAA9697";#N/A,#N/A,FALSE,"ECWEBB";#N/A,#N/A,FALSE,"MFT96";#N/A,#N/A,FALSE,"CTrecon"}</definedName>
    <definedName name="Tariff_ID">OFFSET('[1]Tariff Structure'!$B$18,0,0,(345-COUNTBLANK('[1]Tariff Structure'!$B$18:$B$218)),1)</definedName>
    <definedName name="Tariff_Types">OFFSET('[1]Tariff Structure'!$H$7,0,0,19-COUNTIF('[1]Tariff Structure'!$G$7:$G$10,""),1)</definedName>
    <definedName name="TariffYears">[1]Lookup!$B$13:$B$17</definedName>
    <definedName name="TariffYearSet">[1]Dashboard!$D$12</definedName>
    <definedName name="TariffYearSetMinus1">[1]Dashboard!$D$11</definedName>
    <definedName name="TariffYearSetMinus2">[1]Dashboard!$D$10</definedName>
    <definedName name="trggh" localSheetId="6" hidden="1">{#N/A,#N/A,FALSE,"TMCOMP96";#N/A,#N/A,FALSE,"MAT96";#N/A,#N/A,FALSE,"FANDA96";#N/A,#N/A,FALSE,"INTRAN96";#N/A,#N/A,FALSE,"NAA9697";#N/A,#N/A,FALSE,"ECWEBB";#N/A,#N/A,FALSE,"MFT96";#N/A,#N/A,FALSE,"CTrecon"}</definedName>
    <definedName name="trggh" hidden="1">{#N/A,#N/A,FALSE,"TMCOMP96";#N/A,#N/A,FALSE,"MAT96";#N/A,#N/A,FALSE,"FANDA96";#N/A,#N/A,FALSE,"INTRAN96";#N/A,#N/A,FALSE,"NAA9697";#N/A,#N/A,FALSE,"ECWEBB";#N/A,#N/A,FALSE,"MFT96";#N/A,#N/A,FALSE,"CTrecon"}</definedName>
    <definedName name="wrn.TMCOMP." localSheetId="6" hidden="1">{#N/A,#N/A,FALSE,"TMCOMP96";#N/A,#N/A,FALSE,"MAT96";#N/A,#N/A,FALSE,"FANDA96";#N/A,#N/A,FALSE,"INTRAN96";#N/A,#N/A,FALSE,"NAA9697";#N/A,#N/A,FALSE,"ECWEBB";#N/A,#N/A,FALSE,"MFT96";#N/A,#N/A,FALSE,"CTrecon"}</definedName>
    <definedName name="wrn.TMCOMP." hidden="1">{#N/A,#N/A,FALSE,"TMCOMP96";#N/A,#N/A,FALSE,"MAT96";#N/A,#N/A,FALSE,"FANDA96";#N/A,#N/A,FALSE,"INTRAN96";#N/A,#N/A,FALSE,"NAA9697";#N/A,#N/A,FALSE,"ECWEBB";#N/A,#N/A,FALSE,"MFT96";#N/A,#N/A,FALSE,"CTrecon"}</definedName>
    <definedName name="xDSL_propio__bitstream">'[7]SCyD - LRAIC+'!$K$13</definedName>
    <definedName name="xDSL_propio__líneas">'[7]SCyD - LRAIC+'!$K$12</definedName>
    <definedName name="Year">'[4]Parameters from NC'!$C$5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0" i="51" l="1"/>
  <c r="C10" i="51"/>
  <c r="N116" i="47"/>
  <c r="M102" i="47"/>
  <c r="N102" i="47"/>
  <c r="M103" i="47"/>
  <c r="N103" i="47"/>
  <c r="M104" i="47"/>
  <c r="N104" i="47"/>
  <c r="M105" i="47"/>
  <c r="N105" i="47"/>
  <c r="M106" i="47"/>
  <c r="N106" i="47"/>
  <c r="M107" i="47"/>
  <c r="N107" i="47"/>
  <c r="M108" i="47"/>
  <c r="N108" i="47"/>
  <c r="M109" i="47"/>
  <c r="N109" i="47"/>
  <c r="M110" i="47"/>
  <c r="N110" i="47"/>
  <c r="M111" i="47"/>
  <c r="N111" i="47"/>
  <c r="M112" i="47"/>
  <c r="N112" i="47"/>
  <c r="M113" i="47"/>
  <c r="N113" i="47"/>
  <c r="M114" i="47"/>
  <c r="N114" i="47"/>
  <c r="M115" i="47"/>
  <c r="N115" i="47"/>
  <c r="M116" i="47"/>
  <c r="M117" i="47"/>
  <c r="N117" i="47"/>
  <c r="M118" i="47"/>
  <c r="N118" i="47"/>
  <c r="M119" i="47"/>
  <c r="N119" i="47"/>
  <c r="M120" i="47"/>
  <c r="N120" i="47"/>
  <c r="M121" i="47"/>
  <c r="N121" i="47"/>
  <c r="L103" i="47"/>
  <c r="L104" i="47"/>
  <c r="L105" i="47"/>
  <c r="L106" i="47"/>
  <c r="L107" i="47"/>
  <c r="L108" i="47"/>
  <c r="L109" i="47"/>
  <c r="L110" i="47"/>
  <c r="L111" i="47"/>
  <c r="L112" i="47"/>
  <c r="L113" i="47"/>
  <c r="L114" i="47"/>
  <c r="L115" i="47"/>
  <c r="L116" i="47"/>
  <c r="L117" i="47"/>
  <c r="L118" i="47"/>
  <c r="L119" i="47"/>
  <c r="L120" i="47"/>
  <c r="L121" i="47"/>
  <c r="L102" i="47"/>
  <c r="N68" i="61" l="1"/>
  <c r="O68" i="61"/>
  <c r="P68" i="61"/>
  <c r="Q68" i="61"/>
  <c r="R68" i="61"/>
  <c r="S68" i="61"/>
  <c r="N69" i="61"/>
  <c r="O69" i="61"/>
  <c r="P69" i="61"/>
  <c r="Q69" i="61"/>
  <c r="R69" i="61"/>
  <c r="S69" i="61"/>
  <c r="O67" i="61"/>
  <c r="P67" i="61"/>
  <c r="Q67" i="61"/>
  <c r="R67" i="61"/>
  <c r="S67" i="61"/>
  <c r="N67" i="61"/>
  <c r="N98" i="61"/>
  <c r="O98" i="61"/>
  <c r="P98" i="61"/>
  <c r="Q98" i="61"/>
  <c r="R98" i="61"/>
  <c r="S98" i="61"/>
  <c r="N99" i="61"/>
  <c r="O99" i="61"/>
  <c r="P99" i="61"/>
  <c r="Q99" i="61"/>
  <c r="R99" i="61"/>
  <c r="S99" i="61"/>
  <c r="O97" i="61"/>
  <c r="P97" i="61"/>
  <c r="Q97" i="61"/>
  <c r="R97" i="61"/>
  <c r="S97" i="61"/>
  <c r="N97" i="61"/>
  <c r="O11" i="61"/>
  <c r="P11" i="61"/>
  <c r="Q11" i="61"/>
  <c r="R11" i="61"/>
  <c r="S11" i="61"/>
  <c r="O12" i="61"/>
  <c r="P12" i="61"/>
  <c r="Q12" i="61"/>
  <c r="R12" i="61"/>
  <c r="S12" i="61"/>
  <c r="O13" i="61"/>
  <c r="P13" i="61"/>
  <c r="Q13" i="61"/>
  <c r="R13" i="61"/>
  <c r="S13" i="61"/>
  <c r="N12" i="61"/>
  <c r="N13" i="61"/>
  <c r="N11" i="61"/>
  <c r="S28" i="61"/>
  <c r="S27" i="61"/>
  <c r="R28" i="61"/>
  <c r="R27" i="61"/>
  <c r="Q28" i="61"/>
  <c r="Q27" i="61"/>
  <c r="P28" i="61"/>
  <c r="P27" i="61"/>
  <c r="O28" i="61"/>
  <c r="O27" i="61"/>
  <c r="N28" i="61"/>
  <c r="N27" i="61"/>
  <c r="J21" i="53"/>
  <c r="I21" i="53"/>
  <c r="H21" i="53"/>
  <c r="G21" i="53"/>
  <c r="F21" i="53"/>
  <c r="E21" i="53"/>
  <c r="J23" i="53"/>
  <c r="I23" i="53"/>
  <c r="H23" i="53"/>
  <c r="G23" i="53"/>
  <c r="F23" i="53"/>
  <c r="E23" i="53"/>
  <c r="J22" i="53"/>
  <c r="I22" i="53"/>
  <c r="H22" i="53"/>
  <c r="G22" i="53"/>
  <c r="F22" i="53"/>
  <c r="E22" i="53"/>
  <c r="O80" i="61" l="1"/>
  <c r="O77" i="61" s="1"/>
  <c r="N80" i="61"/>
  <c r="N79" i="61" s="1"/>
  <c r="P80" i="61"/>
  <c r="P78" i="61" s="1"/>
  <c r="S80" i="61"/>
  <c r="S78" i="61" s="1"/>
  <c r="R80" i="61"/>
  <c r="R78" i="61" s="1"/>
  <c r="Q80" i="61"/>
  <c r="Q79" i="61" s="1"/>
  <c r="N28" i="51"/>
  <c r="M28" i="51"/>
  <c r="L28" i="51"/>
  <c r="N16" i="51"/>
  <c r="M16" i="51"/>
  <c r="L16" i="51"/>
  <c r="O78" i="61" l="1"/>
  <c r="O79" i="61"/>
  <c r="N77" i="61"/>
  <c r="N78" i="61"/>
  <c r="P77" i="61"/>
  <c r="P79" i="61"/>
  <c r="R79" i="61"/>
  <c r="R77" i="61"/>
  <c r="Q77" i="61"/>
  <c r="Q78" i="61"/>
  <c r="S79" i="61"/>
  <c r="S77" i="61"/>
  <c r="D16" i="51"/>
  <c r="E16" i="51"/>
  <c r="D28" i="51"/>
  <c r="E28" i="51"/>
  <c r="G83" i="53"/>
  <c r="F83" i="53" s="1"/>
  <c r="G84" i="53"/>
  <c r="C83" i="53"/>
  <c r="C84" i="53"/>
  <c r="F84" i="53" l="1"/>
  <c r="C226" i="57"/>
  <c r="C227" i="57"/>
  <c r="C200" i="57"/>
  <c r="C201" i="57"/>
  <c r="C174" i="57"/>
  <c r="C175" i="57"/>
  <c r="C148" i="57"/>
  <c r="C149" i="57"/>
  <c r="C122" i="57"/>
  <c r="C123" i="57"/>
  <c r="C96" i="57"/>
  <c r="C97" i="57"/>
  <c r="C70" i="57"/>
  <c r="C71" i="57"/>
  <c r="C44" i="57"/>
  <c r="C45" i="57"/>
  <c r="C18" i="57"/>
  <c r="C19" i="57"/>
  <c r="C47" i="55"/>
  <c r="C48" i="55"/>
  <c r="C140" i="47" l="1"/>
  <c r="C141" i="47"/>
  <c r="C62" i="47"/>
  <c r="C61" i="47"/>
  <c r="C28" i="51"/>
  <c r="C16" i="51"/>
  <c r="T10" i="57" l="1"/>
  <c r="V10" i="57"/>
  <c r="W10" i="57"/>
  <c r="C29" i="47"/>
  <c r="F92" i="47" l="1"/>
  <c r="F93" i="47"/>
  <c r="N26" i="61" s="1"/>
  <c r="AJ18" i="55"/>
  <c r="E18" i="55"/>
  <c r="AV15" i="55"/>
  <c r="AM15" i="55"/>
  <c r="AD15" i="55"/>
  <c r="U15" i="55"/>
  <c r="L15" i="55"/>
  <c r="C15" i="55"/>
  <c r="I18" i="55"/>
  <c r="G77" i="53"/>
  <c r="F26" i="53"/>
  <c r="AG97" i="61" s="1"/>
  <c r="G26" i="53"/>
  <c r="AH97" i="61" s="1"/>
  <c r="H26" i="53"/>
  <c r="AI97" i="61" s="1"/>
  <c r="I26" i="53"/>
  <c r="AJ97" i="61" s="1"/>
  <c r="J26" i="53"/>
  <c r="AK97" i="61" s="1"/>
  <c r="E26" i="53"/>
  <c r="Q38" i="53"/>
  <c r="Q42" i="53"/>
  <c r="N56" i="61" l="1"/>
  <c r="X53" i="61" s="1"/>
  <c r="X56" i="61"/>
  <c r="AF67" i="61"/>
  <c r="AF97" i="61"/>
  <c r="AF26" i="61"/>
  <c r="AI67" i="61"/>
  <c r="AJ67" i="61"/>
  <c r="AH67" i="61"/>
  <c r="AG67" i="61"/>
  <c r="AK67" i="61"/>
  <c r="O41" i="51"/>
  <c r="O42" i="51"/>
  <c r="O43" i="51"/>
  <c r="O44" i="51"/>
  <c r="O45" i="51"/>
  <c r="O46" i="51"/>
  <c r="O47" i="51"/>
  <c r="O48" i="51"/>
  <c r="O49" i="51"/>
  <c r="N54" i="61" l="1"/>
  <c r="X55" i="61"/>
  <c r="X54" i="61"/>
  <c r="N55" i="61"/>
  <c r="O16" i="51"/>
  <c r="F12" i="51"/>
  <c r="F13" i="51"/>
  <c r="F14" i="51"/>
  <c r="F16" i="51"/>
  <c r="F17" i="51"/>
  <c r="F18" i="51"/>
  <c r="F19" i="51"/>
  <c r="F22" i="51"/>
  <c r="F28" i="51"/>
  <c r="F29" i="51"/>
  <c r="F30" i="51"/>
  <c r="F31" i="51"/>
  <c r="F32" i="51"/>
  <c r="F33" i="51"/>
  <c r="F34" i="51"/>
  <c r="F35" i="51"/>
  <c r="F36" i="51"/>
  <c r="F37" i="51"/>
  <c r="F38" i="51"/>
  <c r="F39" i="51"/>
  <c r="F40" i="51"/>
  <c r="F41" i="51"/>
  <c r="T112" i="61"/>
  <c r="T110" i="61"/>
  <c r="T109" i="61"/>
  <c r="K93" i="47"/>
  <c r="S26" i="61" s="1"/>
  <c r="J93" i="47"/>
  <c r="R26" i="61" s="1"/>
  <c r="I93" i="47"/>
  <c r="Q26" i="61" s="1"/>
  <c r="H93" i="47"/>
  <c r="P26" i="61" s="1"/>
  <c r="G93" i="47"/>
  <c r="O26" i="61" s="1"/>
  <c r="AC56" i="61" l="1"/>
  <c r="AC53" i="61" s="1"/>
  <c r="S56" i="61"/>
  <c r="Q56" i="61"/>
  <c r="AA56" i="61"/>
  <c r="AA53" i="61" s="1"/>
  <c r="Q53" i="61"/>
  <c r="O56" i="61"/>
  <c r="Y56" i="61"/>
  <c r="Y53" i="61" s="1"/>
  <c r="R56" i="61"/>
  <c r="R53" i="61" s="1"/>
  <c r="AB56" i="61"/>
  <c r="AB53" i="61" s="1"/>
  <c r="Z56" i="61"/>
  <c r="P56" i="61"/>
  <c r="U110" i="61"/>
  <c r="B92" i="61"/>
  <c r="B62" i="61"/>
  <c r="B20" i="61"/>
  <c r="B5" i="61"/>
  <c r="Z53" i="61" l="1"/>
  <c r="Z54" i="61"/>
  <c r="Z55" i="61"/>
  <c r="Q55" i="61"/>
  <c r="Q54" i="61"/>
  <c r="O54" i="61"/>
  <c r="O55" i="61"/>
  <c r="R54" i="61"/>
  <c r="R55" i="61"/>
  <c r="O53" i="61"/>
  <c r="S53" i="61"/>
  <c r="S54" i="61"/>
  <c r="S55" i="61"/>
  <c r="AB55" i="61"/>
  <c r="AB54" i="61"/>
  <c r="AA54" i="61"/>
  <c r="AA55" i="61"/>
  <c r="P53" i="61"/>
  <c r="P55" i="61"/>
  <c r="P54" i="61"/>
  <c r="Y54" i="61"/>
  <c r="Y55" i="61"/>
  <c r="AC55" i="61"/>
  <c r="AC54" i="61"/>
  <c r="G92" i="47"/>
  <c r="H92" i="47"/>
  <c r="I92" i="47"/>
  <c r="J92" i="47"/>
  <c r="K92" i="47"/>
  <c r="AV25" i="55"/>
  <c r="AM25" i="55"/>
  <c r="AD25" i="55"/>
  <c r="U25" i="55"/>
  <c r="L25" i="55"/>
  <c r="BB28" i="55"/>
  <c r="BA28" i="55"/>
  <c r="AZ28" i="55"/>
  <c r="AS28" i="55"/>
  <c r="AR28" i="55"/>
  <c r="AQ28" i="55"/>
  <c r="AJ28" i="55"/>
  <c r="AI28" i="55"/>
  <c r="AH28" i="55"/>
  <c r="AA28" i="55"/>
  <c r="Z28" i="55"/>
  <c r="Y28" i="55"/>
  <c r="R28" i="55"/>
  <c r="Q28" i="55"/>
  <c r="P28" i="55"/>
  <c r="BB20" i="55"/>
  <c r="BB18" i="55"/>
  <c r="BA18" i="55"/>
  <c r="AZ18" i="55"/>
  <c r="AY18" i="55"/>
  <c r="AX18" i="55"/>
  <c r="AS20" i="55"/>
  <c r="AS18" i="55"/>
  <c r="AR18" i="55"/>
  <c r="AQ18" i="55"/>
  <c r="AP18" i="55"/>
  <c r="AO18" i="55"/>
  <c r="AJ20" i="55"/>
  <c r="AI18" i="55"/>
  <c r="AH18" i="55"/>
  <c r="AG18" i="55"/>
  <c r="AF18" i="55"/>
  <c r="AA20" i="55"/>
  <c r="AA18" i="55"/>
  <c r="Z18" i="55"/>
  <c r="Y18" i="55"/>
  <c r="X18" i="55"/>
  <c r="W18" i="55"/>
  <c r="R20" i="55"/>
  <c r="R18" i="55"/>
  <c r="Q18" i="55"/>
  <c r="P18" i="55"/>
  <c r="O18" i="55"/>
  <c r="N18" i="55"/>
  <c r="I28" i="55"/>
  <c r="H28" i="55"/>
  <c r="G28" i="55"/>
  <c r="I20" i="55"/>
  <c r="H18" i="55"/>
  <c r="G18" i="55"/>
  <c r="F18" i="55"/>
  <c r="Q20" i="55"/>
  <c r="W20" i="55"/>
  <c r="AD20" i="55"/>
  <c r="AO20" i="55"/>
  <c r="BA20" i="55"/>
  <c r="H20" i="55"/>
  <c r="L18" i="55"/>
  <c r="U18" i="55"/>
  <c r="AE18" i="55"/>
  <c r="AM18" i="55"/>
  <c r="AW18" i="55"/>
  <c r="D18" i="55"/>
  <c r="G91" i="47"/>
  <c r="H91" i="47"/>
  <c r="I91" i="47"/>
  <c r="J91" i="47"/>
  <c r="K91" i="47"/>
  <c r="C21" i="53"/>
  <c r="D21" i="53"/>
  <c r="C22" i="53"/>
  <c r="C26" i="53"/>
  <c r="D26" i="53"/>
  <c r="S14" i="61"/>
  <c r="R14" i="61"/>
  <c r="Q14" i="61"/>
  <c r="P14" i="61"/>
  <c r="O14" i="61"/>
  <c r="N14" i="61"/>
  <c r="X20" i="51"/>
  <c r="X21" i="51"/>
  <c r="X22" i="51"/>
  <c r="F42" i="51"/>
  <c r="F43" i="51"/>
  <c r="F44" i="51"/>
  <c r="F45" i="51"/>
  <c r="F46" i="51"/>
  <c r="F47" i="51"/>
  <c r="F48" i="51"/>
  <c r="F49" i="51"/>
  <c r="H32" i="47"/>
  <c r="H36" i="47"/>
  <c r="F28" i="55" l="1"/>
  <c r="O28" i="55"/>
  <c r="AG26" i="61"/>
  <c r="U28" i="55"/>
  <c r="AH26" i="61"/>
  <c r="AY28" i="55"/>
  <c r="AK26" i="61"/>
  <c r="AO28" i="55"/>
  <c r="AJ26" i="61"/>
  <c r="AE28" i="55"/>
  <c r="AI26" i="61"/>
  <c r="BA19" i="55"/>
  <c r="AO19" i="55"/>
  <c r="AD19" i="55"/>
  <c r="V19" i="55"/>
  <c r="R19" i="55"/>
  <c r="L28" i="55"/>
  <c r="AV28" i="55"/>
  <c r="AF28" i="55"/>
  <c r="AW28" i="55"/>
  <c r="V28" i="55"/>
  <c r="AP28" i="55"/>
  <c r="M28" i="55"/>
  <c r="W28" i="55"/>
  <c r="AG28" i="55"/>
  <c r="N28" i="55"/>
  <c r="X28" i="55"/>
  <c r="AV20" i="55"/>
  <c r="AD28" i="55"/>
  <c r="AN28" i="55"/>
  <c r="AX28" i="55"/>
  <c r="AM28" i="55"/>
  <c r="AR20" i="55"/>
  <c r="AY20" i="55"/>
  <c r="AJ19" i="55"/>
  <c r="AM20" i="55"/>
  <c r="AP20" i="55"/>
  <c r="AD18" i="55"/>
  <c r="AN18" i="55"/>
  <c r="AQ20" i="55"/>
  <c r="W19" i="55"/>
  <c r="AE20" i="55"/>
  <c r="AI19" i="55"/>
  <c r="N20" i="55"/>
  <c r="AH19" i="55"/>
  <c r="AG20" i="55"/>
  <c r="AR19" i="55"/>
  <c r="AV19" i="55"/>
  <c r="AW20" i="55"/>
  <c r="L20" i="55"/>
  <c r="AF20" i="55"/>
  <c r="AQ19" i="55"/>
  <c r="AG19" i="55"/>
  <c r="AH20" i="55"/>
  <c r="AS19" i="55"/>
  <c r="AV18" i="55"/>
  <c r="AW19" i="55"/>
  <c r="AX20" i="55"/>
  <c r="AP19" i="55"/>
  <c r="BB19" i="55"/>
  <c r="AF19" i="55"/>
  <c r="AX19" i="55"/>
  <c r="AE19" i="55"/>
  <c r="AM19" i="55"/>
  <c r="AN20" i="55"/>
  <c r="AY19" i="55"/>
  <c r="AZ20" i="55"/>
  <c r="AI20" i="55"/>
  <c r="AN19" i="55"/>
  <c r="AZ19" i="55"/>
  <c r="Y19" i="55"/>
  <c r="V18" i="55"/>
  <c r="X20" i="55"/>
  <c r="Z20" i="55"/>
  <c r="M19" i="55"/>
  <c r="L19" i="55"/>
  <c r="M20" i="55"/>
  <c r="X19" i="55"/>
  <c r="Y20" i="55"/>
  <c r="M18" i="55"/>
  <c r="N19" i="55"/>
  <c r="O20" i="55"/>
  <c r="Z19" i="55"/>
  <c r="O19" i="55"/>
  <c r="P20" i="55"/>
  <c r="AA19" i="55"/>
  <c r="P19" i="55"/>
  <c r="U20" i="55"/>
  <c r="Q19" i="55"/>
  <c r="U19" i="55"/>
  <c r="V20" i="55"/>
  <c r="D28" i="55"/>
  <c r="C28" i="55"/>
  <c r="E28" i="55"/>
  <c r="C20" i="55"/>
  <c r="D20" i="55"/>
  <c r="C18" i="55"/>
  <c r="E20" i="55"/>
  <c r="F20" i="55"/>
  <c r="G20" i="55"/>
  <c r="X41" i="51"/>
  <c r="X42" i="51"/>
  <c r="X43" i="51"/>
  <c r="X44" i="51"/>
  <c r="X45" i="51"/>
  <c r="X46" i="51"/>
  <c r="X47" i="51"/>
  <c r="X48" i="51"/>
  <c r="X49" i="51"/>
  <c r="V49" i="51"/>
  <c r="W49" i="51" s="1"/>
  <c r="V48" i="51"/>
  <c r="W48" i="51" s="1"/>
  <c r="V47" i="51"/>
  <c r="W47" i="51" s="1"/>
  <c r="V46" i="51"/>
  <c r="W46" i="51" s="1"/>
  <c r="V45" i="51"/>
  <c r="W45" i="51" s="1"/>
  <c r="V44" i="51"/>
  <c r="W44" i="51" s="1"/>
  <c r="V43" i="51"/>
  <c r="W43" i="51" s="1"/>
  <c r="V42" i="51"/>
  <c r="W42" i="51" s="1"/>
  <c r="V41" i="51"/>
  <c r="W41" i="51" s="1"/>
  <c r="F20" i="51"/>
  <c r="G20" i="51" s="1"/>
  <c r="O20" i="51"/>
  <c r="T20" i="51" s="1"/>
  <c r="V20" i="51"/>
  <c r="W20" i="51" s="1"/>
  <c r="F21" i="51"/>
  <c r="G21" i="51" s="1"/>
  <c r="O21" i="51"/>
  <c r="V21" i="51"/>
  <c r="W21" i="51" s="1"/>
  <c r="H22" i="51"/>
  <c r="G22" i="51"/>
  <c r="I22" i="51"/>
  <c r="O22" i="51"/>
  <c r="V22" i="51"/>
  <c r="W22" i="51" s="1"/>
  <c r="M11" i="51"/>
  <c r="N11" i="51"/>
  <c r="L11" i="51"/>
  <c r="O40" i="51"/>
  <c r="O39" i="51"/>
  <c r="O38" i="51"/>
  <c r="O37" i="51"/>
  <c r="O36" i="51"/>
  <c r="O35" i="51"/>
  <c r="O34" i="51"/>
  <c r="O33" i="51"/>
  <c r="O32" i="51"/>
  <c r="O31" i="51"/>
  <c r="O30" i="51"/>
  <c r="O29" i="51"/>
  <c r="O28" i="51"/>
  <c r="O13" i="51" s="1"/>
  <c r="N23" i="51"/>
  <c r="N24" i="51" s="1"/>
  <c r="M23" i="51"/>
  <c r="M24" i="51" s="1"/>
  <c r="L23" i="51"/>
  <c r="L24" i="51" s="1"/>
  <c r="O19" i="51"/>
  <c r="O18" i="51"/>
  <c r="O17" i="51"/>
  <c r="AM24" i="55" l="1"/>
  <c r="I25" i="53" s="1"/>
  <c r="L14" i="55"/>
  <c r="F24" i="53" s="1"/>
  <c r="AD14" i="55"/>
  <c r="H24" i="53" s="1"/>
  <c r="H21" i="51"/>
  <c r="T30" i="51"/>
  <c r="T37" i="51"/>
  <c r="T36" i="51"/>
  <c r="T34" i="51"/>
  <c r="R20" i="51"/>
  <c r="Q20" i="51"/>
  <c r="T33" i="51"/>
  <c r="T21" i="51"/>
  <c r="Q21" i="51"/>
  <c r="T31" i="51"/>
  <c r="T39" i="51"/>
  <c r="T32" i="51"/>
  <c r="T40" i="51"/>
  <c r="R22" i="51"/>
  <c r="Q22" i="51"/>
  <c r="AM14" i="55"/>
  <c r="I24" i="53" s="1"/>
  <c r="AV24" i="55"/>
  <c r="J25" i="53" s="1"/>
  <c r="L24" i="55"/>
  <c r="F25" i="53" s="1"/>
  <c r="U24" i="55"/>
  <c r="G25" i="53" s="1"/>
  <c r="U14" i="55"/>
  <c r="G24" i="53" s="1"/>
  <c r="AD24" i="55"/>
  <c r="H25" i="53" s="1"/>
  <c r="AV14" i="55"/>
  <c r="J24" i="53" s="1"/>
  <c r="R21" i="51"/>
  <c r="T38" i="51"/>
  <c r="T35" i="51"/>
  <c r="T29" i="51"/>
  <c r="I21" i="51"/>
  <c r="R29" i="51"/>
  <c r="R30" i="51"/>
  <c r="R38" i="51"/>
  <c r="T22" i="51"/>
  <c r="I20" i="51"/>
  <c r="R31" i="51"/>
  <c r="R39" i="51"/>
  <c r="H20" i="51"/>
  <c r="R32" i="51"/>
  <c r="R40" i="51"/>
  <c r="R37" i="51"/>
  <c r="R33" i="51"/>
  <c r="R36" i="51"/>
  <c r="R35" i="51"/>
  <c r="R34" i="51"/>
  <c r="Q17" i="51"/>
  <c r="D63" i="51" s="1"/>
  <c r="Q18" i="51"/>
  <c r="Q19" i="51"/>
  <c r="T19" i="51"/>
  <c r="R19" i="51"/>
  <c r="R17" i="51"/>
  <c r="T18" i="51"/>
  <c r="R18" i="51"/>
  <c r="O12" i="51"/>
  <c r="O11" i="51" s="1"/>
  <c r="T17" i="51"/>
  <c r="O23" i="51"/>
  <c r="O24" i="51" s="1"/>
  <c r="G27" i="53" l="1"/>
  <c r="H99" i="61"/>
  <c r="H98" i="61"/>
  <c r="H100" i="61"/>
  <c r="I27" i="53"/>
  <c r="AJ106" i="61" s="1"/>
  <c r="AJ111" i="61" s="1"/>
  <c r="AR111" i="61" s="1"/>
  <c r="J99" i="61"/>
  <c r="J100" i="61"/>
  <c r="J98" i="61"/>
  <c r="H27" i="53"/>
  <c r="AI106" i="61" s="1"/>
  <c r="AI111" i="61" s="1"/>
  <c r="AQ111" i="61" s="1"/>
  <c r="I100" i="61"/>
  <c r="I99" i="61"/>
  <c r="I98" i="61"/>
  <c r="J27" i="53"/>
  <c r="AK106" i="61" s="1"/>
  <c r="AK111" i="61" s="1"/>
  <c r="AS111" i="61" s="1"/>
  <c r="K99" i="61"/>
  <c r="K100" i="61"/>
  <c r="K98" i="61"/>
  <c r="F27" i="53"/>
  <c r="AG106" i="61" s="1"/>
  <c r="AG111" i="61" s="1"/>
  <c r="AO111" i="61" s="1"/>
  <c r="G99" i="61"/>
  <c r="G98" i="61"/>
  <c r="G100" i="61"/>
  <c r="AS106" i="61"/>
  <c r="AR106" i="61"/>
  <c r="AQ106" i="61"/>
  <c r="AO106" i="61"/>
  <c r="P39" i="61"/>
  <c r="P38" i="61" s="1"/>
  <c r="P48" i="61" s="1"/>
  <c r="Z48" i="61" s="1"/>
  <c r="AP106" i="61"/>
  <c r="G11" i="61"/>
  <c r="O39" i="61"/>
  <c r="S110" i="61"/>
  <c r="S109" i="61"/>
  <c r="S114" i="61"/>
  <c r="S111" i="61"/>
  <c r="S113" i="61"/>
  <c r="AC77" i="61"/>
  <c r="AC79" i="61"/>
  <c r="AC78" i="61"/>
  <c r="AC98" i="61"/>
  <c r="S112" i="61"/>
  <c r="AC97" i="61"/>
  <c r="R112" i="61"/>
  <c r="R113" i="61"/>
  <c r="R110" i="61"/>
  <c r="R111" i="61"/>
  <c r="R114" i="61"/>
  <c r="AB79" i="61"/>
  <c r="AB77" i="61"/>
  <c r="AB98" i="61"/>
  <c r="AB97" i="61"/>
  <c r="R109" i="61"/>
  <c r="AB78" i="61"/>
  <c r="P112" i="61"/>
  <c r="P113" i="61"/>
  <c r="P109" i="61"/>
  <c r="P111" i="61"/>
  <c r="P114" i="61"/>
  <c r="Z78" i="61"/>
  <c r="Z79" i="61"/>
  <c r="Z77" i="61"/>
  <c r="Z98" i="61"/>
  <c r="Z97" i="61"/>
  <c r="P110" i="61"/>
  <c r="O111" i="61"/>
  <c r="O110" i="61"/>
  <c r="O113" i="61"/>
  <c r="O109" i="61"/>
  <c r="O114" i="61"/>
  <c r="Y77" i="61"/>
  <c r="Y97" i="61"/>
  <c r="Y79" i="61"/>
  <c r="Y78" i="61"/>
  <c r="Y98" i="61"/>
  <c r="O112" i="61"/>
  <c r="Q109" i="61"/>
  <c r="Q111" i="61"/>
  <c r="Q113" i="61"/>
  <c r="Q112" i="61"/>
  <c r="Q114" i="61"/>
  <c r="AA79" i="61"/>
  <c r="AA77" i="61"/>
  <c r="AA78" i="61"/>
  <c r="AA97" i="61"/>
  <c r="AA98" i="61"/>
  <c r="Q110" i="61"/>
  <c r="G12" i="61"/>
  <c r="G13" i="61"/>
  <c r="I12" i="61"/>
  <c r="I13" i="61"/>
  <c r="I11" i="61"/>
  <c r="J13" i="61"/>
  <c r="J11" i="61"/>
  <c r="J12" i="61"/>
  <c r="K13" i="61"/>
  <c r="K12" i="61"/>
  <c r="K11" i="61"/>
  <c r="H12" i="61"/>
  <c r="H11" i="61"/>
  <c r="H13" i="61"/>
  <c r="S39" i="61"/>
  <c r="S36" i="61" s="1"/>
  <c r="S46" i="61" s="1"/>
  <c r="AC46" i="61" s="1"/>
  <c r="R39" i="61"/>
  <c r="R38" i="61" s="1"/>
  <c r="R48" i="61" s="1"/>
  <c r="AB48" i="61" s="1"/>
  <c r="Q39" i="61"/>
  <c r="Q36" i="61" s="1"/>
  <c r="Q46" i="61" s="1"/>
  <c r="AA46" i="61" s="1"/>
  <c r="O81" i="61"/>
  <c r="R81" i="61"/>
  <c r="P57" i="61"/>
  <c r="S57" i="61"/>
  <c r="Q57" i="61"/>
  <c r="P81" i="61"/>
  <c r="S81" i="61"/>
  <c r="R57" i="61"/>
  <c r="Q81" i="61"/>
  <c r="Z39" i="61"/>
  <c r="AP36" i="61"/>
  <c r="AA39" i="61"/>
  <c r="AQ36" i="61"/>
  <c r="AC39" i="61"/>
  <c r="AS36" i="61"/>
  <c r="AB39" i="61"/>
  <c r="AR36" i="61"/>
  <c r="Y39" i="61"/>
  <c r="AO36" i="61"/>
  <c r="AH106" i="61"/>
  <c r="AH111" i="61" s="1"/>
  <c r="AP111" i="61" s="1"/>
  <c r="C14" i="41"/>
  <c r="C15" i="41"/>
  <c r="C13" i="41"/>
  <c r="C12" i="41"/>
  <c r="C11" i="41"/>
  <c r="AP97" i="61" l="1"/>
  <c r="H105" i="61" s="1"/>
  <c r="AR97" i="61"/>
  <c r="J105" i="61" s="1"/>
  <c r="AQ97" i="61"/>
  <c r="I105" i="61" s="1"/>
  <c r="AO97" i="61"/>
  <c r="G105" i="61" s="1"/>
  <c r="AS97" i="61"/>
  <c r="K105" i="61" s="1"/>
  <c r="S37" i="61"/>
  <c r="S47" i="61" s="1"/>
  <c r="AC47" i="61" s="1"/>
  <c r="S38" i="61"/>
  <c r="S48" i="61" s="1"/>
  <c r="AC48" i="61" s="1"/>
  <c r="P37" i="61"/>
  <c r="P47" i="61" s="1"/>
  <c r="Z47" i="61" s="1"/>
  <c r="P36" i="61"/>
  <c r="P46" i="61" s="1"/>
  <c r="Z46" i="61" s="1"/>
  <c r="Q37" i="61"/>
  <c r="Q47" i="61" s="1"/>
  <c r="AA47" i="61" s="1"/>
  <c r="Q38" i="61"/>
  <c r="Q48" i="61" s="1"/>
  <c r="AA48" i="61" s="1"/>
  <c r="R36" i="61"/>
  <c r="R46" i="61" s="1"/>
  <c r="AB46" i="61" s="1"/>
  <c r="P115" i="61"/>
  <c r="R37" i="61"/>
  <c r="R47" i="61" s="1"/>
  <c r="AB47" i="61" s="1"/>
  <c r="R115" i="61"/>
  <c r="Q115" i="61"/>
  <c r="S115" i="61"/>
  <c r="O115" i="61"/>
  <c r="AI36" i="61"/>
  <c r="AI46" i="61" s="1"/>
  <c r="AQ46" i="61" s="1"/>
  <c r="AI77" i="61"/>
  <c r="AJ36" i="61"/>
  <c r="AJ46" i="61" s="1"/>
  <c r="AR46" i="61" s="1"/>
  <c r="AJ77" i="61"/>
  <c r="AH36" i="61"/>
  <c r="AH46" i="61" s="1"/>
  <c r="AP46" i="61" s="1"/>
  <c r="AH77" i="61"/>
  <c r="AK36" i="61"/>
  <c r="AK46" i="61" s="1"/>
  <c r="AS46" i="61" s="1"/>
  <c r="AK77" i="61"/>
  <c r="AG36" i="61"/>
  <c r="AG46" i="61" s="1"/>
  <c r="AO46" i="61" s="1"/>
  <c r="AG77" i="61"/>
  <c r="G30" i="47"/>
  <c r="F30" i="47"/>
  <c r="Y99" i="61" l="1"/>
  <c r="AC99" i="61"/>
  <c r="Z99" i="61"/>
  <c r="AB99" i="61"/>
  <c r="AB100" i="61" s="1"/>
  <c r="AA99" i="61"/>
  <c r="AI86" i="61"/>
  <c r="AQ86" i="61" s="1"/>
  <c r="AQ67" i="61" s="1"/>
  <c r="I75" i="61" s="1"/>
  <c r="AK86" i="61"/>
  <c r="AS86" i="61" s="1"/>
  <c r="AS67" i="61" s="1"/>
  <c r="K75" i="61" s="1"/>
  <c r="AH86" i="61"/>
  <c r="AP86" i="61" s="1"/>
  <c r="AP67" i="61" s="1"/>
  <c r="H75" i="61" s="1"/>
  <c r="AJ86" i="61"/>
  <c r="AR86" i="61" s="1"/>
  <c r="AR67" i="61" s="1"/>
  <c r="J75" i="61" s="1"/>
  <c r="AG86" i="61"/>
  <c r="AO86" i="61" s="1"/>
  <c r="AO67" i="61" s="1"/>
  <c r="G75" i="61" s="1"/>
  <c r="AB80" i="61"/>
  <c r="AA80" i="61"/>
  <c r="Z80" i="61"/>
  <c r="Y80" i="61"/>
  <c r="AC80" i="61"/>
  <c r="G76" i="53"/>
  <c r="G78" i="53"/>
  <c r="G79" i="53"/>
  <c r="G80" i="53"/>
  <c r="G81" i="53"/>
  <c r="G82" i="53"/>
  <c r="G85" i="53"/>
  <c r="G86" i="53"/>
  <c r="G87" i="53"/>
  <c r="G88" i="53"/>
  <c r="G89" i="53"/>
  <c r="G90" i="53"/>
  <c r="G91" i="53"/>
  <c r="G92" i="53"/>
  <c r="G93" i="53"/>
  <c r="G94" i="53"/>
  <c r="C94" i="53"/>
  <c r="C93" i="53"/>
  <c r="C92" i="53"/>
  <c r="C91" i="53"/>
  <c r="C90" i="53"/>
  <c r="C58" i="55"/>
  <c r="C57" i="55"/>
  <c r="C56" i="55"/>
  <c r="C55" i="55"/>
  <c r="C54" i="55"/>
  <c r="C77" i="53"/>
  <c r="C78" i="53"/>
  <c r="C79" i="53"/>
  <c r="C80" i="53"/>
  <c r="C81" i="53"/>
  <c r="C82" i="53"/>
  <c r="C85" i="53"/>
  <c r="C86" i="53"/>
  <c r="C87" i="53"/>
  <c r="C88" i="53"/>
  <c r="C89" i="53"/>
  <c r="C76" i="53"/>
  <c r="C41" i="55"/>
  <c r="C42" i="55"/>
  <c r="C43" i="55"/>
  <c r="C44" i="55"/>
  <c r="C45" i="55"/>
  <c r="C46" i="55"/>
  <c r="C49" i="55"/>
  <c r="C50" i="55"/>
  <c r="C51" i="55"/>
  <c r="C52" i="55"/>
  <c r="C53" i="55"/>
  <c r="C40" i="55"/>
  <c r="F76" i="53" l="1"/>
  <c r="Z100" i="61"/>
  <c r="AC100" i="61"/>
  <c r="Y100" i="61"/>
  <c r="AA100" i="61"/>
  <c r="F88" i="53"/>
  <c r="F78" i="53"/>
  <c r="F86" i="53"/>
  <c r="F93" i="53"/>
  <c r="F91" i="53"/>
  <c r="F94" i="53"/>
  <c r="F87" i="53"/>
  <c r="F77" i="53"/>
  <c r="F92" i="53"/>
  <c r="F82" i="53"/>
  <c r="F81" i="53"/>
  <c r="F90" i="53"/>
  <c r="F80" i="53"/>
  <c r="F85" i="53"/>
  <c r="F89" i="53"/>
  <c r="F79" i="53"/>
  <c r="C15" i="46"/>
  <c r="X89" i="61" l="1"/>
  <c r="AA89" i="61"/>
  <c r="AC89" i="61"/>
  <c r="Z89" i="61"/>
  <c r="AB89" i="61"/>
  <c r="Y89" i="61"/>
  <c r="AB88" i="61" l="1"/>
  <c r="AB69" i="61" s="1"/>
  <c r="J70" i="61" s="1"/>
  <c r="AB87" i="61"/>
  <c r="AB68" i="61" s="1"/>
  <c r="J69" i="61" s="1"/>
  <c r="AB86" i="61"/>
  <c r="AB67" i="61" s="1"/>
  <c r="Z87" i="61"/>
  <c r="Z68" i="61" s="1"/>
  <c r="H69" i="61" s="1"/>
  <c r="Z88" i="61"/>
  <c r="Z69" i="61" s="1"/>
  <c r="H70" i="61" s="1"/>
  <c r="Z86" i="61"/>
  <c r="Z67" i="61" s="1"/>
  <c r="Y88" i="61"/>
  <c r="Y87" i="61"/>
  <c r="Y86" i="61"/>
  <c r="Y67" i="61"/>
  <c r="Y68" i="61"/>
  <c r="G69" i="61" s="1"/>
  <c r="Y69" i="61"/>
  <c r="G70" i="61" s="1"/>
  <c r="AC88" i="61"/>
  <c r="AC69" i="61" s="1"/>
  <c r="K70" i="61" s="1"/>
  <c r="AC87" i="61"/>
  <c r="AC68" i="61" s="1"/>
  <c r="K69" i="61" s="1"/>
  <c r="AC86" i="61"/>
  <c r="AC67" i="61" s="1"/>
  <c r="AA88" i="61"/>
  <c r="AA69" i="61" s="1"/>
  <c r="I70" i="61" s="1"/>
  <c r="AA87" i="61"/>
  <c r="AA68" i="61" s="1"/>
  <c r="I69" i="61" s="1"/>
  <c r="AA86" i="61"/>
  <c r="AA67" i="61" s="1"/>
  <c r="F91" i="47"/>
  <c r="J68" i="61" l="1"/>
  <c r="AB70" i="61"/>
  <c r="Y70" i="61"/>
  <c r="G68" i="61"/>
  <c r="K68" i="61"/>
  <c r="AC70" i="61"/>
  <c r="I68" i="61"/>
  <c r="AA70" i="61"/>
  <c r="H68" i="61"/>
  <c r="Z70" i="61"/>
  <c r="E19" i="55"/>
  <c r="H19" i="55"/>
  <c r="C19" i="55"/>
  <c r="G19" i="55"/>
  <c r="I19" i="55"/>
  <c r="F19" i="55"/>
  <c r="D19" i="55"/>
  <c r="C14" i="55" l="1"/>
  <c r="E24" i="53" s="1"/>
  <c r="Q49" i="51"/>
  <c r="X30" i="51"/>
  <c r="X31" i="51"/>
  <c r="X32" i="51"/>
  <c r="X33" i="51"/>
  <c r="X34" i="51"/>
  <c r="X35" i="51"/>
  <c r="X36" i="51"/>
  <c r="X37" i="51"/>
  <c r="X38" i="51"/>
  <c r="X39" i="51"/>
  <c r="X40" i="51"/>
  <c r="X29" i="51"/>
  <c r="X19" i="51"/>
  <c r="X18" i="51"/>
  <c r="X17" i="51"/>
  <c r="F99" i="61" l="1"/>
  <c r="F98" i="61"/>
  <c r="F100" i="61"/>
  <c r="E27" i="53"/>
  <c r="AN106" i="61"/>
  <c r="X98" i="61"/>
  <c r="N109" i="61"/>
  <c r="F11" i="61"/>
  <c r="C11" i="61" s="1"/>
  <c r="AN36" i="61"/>
  <c r="X77" i="61"/>
  <c r="N111" i="61"/>
  <c r="N114" i="61"/>
  <c r="N110" i="61"/>
  <c r="N112" i="61"/>
  <c r="N113" i="61"/>
  <c r="N39" i="61"/>
  <c r="X39" i="61"/>
  <c r="X97" i="61"/>
  <c r="X79" i="61"/>
  <c r="X78" i="61"/>
  <c r="F13" i="61"/>
  <c r="F12" i="61"/>
  <c r="T49" i="51"/>
  <c r="R49" i="51"/>
  <c r="C121" i="47"/>
  <c r="C131" i="43" s="1"/>
  <c r="C118" i="47"/>
  <c r="C53" i="43" s="1"/>
  <c r="C119" i="47"/>
  <c r="C29" i="43" s="1"/>
  <c r="C120" i="47"/>
  <c r="C30" i="43" s="1"/>
  <c r="C98" i="61" l="1"/>
  <c r="N115" i="61"/>
  <c r="X99" i="61" s="1"/>
  <c r="X100" i="61" s="1"/>
  <c r="AF106" i="61"/>
  <c r="AF111" i="61" s="1"/>
  <c r="AN111" i="61" s="1"/>
  <c r="AF77" i="61"/>
  <c r="AF86" i="61" s="1"/>
  <c r="AN86" i="61" s="1"/>
  <c r="AN67" i="61" s="1"/>
  <c r="AF36" i="61"/>
  <c r="AF46" i="61" s="1"/>
  <c r="X80" i="61"/>
  <c r="C55" i="43"/>
  <c r="C54" i="43"/>
  <c r="C181" i="43"/>
  <c r="C231" i="43"/>
  <c r="C156" i="43"/>
  <c r="C206" i="43"/>
  <c r="C56" i="43"/>
  <c r="C130" i="43"/>
  <c r="C28" i="43"/>
  <c r="C81" i="43"/>
  <c r="C129" i="43"/>
  <c r="C31" i="43"/>
  <c r="C80" i="43"/>
  <c r="C79" i="43"/>
  <c r="C106" i="43"/>
  <c r="C229" i="43"/>
  <c r="C154" i="43"/>
  <c r="C204" i="43"/>
  <c r="C179" i="43"/>
  <c r="C104" i="43"/>
  <c r="C180" i="43"/>
  <c r="C230" i="43"/>
  <c r="C155" i="43"/>
  <c r="C205" i="43"/>
  <c r="C105" i="43"/>
  <c r="F122" i="47"/>
  <c r="H122" i="47"/>
  <c r="I122" i="47"/>
  <c r="J122" i="47"/>
  <c r="K122" i="47"/>
  <c r="L122" i="47"/>
  <c r="M122" i="47"/>
  <c r="N122" i="47"/>
  <c r="G122" i="47"/>
  <c r="C115" i="47"/>
  <c r="E10" i="41" l="1"/>
  <c r="I77" i="47"/>
  <c r="H53" i="47"/>
  <c r="G53" i="47"/>
  <c r="H35" i="47" l="1"/>
  <c r="C31" i="47"/>
  <c r="C25" i="55" l="1"/>
  <c r="C24" i="55" s="1"/>
  <c r="E25" i="53" s="1"/>
  <c r="C19" i="46" l="1"/>
  <c r="C33" i="47"/>
  <c r="G75" i="47"/>
  <c r="H75" i="47"/>
  <c r="I75" i="47"/>
  <c r="J75" i="47"/>
  <c r="K75" i="47"/>
  <c r="L75" i="47"/>
  <c r="M75" i="47"/>
  <c r="N75" i="47"/>
  <c r="G76" i="47"/>
  <c r="H76" i="47"/>
  <c r="I76" i="47"/>
  <c r="J76" i="47"/>
  <c r="K76" i="47"/>
  <c r="L76" i="47"/>
  <c r="M76" i="47"/>
  <c r="N76" i="47"/>
  <c r="G77" i="47"/>
  <c r="H77" i="47"/>
  <c r="J77" i="47"/>
  <c r="K77" i="47"/>
  <c r="L77" i="47"/>
  <c r="M77" i="47"/>
  <c r="N77" i="47"/>
  <c r="F76" i="47"/>
  <c r="F77" i="47"/>
  <c r="F75" i="47"/>
  <c r="AN97" i="61" l="1"/>
  <c r="F105" i="61" s="1"/>
  <c r="C104" i="61" s="1"/>
  <c r="F78" i="47"/>
  <c r="H78" i="47"/>
  <c r="G78" i="47"/>
  <c r="N78" i="47"/>
  <c r="M78" i="47"/>
  <c r="L78" i="47"/>
  <c r="K78" i="47"/>
  <c r="J78" i="47"/>
  <c r="I78" i="47"/>
  <c r="C55" i="47"/>
  <c r="C56" i="47"/>
  <c r="C57" i="47"/>
  <c r="C58" i="47"/>
  <c r="C59" i="47"/>
  <c r="C60" i="47"/>
  <c r="C63" i="47"/>
  <c r="C64" i="47"/>
  <c r="C65" i="47"/>
  <c r="C66" i="47"/>
  <c r="C67" i="47"/>
  <c r="C68" i="47"/>
  <c r="C69" i="47"/>
  <c r="C70" i="47"/>
  <c r="C71" i="47"/>
  <c r="C72" i="47"/>
  <c r="C54" i="47"/>
  <c r="C152" i="47"/>
  <c r="C134" i="47"/>
  <c r="C135" i="47"/>
  <c r="C136" i="47"/>
  <c r="C137" i="47"/>
  <c r="C138" i="47"/>
  <c r="C139" i="47"/>
  <c r="C142" i="47"/>
  <c r="C143" i="47"/>
  <c r="C144" i="47"/>
  <c r="C145" i="47"/>
  <c r="C146" i="47"/>
  <c r="C147" i="47"/>
  <c r="C148" i="47"/>
  <c r="C149" i="47"/>
  <c r="C150" i="47"/>
  <c r="C151" i="47"/>
  <c r="C238" i="57"/>
  <c r="C220" i="57"/>
  <c r="C221" i="57"/>
  <c r="C222" i="57"/>
  <c r="C223" i="57"/>
  <c r="C224" i="57"/>
  <c r="C225" i="57"/>
  <c r="C228" i="57"/>
  <c r="C229" i="57"/>
  <c r="C230" i="57"/>
  <c r="C231" i="57"/>
  <c r="C232" i="57"/>
  <c r="C233" i="57"/>
  <c r="C234" i="57"/>
  <c r="C235" i="57"/>
  <c r="C236" i="57"/>
  <c r="C237" i="57"/>
  <c r="C194" i="57"/>
  <c r="C195" i="57"/>
  <c r="C196" i="57"/>
  <c r="C197" i="57"/>
  <c r="C198" i="57"/>
  <c r="C199" i="57"/>
  <c r="C202" i="57"/>
  <c r="C203" i="57"/>
  <c r="C204" i="57"/>
  <c r="C205" i="57"/>
  <c r="C206" i="57"/>
  <c r="C207" i="57"/>
  <c r="C208" i="57"/>
  <c r="C209" i="57"/>
  <c r="C210" i="57"/>
  <c r="C211" i="57"/>
  <c r="C168" i="57"/>
  <c r="C169" i="57"/>
  <c r="C170" i="57"/>
  <c r="C171" i="57"/>
  <c r="C172" i="57"/>
  <c r="C173" i="57"/>
  <c r="C176" i="57"/>
  <c r="C177" i="57"/>
  <c r="C178" i="57"/>
  <c r="C179" i="57"/>
  <c r="C180" i="57"/>
  <c r="C181" i="57"/>
  <c r="C182" i="57"/>
  <c r="C183" i="57"/>
  <c r="C184" i="57"/>
  <c r="C185" i="57"/>
  <c r="C142" i="57"/>
  <c r="C143" i="57"/>
  <c r="C144" i="57"/>
  <c r="C145" i="57"/>
  <c r="C146" i="57"/>
  <c r="C147" i="57"/>
  <c r="C150" i="57"/>
  <c r="C151" i="57"/>
  <c r="C152" i="57"/>
  <c r="C153" i="57"/>
  <c r="C154" i="57"/>
  <c r="C155" i="57"/>
  <c r="C156" i="57"/>
  <c r="C157" i="57"/>
  <c r="C158" i="57"/>
  <c r="C159" i="57"/>
  <c r="C167" i="57"/>
  <c r="C116" i="57"/>
  <c r="C117" i="57"/>
  <c r="C118" i="57"/>
  <c r="C119" i="57"/>
  <c r="C120" i="57"/>
  <c r="C121" i="57"/>
  <c r="C124" i="57"/>
  <c r="C125" i="57"/>
  <c r="C126" i="57"/>
  <c r="C127" i="57"/>
  <c r="C128" i="57"/>
  <c r="C129" i="57"/>
  <c r="C130" i="57"/>
  <c r="C131" i="57"/>
  <c r="C132" i="57"/>
  <c r="C133" i="57"/>
  <c r="C90" i="57"/>
  <c r="C91" i="57"/>
  <c r="C92" i="57"/>
  <c r="C93" i="57"/>
  <c r="C94" i="57"/>
  <c r="C95" i="57"/>
  <c r="C98" i="57"/>
  <c r="C99" i="57"/>
  <c r="C100" i="57"/>
  <c r="C101" i="57"/>
  <c r="C102" i="57"/>
  <c r="C103" i="57"/>
  <c r="C104" i="57"/>
  <c r="C105" i="57"/>
  <c r="C106" i="57"/>
  <c r="C107" i="57"/>
  <c r="C64" i="57"/>
  <c r="C65" i="57"/>
  <c r="C66" i="57"/>
  <c r="C67" i="57"/>
  <c r="C68" i="57"/>
  <c r="C69" i="57"/>
  <c r="C72" i="57"/>
  <c r="C73" i="57"/>
  <c r="C74" i="57"/>
  <c r="C75" i="57"/>
  <c r="C76" i="57"/>
  <c r="C77" i="57"/>
  <c r="C78" i="57"/>
  <c r="C79" i="57"/>
  <c r="C80" i="57"/>
  <c r="C81" i="57"/>
  <c r="C38" i="57"/>
  <c r="C39" i="57"/>
  <c r="C40" i="57"/>
  <c r="C41" i="57"/>
  <c r="C42" i="57"/>
  <c r="C43" i="57"/>
  <c r="C46" i="57"/>
  <c r="C47" i="57"/>
  <c r="C48" i="57"/>
  <c r="C49" i="57"/>
  <c r="C50" i="57"/>
  <c r="C51" i="57"/>
  <c r="C52" i="57"/>
  <c r="C53" i="57"/>
  <c r="C54" i="57"/>
  <c r="C55" i="57"/>
  <c r="C12" i="57"/>
  <c r="C13" i="57"/>
  <c r="C14" i="57"/>
  <c r="C15" i="57"/>
  <c r="C16" i="57"/>
  <c r="C17" i="57"/>
  <c r="C20" i="57"/>
  <c r="C21" i="57"/>
  <c r="C22" i="57"/>
  <c r="C23" i="57"/>
  <c r="C24" i="57"/>
  <c r="C25" i="57"/>
  <c r="C26" i="57"/>
  <c r="C27" i="57"/>
  <c r="C28" i="57"/>
  <c r="C29" i="57"/>
  <c r="C219" i="57" l="1"/>
  <c r="C193" i="57"/>
  <c r="C141" i="57"/>
  <c r="C115" i="57"/>
  <c r="C89" i="57"/>
  <c r="C63" i="57"/>
  <c r="C62" i="57"/>
  <c r="C37" i="57"/>
  <c r="C36" i="57"/>
  <c r="C11" i="57"/>
  <c r="C10" i="57"/>
  <c r="F6" i="57"/>
  <c r="D6" i="57"/>
  <c r="AR26" i="61" l="1"/>
  <c r="J34" i="61" s="1"/>
  <c r="AQ26" i="61"/>
  <c r="I34" i="61" s="1"/>
  <c r="AP26" i="61"/>
  <c r="H34" i="61" s="1"/>
  <c r="AS26" i="61"/>
  <c r="K34" i="61" s="1"/>
  <c r="AO26" i="61"/>
  <c r="G34" i="61" s="1"/>
  <c r="C99" i="61" l="1"/>
  <c r="C13" i="61"/>
  <c r="C12" i="61"/>
  <c r="AN46" i="61" l="1"/>
  <c r="AN26" i="61" s="1"/>
  <c r="E10" i="53"/>
  <c r="D10" i="53"/>
  <c r="C23" i="51" l="1"/>
  <c r="C11" i="51"/>
  <c r="Q42" i="51"/>
  <c r="Q43" i="51"/>
  <c r="Q44" i="51"/>
  <c r="Q45" i="51"/>
  <c r="Q46" i="51"/>
  <c r="Q47" i="51"/>
  <c r="Q48" i="51"/>
  <c r="I41" i="51"/>
  <c r="I42" i="51"/>
  <c r="I43" i="51"/>
  <c r="I44" i="51"/>
  <c r="I45" i="51"/>
  <c r="I46" i="51"/>
  <c r="I47" i="51"/>
  <c r="I48" i="51"/>
  <c r="I49" i="51"/>
  <c r="H41" i="51"/>
  <c r="H42" i="51"/>
  <c r="H43" i="51"/>
  <c r="H44" i="51"/>
  <c r="H45" i="51"/>
  <c r="H46" i="51"/>
  <c r="H47" i="51"/>
  <c r="H48" i="51"/>
  <c r="H49" i="51"/>
  <c r="L50" i="51"/>
  <c r="D50" i="51"/>
  <c r="D51" i="51" s="1"/>
  <c r="E50" i="51"/>
  <c r="E51" i="51" s="1"/>
  <c r="C50" i="51"/>
  <c r="C51" i="51" s="1"/>
  <c r="I52" i="51"/>
  <c r="J52" i="51" s="1"/>
  <c r="I53" i="51"/>
  <c r="J53" i="51" s="1"/>
  <c r="C13" i="46"/>
  <c r="L10" i="57" s="1"/>
  <c r="E23" i="51"/>
  <c r="E24" i="51" s="1"/>
  <c r="D23" i="51"/>
  <c r="D24" i="51" s="1"/>
  <c r="E11" i="51"/>
  <c r="D11" i="51"/>
  <c r="D4" i="51"/>
  <c r="C4" i="51"/>
  <c r="C133" i="47"/>
  <c r="P118" i="47"/>
  <c r="C203" i="43"/>
  <c r="P117" i="47"/>
  <c r="C117" i="47"/>
  <c r="C226" i="43" s="1"/>
  <c r="P116" i="47"/>
  <c r="C116" i="47"/>
  <c r="C150" i="43" s="1"/>
  <c r="P115" i="47"/>
  <c r="C99" i="43"/>
  <c r="P114" i="47"/>
  <c r="C114" i="47"/>
  <c r="C198" i="43" s="1"/>
  <c r="P113" i="47"/>
  <c r="C113" i="47"/>
  <c r="C172" i="43" s="1"/>
  <c r="P112" i="47"/>
  <c r="C112" i="47"/>
  <c r="P111" i="47"/>
  <c r="C111" i="47"/>
  <c r="C195" i="43" s="1"/>
  <c r="P110" i="47"/>
  <c r="C110" i="47"/>
  <c r="C144" i="43" s="1"/>
  <c r="P109" i="47"/>
  <c r="C109" i="47"/>
  <c r="C218" i="43" s="1"/>
  <c r="P108" i="47"/>
  <c r="C108" i="47"/>
  <c r="C192" i="43" s="1"/>
  <c r="P107" i="47"/>
  <c r="C107" i="47"/>
  <c r="C41" i="43" s="1"/>
  <c r="P106" i="47"/>
  <c r="C106" i="47"/>
  <c r="C140" i="43" s="1"/>
  <c r="P105" i="47"/>
  <c r="C105" i="47"/>
  <c r="C189" i="43" s="1"/>
  <c r="P104" i="47"/>
  <c r="C104" i="47"/>
  <c r="C188" i="43" s="1"/>
  <c r="P103" i="47"/>
  <c r="C103" i="47"/>
  <c r="C162" i="43" s="1"/>
  <c r="P102" i="47"/>
  <c r="C102" i="47"/>
  <c r="C136" i="43" s="1"/>
  <c r="H101" i="47"/>
  <c r="G101" i="47"/>
  <c r="F101" i="47"/>
  <c r="F53" i="47"/>
  <c r="H48" i="47"/>
  <c r="H47" i="47"/>
  <c r="H46" i="47"/>
  <c r="H45" i="47"/>
  <c r="H44" i="47"/>
  <c r="H43" i="47"/>
  <c r="H42" i="47"/>
  <c r="H41" i="47"/>
  <c r="H40" i="47"/>
  <c r="H39" i="47"/>
  <c r="H38" i="47"/>
  <c r="H37" i="47"/>
  <c r="H34" i="47"/>
  <c r="H33" i="47"/>
  <c r="H31" i="47"/>
  <c r="G29" i="47"/>
  <c r="F29" i="47"/>
  <c r="N12" i="47"/>
  <c r="M12" i="47"/>
  <c r="L12" i="47"/>
  <c r="K12" i="47"/>
  <c r="J12" i="47"/>
  <c r="I12" i="47"/>
  <c r="H12" i="47"/>
  <c r="G12" i="47"/>
  <c r="H11" i="47"/>
  <c r="G11" i="47"/>
  <c r="F11" i="47"/>
  <c r="F6" i="47"/>
  <c r="D6" i="47"/>
  <c r="F28" i="47" s="1"/>
  <c r="C153" i="43"/>
  <c r="C60" i="43"/>
  <c r="C35" i="43"/>
  <c r="C10" i="43"/>
  <c r="F6" i="43"/>
  <c r="D6" i="43"/>
  <c r="F24" i="41"/>
  <c r="E24" i="41"/>
  <c r="D24" i="41"/>
  <c r="E22" i="41"/>
  <c r="F10" i="41"/>
  <c r="D10" i="41"/>
  <c r="E6" i="41"/>
  <c r="D6" i="41"/>
  <c r="C20" i="40"/>
  <c r="C19" i="40"/>
  <c r="C18" i="40"/>
  <c r="C17" i="40"/>
  <c r="C16" i="40"/>
  <c r="C15" i="40"/>
  <c r="C14" i="40"/>
  <c r="C13" i="40"/>
  <c r="F12" i="40"/>
  <c r="E12" i="40"/>
  <c r="D12" i="40"/>
  <c r="F6" i="40"/>
  <c r="D6" i="40"/>
  <c r="B23" i="50"/>
  <c r="E17" i="50"/>
  <c r="D17" i="50"/>
  <c r="C17" i="50"/>
  <c r="E4" i="50"/>
  <c r="C4" i="50"/>
  <c r="N45" i="57" l="1"/>
  <c r="F71" i="57"/>
  <c r="F18" i="57"/>
  <c r="N44" i="57"/>
  <c r="F19" i="57"/>
  <c r="N71" i="57"/>
  <c r="F70" i="57"/>
  <c r="F44" i="57"/>
  <c r="N70" i="57"/>
  <c r="N46" i="57"/>
  <c r="F45" i="57"/>
  <c r="N20" i="57"/>
  <c r="N19" i="57"/>
  <c r="N18" i="57"/>
  <c r="N63" i="57"/>
  <c r="F63" i="57"/>
  <c r="N37" i="57"/>
  <c r="F37" i="57"/>
  <c r="N11" i="57"/>
  <c r="F11" i="57"/>
  <c r="F12" i="57"/>
  <c r="F75" i="61"/>
  <c r="C74" i="61" s="1"/>
  <c r="F34" i="61"/>
  <c r="C33" i="61" s="1"/>
  <c r="D61" i="55" s="1" a="1"/>
  <c r="D61" i="55" s="1"/>
  <c r="C25" i="41"/>
  <c r="C100" i="61"/>
  <c r="F11" i="51"/>
  <c r="C24" i="51"/>
  <c r="F23" i="51"/>
  <c r="F24" i="51" s="1"/>
  <c r="Q41" i="51"/>
  <c r="Q37" i="51"/>
  <c r="Q30" i="51"/>
  <c r="Q38" i="51"/>
  <c r="Q31" i="51"/>
  <c r="Q39" i="51"/>
  <c r="Q32" i="51"/>
  <c r="Q40" i="51"/>
  <c r="Q33" i="51"/>
  <c r="Q29" i="51"/>
  <c r="Q34" i="51"/>
  <c r="Q35" i="51"/>
  <c r="Q36" i="51"/>
  <c r="D14" i="41"/>
  <c r="F12" i="47"/>
  <c r="F22" i="47" s="1"/>
  <c r="H29" i="47"/>
  <c r="H30" i="47"/>
  <c r="R46" i="51"/>
  <c r="T46" i="51"/>
  <c r="R45" i="51"/>
  <c r="T45" i="51"/>
  <c r="T44" i="51"/>
  <c r="R44" i="51"/>
  <c r="R43" i="51"/>
  <c r="T43" i="51"/>
  <c r="L51" i="51"/>
  <c r="N50" i="51"/>
  <c r="N51" i="51" s="1"/>
  <c r="T42" i="51"/>
  <c r="R42" i="51"/>
  <c r="T41" i="51"/>
  <c r="R41" i="51"/>
  <c r="R48" i="51"/>
  <c r="T48" i="51"/>
  <c r="M50" i="51"/>
  <c r="M51" i="51" s="1"/>
  <c r="T47" i="51"/>
  <c r="R47" i="51"/>
  <c r="M10" i="51"/>
  <c r="L10" i="51"/>
  <c r="F64" i="57"/>
  <c r="F29" i="57"/>
  <c r="F41" i="57"/>
  <c r="F47" i="57"/>
  <c r="F27" i="57"/>
  <c r="F26" i="57"/>
  <c r="F20" i="57"/>
  <c r="F67" i="57"/>
  <c r="F79" i="57"/>
  <c r="F22" i="57"/>
  <c r="F43" i="57"/>
  <c r="F14" i="57"/>
  <c r="F50" i="57"/>
  <c r="F74" i="57"/>
  <c r="F75" i="57"/>
  <c r="F51" i="57"/>
  <c r="F69" i="57"/>
  <c r="F38" i="57"/>
  <c r="F46" i="57"/>
  <c r="F40" i="57"/>
  <c r="F54" i="57"/>
  <c r="F76" i="57"/>
  <c r="F48" i="57"/>
  <c r="F24" i="57"/>
  <c r="F77" i="57"/>
  <c r="F80" i="57"/>
  <c r="F52" i="57"/>
  <c r="F53" i="57"/>
  <c r="F15" i="57"/>
  <c r="F66" i="57"/>
  <c r="F55" i="57"/>
  <c r="F78" i="57"/>
  <c r="F42" i="57"/>
  <c r="F25" i="57"/>
  <c r="F68" i="57"/>
  <c r="F13" i="57"/>
  <c r="F17" i="57"/>
  <c r="F28" i="57"/>
  <c r="F49" i="57"/>
  <c r="F65" i="57"/>
  <c r="F73" i="57"/>
  <c r="F23" i="57"/>
  <c r="F21" i="57"/>
  <c r="F39" i="57"/>
  <c r="F72" i="57"/>
  <c r="F81" i="57"/>
  <c r="F16" i="57"/>
  <c r="D64" i="51"/>
  <c r="D72" i="51"/>
  <c r="D69" i="51"/>
  <c r="D65" i="51"/>
  <c r="D73" i="51"/>
  <c r="D77" i="51"/>
  <c r="D66" i="51"/>
  <c r="D74" i="51"/>
  <c r="D67" i="51"/>
  <c r="D75" i="51"/>
  <c r="D71" i="51"/>
  <c r="D68" i="51"/>
  <c r="D76" i="51"/>
  <c r="D70" i="51"/>
  <c r="D31" i="43"/>
  <c r="G31" i="43" s="1"/>
  <c r="D81" i="43"/>
  <c r="D79" i="43"/>
  <c r="D80" i="43"/>
  <c r="D55" i="43"/>
  <c r="D56" i="43"/>
  <c r="D54" i="43"/>
  <c r="N42" i="57"/>
  <c r="N54" i="57"/>
  <c r="N43" i="57"/>
  <c r="N72" i="57"/>
  <c r="N16" i="57"/>
  <c r="N73" i="57"/>
  <c r="N74" i="57"/>
  <c r="N75" i="57"/>
  <c r="N66" i="57"/>
  <c r="N81" i="57"/>
  <c r="N29" i="57"/>
  <c r="N47" i="57"/>
  <c r="N64" i="57"/>
  <c r="N65" i="57"/>
  <c r="N76" i="57"/>
  <c r="N69" i="57"/>
  <c r="N50" i="57"/>
  <c r="N25" i="57"/>
  <c r="N23" i="57"/>
  <c r="N53" i="57"/>
  <c r="N12" i="57"/>
  <c r="N68" i="57"/>
  <c r="N55" i="57"/>
  <c r="N27" i="57"/>
  <c r="N67" i="57"/>
  <c r="N21" i="57"/>
  <c r="N14" i="57"/>
  <c r="N17" i="57"/>
  <c r="N48" i="57"/>
  <c r="N49" i="57"/>
  <c r="N40" i="57"/>
  <c r="N80" i="57"/>
  <c r="N78" i="57"/>
  <c r="N79" i="57"/>
  <c r="N38" i="57"/>
  <c r="N39" i="57"/>
  <c r="N41" i="57"/>
  <c r="N22" i="57"/>
  <c r="N52" i="57"/>
  <c r="N13" i="57"/>
  <c r="N24" i="57"/>
  <c r="N28" i="57"/>
  <c r="N77" i="57"/>
  <c r="N26" i="57"/>
  <c r="N51" i="57"/>
  <c r="N15" i="57"/>
  <c r="C23" i="43"/>
  <c r="D23" i="43" s="1"/>
  <c r="G23" i="43" s="1"/>
  <c r="F124" i="47"/>
  <c r="D13" i="40"/>
  <c r="D17" i="40"/>
  <c r="C20" i="43"/>
  <c r="D20" i="43" s="1"/>
  <c r="G20" i="43" s="1"/>
  <c r="D16" i="40"/>
  <c r="C87" i="43"/>
  <c r="C197" i="43"/>
  <c r="C212" i="43"/>
  <c r="C52" i="47"/>
  <c r="C116" i="43"/>
  <c r="C211" i="43"/>
  <c r="C42" i="43"/>
  <c r="D42" i="43" s="1"/>
  <c r="D20" i="40"/>
  <c r="C119" i="43"/>
  <c r="C48" i="43"/>
  <c r="D48" i="43" s="1"/>
  <c r="F48" i="43" s="1"/>
  <c r="I48" i="43" s="1"/>
  <c r="C166" i="43"/>
  <c r="C193" i="43"/>
  <c r="D14" i="40"/>
  <c r="D18" i="40"/>
  <c r="C12" i="43"/>
  <c r="D12" i="43" s="1"/>
  <c r="G12" i="43" s="1"/>
  <c r="C137" i="43"/>
  <c r="C194" i="43"/>
  <c r="E15" i="40"/>
  <c r="C15" i="43"/>
  <c r="D15" i="43" s="1"/>
  <c r="G15" i="43" s="1"/>
  <c r="C44" i="43"/>
  <c r="D44" i="43" s="1"/>
  <c r="G44" i="43" s="1"/>
  <c r="C138" i="43"/>
  <c r="C17" i="43"/>
  <c r="D17" i="43" s="1"/>
  <c r="G17" i="43" s="1"/>
  <c r="C36" i="43"/>
  <c r="D36" i="43" s="1"/>
  <c r="C148" i="43"/>
  <c r="C170" i="43"/>
  <c r="C200" i="43"/>
  <c r="C25" i="43"/>
  <c r="C38" i="43"/>
  <c r="D38" i="43" s="1"/>
  <c r="D53" i="43"/>
  <c r="C90" i="43"/>
  <c r="C100" i="43"/>
  <c r="C142" i="43"/>
  <c r="C178" i="43"/>
  <c r="E16" i="40"/>
  <c r="C13" i="43"/>
  <c r="D13" i="43" s="1"/>
  <c r="G13" i="43" s="1"/>
  <c r="C94" i="43"/>
  <c r="C111" i="43"/>
  <c r="C167" i="43"/>
  <c r="C190" i="43"/>
  <c r="C219" i="43"/>
  <c r="E17" i="40"/>
  <c r="C191" i="43"/>
  <c r="C91" i="43"/>
  <c r="C66" i="43"/>
  <c r="D66" i="43" s="1"/>
  <c r="G66" i="43" s="1"/>
  <c r="C16" i="43"/>
  <c r="D16" i="43" s="1"/>
  <c r="G16" i="43" s="1"/>
  <c r="C221" i="43"/>
  <c r="C121" i="43"/>
  <c r="C71" i="43"/>
  <c r="D71" i="43" s="1"/>
  <c r="F71" i="43" s="1"/>
  <c r="I71" i="43" s="1"/>
  <c r="C196" i="43"/>
  <c r="C96" i="43"/>
  <c r="C149" i="43"/>
  <c r="C24" i="43"/>
  <c r="C224" i="43"/>
  <c r="C124" i="43"/>
  <c r="C49" i="43"/>
  <c r="D49" i="43" s="1"/>
  <c r="F49" i="43" s="1"/>
  <c r="I49" i="43" s="1"/>
  <c r="C201" i="43"/>
  <c r="C101" i="43"/>
  <c r="C76" i="43"/>
  <c r="D76" i="43" s="1"/>
  <c r="F76" i="43" s="1"/>
  <c r="I76" i="43" s="1"/>
  <c r="C26" i="43"/>
  <c r="C118" i="43"/>
  <c r="C151" i="43"/>
  <c r="C171" i="43"/>
  <c r="C187" i="43"/>
  <c r="C199" i="43"/>
  <c r="C216" i="43"/>
  <c r="E19" i="40"/>
  <c r="E20" i="40"/>
  <c r="C18" i="43"/>
  <c r="D18" i="43" s="1"/>
  <c r="G18" i="43" s="1"/>
  <c r="C22" i="43"/>
  <c r="D22" i="43" s="1"/>
  <c r="F22" i="43" s="1"/>
  <c r="I22" i="43" s="1"/>
  <c r="C37" i="43"/>
  <c r="D37" i="43" s="1"/>
  <c r="G37" i="43" s="1"/>
  <c r="C62" i="43"/>
  <c r="D62" i="43" s="1"/>
  <c r="G62" i="43" s="1"/>
  <c r="C72" i="43"/>
  <c r="D72" i="43" s="1"/>
  <c r="G72" i="43" s="1"/>
  <c r="C122" i="43"/>
  <c r="C141" i="43"/>
  <c r="C146" i="43"/>
  <c r="C174" i="43"/>
  <c r="D41" i="43"/>
  <c r="G41" i="43" s="1"/>
  <c r="C139" i="43"/>
  <c r="C14" i="43"/>
  <c r="D14" i="43" s="1"/>
  <c r="F14" i="43" s="1"/>
  <c r="I14" i="43" s="1"/>
  <c r="C39" i="43"/>
  <c r="D39" i="43" s="1"/>
  <c r="G39" i="43" s="1"/>
  <c r="C214" i="43"/>
  <c r="C114" i="43"/>
  <c r="C168" i="43"/>
  <c r="C68" i="43"/>
  <c r="D68" i="43" s="1"/>
  <c r="G68" i="43" s="1"/>
  <c r="C43" i="43"/>
  <c r="D43" i="43" s="1"/>
  <c r="F43" i="43" s="1"/>
  <c r="I43" i="43" s="1"/>
  <c r="C143" i="43"/>
  <c r="E13" i="40"/>
  <c r="D15" i="40"/>
  <c r="E18" i="40"/>
  <c r="C21" i="43"/>
  <c r="D21" i="43" s="1"/>
  <c r="G21" i="43" s="1"/>
  <c r="C47" i="43"/>
  <c r="D47" i="43" s="1"/>
  <c r="G47" i="43" s="1"/>
  <c r="C89" i="43"/>
  <c r="E14" i="40"/>
  <c r="D19" i="40"/>
  <c r="C46" i="43"/>
  <c r="D46" i="43" s="1"/>
  <c r="F46" i="43" s="1"/>
  <c r="I46" i="43" s="1"/>
  <c r="C51" i="43"/>
  <c r="D51" i="43" s="1"/>
  <c r="G51" i="43" s="1"/>
  <c r="C64" i="43"/>
  <c r="D64" i="43" s="1"/>
  <c r="F64" i="43" s="1"/>
  <c r="I64" i="43" s="1"/>
  <c r="C74" i="43"/>
  <c r="D74" i="43" s="1"/>
  <c r="G74" i="43" s="1"/>
  <c r="C93" i="43"/>
  <c r="C97" i="43"/>
  <c r="C112" i="43"/>
  <c r="C126" i="43"/>
  <c r="C147" i="43"/>
  <c r="C164" i="43"/>
  <c r="C176" i="43"/>
  <c r="C222" i="43"/>
  <c r="C10" i="47"/>
  <c r="C11" i="43"/>
  <c r="D11" i="43" s="1"/>
  <c r="G11" i="43" s="1"/>
  <c r="C19" i="43"/>
  <c r="D19" i="43" s="1"/>
  <c r="F19" i="43" s="1"/>
  <c r="I19" i="43" s="1"/>
  <c r="C40" i="43"/>
  <c r="D40" i="43" s="1"/>
  <c r="F40" i="43" s="1"/>
  <c r="I40" i="43" s="1"/>
  <c r="C45" i="43"/>
  <c r="D45" i="43" s="1"/>
  <c r="G45" i="43" s="1"/>
  <c r="C50" i="43"/>
  <c r="D50" i="43" s="1"/>
  <c r="G50" i="43" s="1"/>
  <c r="C86" i="43"/>
  <c r="C115" i="43"/>
  <c r="C125" i="43"/>
  <c r="C145" i="43"/>
  <c r="C163" i="43"/>
  <c r="C173" i="43"/>
  <c r="C186" i="43"/>
  <c r="C215" i="43"/>
  <c r="C225" i="43"/>
  <c r="F20" i="40"/>
  <c r="F19" i="40"/>
  <c r="F18" i="40"/>
  <c r="F17" i="40"/>
  <c r="F16" i="40"/>
  <c r="F15" i="40"/>
  <c r="F14" i="40"/>
  <c r="F13" i="40"/>
  <c r="C130" i="47"/>
  <c r="C99" i="47"/>
  <c r="G28" i="47"/>
  <c r="C113" i="43"/>
  <c r="C117" i="43"/>
  <c r="C120" i="43"/>
  <c r="C123" i="43"/>
  <c r="C128" i="43"/>
  <c r="C161" i="43"/>
  <c r="C165" i="43"/>
  <c r="C169" i="43"/>
  <c r="C175" i="43"/>
  <c r="C213" i="43"/>
  <c r="C217" i="43"/>
  <c r="C220" i="43"/>
  <c r="C223" i="43"/>
  <c r="C228" i="43"/>
  <c r="C61" i="43"/>
  <c r="D61" i="43" s="1"/>
  <c r="C63" i="43"/>
  <c r="D63" i="43" s="1"/>
  <c r="G63" i="43" s="1"/>
  <c r="C65" i="43"/>
  <c r="D65" i="43" s="1"/>
  <c r="G65" i="43" s="1"/>
  <c r="C67" i="43"/>
  <c r="D67" i="43" s="1"/>
  <c r="F67" i="43" s="1"/>
  <c r="I67" i="43" s="1"/>
  <c r="C69" i="43"/>
  <c r="D69" i="43" s="1"/>
  <c r="F69" i="43" s="1"/>
  <c r="I69" i="43" s="1"/>
  <c r="C70" i="43"/>
  <c r="D70" i="43" s="1"/>
  <c r="G70" i="43" s="1"/>
  <c r="C73" i="43"/>
  <c r="D73" i="43" s="1"/>
  <c r="G73" i="43" s="1"/>
  <c r="C75" i="43"/>
  <c r="D75" i="43" s="1"/>
  <c r="G75" i="43" s="1"/>
  <c r="C78" i="43"/>
  <c r="D78" i="43" s="1"/>
  <c r="C88" i="43"/>
  <c r="C92" i="43"/>
  <c r="C95" i="43"/>
  <c r="C98" i="43"/>
  <c r="C103" i="43"/>
  <c r="C26" i="47"/>
  <c r="H32" i="51"/>
  <c r="V32" i="51" s="1"/>
  <c r="H33" i="51"/>
  <c r="V33" i="51" s="1"/>
  <c r="H31" i="51"/>
  <c r="V31" i="51" s="1"/>
  <c r="G43" i="51"/>
  <c r="I30" i="51"/>
  <c r="I38" i="51"/>
  <c r="I37" i="51"/>
  <c r="G30" i="51"/>
  <c r="G39" i="51"/>
  <c r="H40" i="51"/>
  <c r="V40" i="51" s="1"/>
  <c r="I34" i="51"/>
  <c r="G35" i="51"/>
  <c r="I31" i="51"/>
  <c r="G36" i="51"/>
  <c r="H39" i="51"/>
  <c r="V39" i="51" s="1"/>
  <c r="G42" i="51"/>
  <c r="G49" i="51"/>
  <c r="G41" i="51"/>
  <c r="G33" i="51"/>
  <c r="H38" i="51"/>
  <c r="V38" i="51" s="1"/>
  <c r="H30" i="51"/>
  <c r="V30" i="51" s="1"/>
  <c r="I35" i="51"/>
  <c r="G34" i="51"/>
  <c r="G48" i="51"/>
  <c r="G40" i="51"/>
  <c r="G32" i="51"/>
  <c r="H37" i="51"/>
  <c r="V37" i="51" s="1"/>
  <c r="I29" i="51"/>
  <c r="G47" i="51"/>
  <c r="G31" i="51"/>
  <c r="H36" i="51"/>
  <c r="V36" i="51" s="1"/>
  <c r="I33" i="51"/>
  <c r="G46" i="51"/>
  <c r="G38" i="51"/>
  <c r="H35" i="51"/>
  <c r="V35" i="51" s="1"/>
  <c r="I40" i="51"/>
  <c r="I32" i="51"/>
  <c r="G45" i="51"/>
  <c r="G37" i="51"/>
  <c r="H29" i="51"/>
  <c r="V29" i="51" s="1"/>
  <c r="H34" i="51"/>
  <c r="V34" i="51" s="1"/>
  <c r="I39" i="51"/>
  <c r="G29" i="51"/>
  <c r="I36" i="51"/>
  <c r="F50" i="51"/>
  <c r="F51" i="51" s="1"/>
  <c r="L53" i="51"/>
  <c r="H18" i="51"/>
  <c r="V18" i="51" s="1"/>
  <c r="I17" i="51"/>
  <c r="I19" i="51"/>
  <c r="H17" i="51"/>
  <c r="V17" i="51" s="1"/>
  <c r="R24" i="51"/>
  <c r="R26" i="51" s="1"/>
  <c r="G18" i="51"/>
  <c r="I18" i="51"/>
  <c r="G19" i="51"/>
  <c r="H19" i="51"/>
  <c r="V19" i="51" s="1"/>
  <c r="G17" i="51"/>
  <c r="L36" i="57" l="1"/>
  <c r="E14" i="41" s="1"/>
  <c r="L62" i="57"/>
  <c r="F14" i="41" s="1"/>
  <c r="I10" i="57"/>
  <c r="D13" i="41" s="1"/>
  <c r="N10" i="51"/>
  <c r="I62" i="57"/>
  <c r="I36" i="57"/>
  <c r="C20" i="46"/>
  <c r="J39" i="43" s="1"/>
  <c r="R51" i="51"/>
  <c r="H70" i="51"/>
  <c r="H63" i="51"/>
  <c r="H71" i="51"/>
  <c r="H64" i="51"/>
  <c r="H72" i="51"/>
  <c r="H65" i="51"/>
  <c r="H73" i="51"/>
  <c r="H66" i="51"/>
  <c r="H74" i="51"/>
  <c r="H67" i="51"/>
  <c r="H75" i="51"/>
  <c r="H68" i="51"/>
  <c r="H76" i="51"/>
  <c r="H69" i="51"/>
  <c r="H77" i="51"/>
  <c r="O50" i="51"/>
  <c r="O51" i="51" s="1"/>
  <c r="W37" i="51"/>
  <c r="W35" i="51"/>
  <c r="W29" i="51"/>
  <c r="W31" i="51"/>
  <c r="W39" i="51"/>
  <c r="W34" i="51"/>
  <c r="W32" i="51"/>
  <c r="W40" i="51"/>
  <c r="W33" i="51"/>
  <c r="W36" i="51"/>
  <c r="W30" i="51"/>
  <c r="W38" i="51"/>
  <c r="F61" i="43"/>
  <c r="F62" i="57"/>
  <c r="F12" i="41" s="1"/>
  <c r="F36" i="57"/>
  <c r="E12" i="41" s="1"/>
  <c r="C65" i="51"/>
  <c r="C73" i="51"/>
  <c r="C72" i="51"/>
  <c r="C66" i="51"/>
  <c r="C74" i="51"/>
  <c r="C64" i="51"/>
  <c r="C67" i="51"/>
  <c r="C75" i="51"/>
  <c r="C63" i="51"/>
  <c r="C68" i="51"/>
  <c r="C76" i="51"/>
  <c r="C69" i="51"/>
  <c r="C77" i="51"/>
  <c r="C70" i="51"/>
  <c r="C71" i="51"/>
  <c r="G76" i="51"/>
  <c r="G68" i="51"/>
  <c r="G77" i="51"/>
  <c r="G75" i="51"/>
  <c r="G67" i="51"/>
  <c r="G71" i="51"/>
  <c r="G69" i="51"/>
  <c r="G74" i="51"/>
  <c r="G66" i="51"/>
  <c r="G73" i="51"/>
  <c r="G65" i="51"/>
  <c r="G72" i="51"/>
  <c r="G64" i="51"/>
  <c r="G63" i="51"/>
  <c r="G70" i="51"/>
  <c r="F31" i="43"/>
  <c r="I31" i="43" s="1"/>
  <c r="D52" i="43"/>
  <c r="F78" i="43"/>
  <c r="D77" i="43"/>
  <c r="G80" i="43"/>
  <c r="F80" i="43"/>
  <c r="I80" i="43" s="1"/>
  <c r="F79" i="43"/>
  <c r="I79" i="43" s="1"/>
  <c r="G79" i="43"/>
  <c r="F81" i="43"/>
  <c r="I81" i="43" s="1"/>
  <c r="G81" i="43"/>
  <c r="F54" i="43"/>
  <c r="I54" i="43" s="1"/>
  <c r="G54" i="43"/>
  <c r="F56" i="43"/>
  <c r="I56" i="43" s="1"/>
  <c r="G56" i="43"/>
  <c r="F55" i="43"/>
  <c r="I55" i="43" s="1"/>
  <c r="G55" i="43"/>
  <c r="D26" i="43"/>
  <c r="G26" i="43" s="1"/>
  <c r="D30" i="43"/>
  <c r="D25" i="43"/>
  <c r="G25" i="43" s="1"/>
  <c r="D29" i="43"/>
  <c r="D24" i="43"/>
  <c r="G24" i="43" s="1"/>
  <c r="D28" i="43"/>
  <c r="N36" i="57"/>
  <c r="N10" i="57"/>
  <c r="N62" i="57"/>
  <c r="G19" i="43"/>
  <c r="F21" i="43"/>
  <c r="I21" i="43" s="1"/>
  <c r="F62" i="43"/>
  <c r="I62" i="43" s="1"/>
  <c r="F45" i="43"/>
  <c r="I45" i="43" s="1"/>
  <c r="F20" i="43"/>
  <c r="I20" i="43" s="1"/>
  <c r="F12" i="43"/>
  <c r="I12" i="43" s="1"/>
  <c r="F39" i="43"/>
  <c r="I39" i="43" s="1"/>
  <c r="F13" i="43"/>
  <c r="I13" i="43" s="1"/>
  <c r="F42" i="43"/>
  <c r="I42" i="43" s="1"/>
  <c r="G42" i="43"/>
  <c r="G49" i="43"/>
  <c r="F10" i="57"/>
  <c r="F16" i="43"/>
  <c r="I16" i="43" s="1"/>
  <c r="F74" i="43"/>
  <c r="I74" i="43" s="1"/>
  <c r="G53" i="43"/>
  <c r="F53" i="43"/>
  <c r="G22" i="43"/>
  <c r="F11" i="43"/>
  <c r="I11" i="43" s="1"/>
  <c r="F68" i="43"/>
  <c r="I68" i="43" s="1"/>
  <c r="G64" i="43"/>
  <c r="F38" i="43"/>
  <c r="I38" i="43" s="1"/>
  <c r="G38" i="43"/>
  <c r="F44" i="43"/>
  <c r="I44" i="43" s="1"/>
  <c r="F47" i="43"/>
  <c r="I47" i="43" s="1"/>
  <c r="F15" i="43"/>
  <c r="I15" i="43" s="1"/>
  <c r="F23" i="43"/>
  <c r="I23" i="43" s="1"/>
  <c r="E21" i="40"/>
  <c r="D20" i="50" s="1"/>
  <c r="G36" i="43"/>
  <c r="F36" i="43"/>
  <c r="G71" i="43"/>
  <c r="F72" i="43"/>
  <c r="I72" i="43" s="1"/>
  <c r="G46" i="43"/>
  <c r="G43" i="43"/>
  <c r="F21" i="40"/>
  <c r="F23" i="40" s="1"/>
  <c r="D21" i="40"/>
  <c r="D23" i="40" s="1"/>
  <c r="G40" i="43"/>
  <c r="F73" i="43"/>
  <c r="I73" i="43" s="1"/>
  <c r="F51" i="43"/>
  <c r="I51" i="43" s="1"/>
  <c r="F65" i="43"/>
  <c r="I65" i="43" s="1"/>
  <c r="F75" i="43"/>
  <c r="I75" i="43" s="1"/>
  <c r="G48" i="43"/>
  <c r="G14" i="43"/>
  <c r="F41" i="43"/>
  <c r="I41" i="43" s="1"/>
  <c r="F18" i="43"/>
  <c r="I18" i="43" s="1"/>
  <c r="F17" i="43"/>
  <c r="I17" i="43" s="1"/>
  <c r="F37" i="43"/>
  <c r="I37" i="43" s="1"/>
  <c r="F63" i="43"/>
  <c r="I63" i="43" s="1"/>
  <c r="G69" i="43"/>
  <c r="F50" i="43"/>
  <c r="I50" i="43" s="1"/>
  <c r="G61" i="43"/>
  <c r="F66" i="43"/>
  <c r="I66" i="43" s="1"/>
  <c r="G76" i="43"/>
  <c r="G67" i="43"/>
  <c r="G78" i="43"/>
  <c r="F70" i="43"/>
  <c r="I70" i="43" s="1"/>
  <c r="H51" i="51"/>
  <c r="H53" i="51" s="1"/>
  <c r="H24" i="51"/>
  <c r="H26" i="51" s="1"/>
  <c r="W18" i="51"/>
  <c r="W19" i="51"/>
  <c r="W17" i="51"/>
  <c r="J38" i="43" l="1"/>
  <c r="K38" i="43" s="1"/>
  <c r="J76" i="43"/>
  <c r="K76" i="43" s="1"/>
  <c r="J26" i="43"/>
  <c r="J51" i="43"/>
  <c r="K51" i="43" s="1"/>
  <c r="J67" i="43"/>
  <c r="K67" i="43" s="1"/>
  <c r="J19" i="43"/>
  <c r="K19" i="43" s="1"/>
  <c r="J71" i="43"/>
  <c r="K71" i="43" s="1"/>
  <c r="J66" i="43"/>
  <c r="K66" i="43" s="1"/>
  <c r="J40" i="43"/>
  <c r="K40" i="43" s="1"/>
  <c r="J17" i="43"/>
  <c r="K17" i="43" s="1"/>
  <c r="J69" i="43"/>
  <c r="K69" i="43" s="1"/>
  <c r="J64" i="43"/>
  <c r="K64" i="43" s="1"/>
  <c r="J74" i="43"/>
  <c r="K74" i="43" s="1"/>
  <c r="J15" i="43"/>
  <c r="K15" i="43" s="1"/>
  <c r="E13" i="41"/>
  <c r="J44" i="43"/>
  <c r="K44" i="43" s="1"/>
  <c r="J73" i="43"/>
  <c r="K73" i="43" s="1"/>
  <c r="J43" i="43"/>
  <c r="K43" i="43" s="1"/>
  <c r="J13" i="43"/>
  <c r="K13" i="43" s="1"/>
  <c r="J62" i="43"/>
  <c r="K62" i="43" s="1"/>
  <c r="J70" i="43"/>
  <c r="K70" i="43" s="1"/>
  <c r="J81" i="43"/>
  <c r="K81" i="43" s="1"/>
  <c r="J14" i="43"/>
  <c r="K14" i="43" s="1"/>
  <c r="J22" i="43"/>
  <c r="K22" i="43" s="1"/>
  <c r="J45" i="43"/>
  <c r="K45" i="43" s="1"/>
  <c r="J42" i="43"/>
  <c r="K42" i="43" s="1"/>
  <c r="J72" i="43"/>
  <c r="K72" i="43" s="1"/>
  <c r="J41" i="43"/>
  <c r="K41" i="43" s="1"/>
  <c r="J68" i="43"/>
  <c r="K68" i="43" s="1"/>
  <c r="J24" i="43"/>
  <c r="J31" i="43"/>
  <c r="K31" i="43" s="1"/>
  <c r="J48" i="43"/>
  <c r="K48" i="43" s="1"/>
  <c r="J49" i="43"/>
  <c r="K49" i="43" s="1"/>
  <c r="J65" i="43"/>
  <c r="K65" i="43" s="1"/>
  <c r="J21" i="43"/>
  <c r="K21" i="43" s="1"/>
  <c r="J20" i="43"/>
  <c r="K20" i="43" s="1"/>
  <c r="J63" i="43"/>
  <c r="K63" i="43" s="1"/>
  <c r="J55" i="43"/>
  <c r="K55" i="43" s="1"/>
  <c r="J79" i="43"/>
  <c r="K79" i="43" s="1"/>
  <c r="J46" i="43"/>
  <c r="K46" i="43" s="1"/>
  <c r="J11" i="43"/>
  <c r="K11" i="43" s="1"/>
  <c r="J37" i="43"/>
  <c r="K37" i="43" s="1"/>
  <c r="J56" i="43"/>
  <c r="K56" i="43" s="1"/>
  <c r="J80" i="43"/>
  <c r="K80" i="43" s="1"/>
  <c r="J12" i="43"/>
  <c r="K12" i="43" s="1"/>
  <c r="J75" i="43"/>
  <c r="K75" i="43" s="1"/>
  <c r="J23" i="43"/>
  <c r="K23" i="43" s="1"/>
  <c r="J16" i="43"/>
  <c r="K16" i="43" s="1"/>
  <c r="J18" i="43"/>
  <c r="K18" i="43" s="1"/>
  <c r="J47" i="43"/>
  <c r="K47" i="43" s="1"/>
  <c r="J50" i="43"/>
  <c r="K50" i="43" s="1"/>
  <c r="U10" i="57"/>
  <c r="J54" i="43"/>
  <c r="K54" i="43" s="1"/>
  <c r="J25" i="43"/>
  <c r="E10" i="51"/>
  <c r="R53" i="51"/>
  <c r="F13" i="41"/>
  <c r="I69" i="51"/>
  <c r="I77" i="51"/>
  <c r="I70" i="51"/>
  <c r="I63" i="51"/>
  <c r="I71" i="51"/>
  <c r="I64" i="51"/>
  <c r="I72" i="51"/>
  <c r="I65" i="51"/>
  <c r="I73" i="51"/>
  <c r="I66" i="51"/>
  <c r="I74" i="51"/>
  <c r="I67" i="51"/>
  <c r="I75" i="51"/>
  <c r="I68" i="51"/>
  <c r="I76" i="51"/>
  <c r="D57" i="51"/>
  <c r="B81" i="46" s="1"/>
  <c r="C57" i="51"/>
  <c r="B78" i="46" s="1"/>
  <c r="D12" i="41"/>
  <c r="D15" i="41"/>
  <c r="F15" i="41"/>
  <c r="I36" i="43"/>
  <c r="I61" i="43"/>
  <c r="D60" i="43"/>
  <c r="D83" i="43" s="1"/>
  <c r="J61" i="43"/>
  <c r="J36" i="43"/>
  <c r="D35" i="43"/>
  <c r="D58" i="43" s="1"/>
  <c r="E15" i="41"/>
  <c r="K39" i="43"/>
  <c r="E70" i="51"/>
  <c r="E77" i="51"/>
  <c r="E69" i="51"/>
  <c r="E76" i="51"/>
  <c r="E68" i="51"/>
  <c r="E73" i="51"/>
  <c r="E63" i="51"/>
  <c r="E75" i="51"/>
  <c r="E67" i="51"/>
  <c r="E65" i="51"/>
  <c r="E74" i="51"/>
  <c r="E66" i="51"/>
  <c r="E72" i="51"/>
  <c r="E64" i="51"/>
  <c r="E71" i="51"/>
  <c r="J78" i="43"/>
  <c r="G77" i="43"/>
  <c r="G60" i="43" s="1"/>
  <c r="I78" i="43"/>
  <c r="I77" i="43" s="1"/>
  <c r="F77" i="43"/>
  <c r="F60" i="43" s="1"/>
  <c r="J53" i="43"/>
  <c r="G52" i="43"/>
  <c r="G35" i="43" s="1"/>
  <c r="I53" i="43"/>
  <c r="I52" i="43" s="1"/>
  <c r="F52" i="43"/>
  <c r="F35" i="43" s="1"/>
  <c r="D27" i="43"/>
  <c r="D10" i="43" s="1"/>
  <c r="G29" i="43"/>
  <c r="J29" i="43" s="1"/>
  <c r="F29" i="43"/>
  <c r="I29" i="43" s="1"/>
  <c r="F28" i="43"/>
  <c r="G28" i="43"/>
  <c r="F30" i="43"/>
  <c r="I30" i="43" s="1"/>
  <c r="G30" i="43"/>
  <c r="J30" i="43" s="1"/>
  <c r="F24" i="43"/>
  <c r="I24" i="43" s="1"/>
  <c r="F26" i="43"/>
  <c r="I26" i="43" s="1"/>
  <c r="K26" i="43" s="1"/>
  <c r="F25" i="43"/>
  <c r="I25" i="43" s="1"/>
  <c r="E23" i="40"/>
  <c r="E20" i="50"/>
  <c r="C20" i="50"/>
  <c r="K24" i="43" l="1"/>
  <c r="K25" i="43"/>
  <c r="J52" i="43"/>
  <c r="J35" i="43" s="1"/>
  <c r="D59" i="51"/>
  <c r="B83" i="46" s="1"/>
  <c r="D33" i="43"/>
  <c r="D25" i="41"/>
  <c r="D27" i="41" s="1"/>
  <c r="D58" i="51"/>
  <c r="B82" i="46" s="1"/>
  <c r="C59" i="51"/>
  <c r="B80" i="46" s="1"/>
  <c r="C58" i="51"/>
  <c r="B79" i="46" s="1"/>
  <c r="K61" i="43"/>
  <c r="I60" i="43"/>
  <c r="I83" i="43" s="1"/>
  <c r="I35" i="43"/>
  <c r="I58" i="43" s="1"/>
  <c r="K36" i="43"/>
  <c r="K29" i="43"/>
  <c r="K78" i="43"/>
  <c r="K77" i="43" s="1"/>
  <c r="F25" i="41" s="1"/>
  <c r="F27" i="41" s="1"/>
  <c r="J77" i="43"/>
  <c r="J60" i="43" s="1"/>
  <c r="F27" i="43"/>
  <c r="K53" i="43"/>
  <c r="K52" i="43" s="1"/>
  <c r="E25" i="41" s="1"/>
  <c r="E27" i="41" s="1"/>
  <c r="G27" i="43"/>
  <c r="I28" i="43"/>
  <c r="I27" i="43" s="1"/>
  <c r="J28" i="43"/>
  <c r="J27" i="43" s="1"/>
  <c r="K30" i="43"/>
  <c r="C88" i="57"/>
  <c r="C37" i="47"/>
  <c r="C43" i="47"/>
  <c r="C166" i="57"/>
  <c r="L101" i="47"/>
  <c r="L53" i="47"/>
  <c r="C160" i="43"/>
  <c r="L11" i="47"/>
  <c r="K17" i="50"/>
  <c r="J24" i="41"/>
  <c r="J10" i="41"/>
  <c r="J12" i="40"/>
  <c r="I11" i="47"/>
  <c r="I53" i="47"/>
  <c r="C85" i="43"/>
  <c r="I101" i="47"/>
  <c r="G12" i="40"/>
  <c r="G17" i="50"/>
  <c r="G24" i="41"/>
  <c r="G10" i="41"/>
  <c r="N96" i="57" l="1"/>
  <c r="N97" i="57"/>
  <c r="F96" i="57"/>
  <c r="F97" i="57"/>
  <c r="I88" i="57"/>
  <c r="F89" i="57"/>
  <c r="N89" i="57"/>
  <c r="C192" i="57"/>
  <c r="L17" i="50"/>
  <c r="K24" i="41"/>
  <c r="M53" i="47"/>
  <c r="M11" i="47"/>
  <c r="C185" i="43"/>
  <c r="K12" i="40"/>
  <c r="M101" i="47"/>
  <c r="C45" i="47"/>
  <c r="K10" i="41"/>
  <c r="J101" i="47"/>
  <c r="C110" i="43"/>
  <c r="D121" i="43" s="1"/>
  <c r="H24" i="41"/>
  <c r="J11" i="47"/>
  <c r="H10" i="41"/>
  <c r="C39" i="47"/>
  <c r="H12" i="40"/>
  <c r="H17" i="50"/>
  <c r="C114" i="57"/>
  <c r="J53" i="47"/>
  <c r="K60" i="43"/>
  <c r="K35" i="43"/>
  <c r="C135" i="43"/>
  <c r="L12" i="40"/>
  <c r="F90" i="57"/>
  <c r="F104" i="57"/>
  <c r="F105" i="57"/>
  <c r="F95" i="57"/>
  <c r="F100" i="57"/>
  <c r="F92" i="57"/>
  <c r="F102" i="57"/>
  <c r="F99" i="57"/>
  <c r="F101" i="57"/>
  <c r="F91" i="57"/>
  <c r="F103" i="57"/>
  <c r="F94" i="57"/>
  <c r="F107" i="57"/>
  <c r="F106" i="57"/>
  <c r="F98" i="57"/>
  <c r="F93" i="57"/>
  <c r="C210" i="43"/>
  <c r="C140" i="57"/>
  <c r="C47" i="47"/>
  <c r="M17" i="50"/>
  <c r="C218" i="57"/>
  <c r="L24" i="41"/>
  <c r="N101" i="47"/>
  <c r="L10" i="41"/>
  <c r="N11" i="47"/>
  <c r="N53" i="47"/>
  <c r="K101" i="47"/>
  <c r="K11" i="47"/>
  <c r="I24" i="41"/>
  <c r="K53" i="47"/>
  <c r="I10" i="41"/>
  <c r="I17" i="50"/>
  <c r="I12" i="40"/>
  <c r="C41" i="47"/>
  <c r="D106" i="43"/>
  <c r="D104" i="43"/>
  <c r="D105" i="43"/>
  <c r="K28" i="43"/>
  <c r="K27" i="43" s="1"/>
  <c r="F10" i="43"/>
  <c r="I10" i="43" s="1"/>
  <c r="I33" i="43" s="1"/>
  <c r="J10" i="43"/>
  <c r="G10" i="43"/>
  <c r="N100" i="57"/>
  <c r="N106" i="57"/>
  <c r="N98" i="57"/>
  <c r="N102" i="57"/>
  <c r="N101" i="57"/>
  <c r="N104" i="57"/>
  <c r="N90" i="57"/>
  <c r="N103" i="57"/>
  <c r="N94" i="57"/>
  <c r="N92" i="57"/>
  <c r="N99" i="57"/>
  <c r="N91" i="57"/>
  <c r="N107" i="57"/>
  <c r="N95" i="57"/>
  <c r="N105" i="57"/>
  <c r="N93" i="57"/>
  <c r="E23" i="50"/>
  <c r="L88" i="57"/>
  <c r="D23" i="50"/>
  <c r="D96" i="43"/>
  <c r="D93" i="43"/>
  <c r="D97" i="43"/>
  <c r="D87" i="43"/>
  <c r="D98" i="43"/>
  <c r="D100" i="43"/>
  <c r="D90" i="43"/>
  <c r="D103" i="43"/>
  <c r="D92" i="43"/>
  <c r="D89" i="43"/>
  <c r="D86" i="43"/>
  <c r="D95" i="43"/>
  <c r="D99" i="43"/>
  <c r="D101" i="43"/>
  <c r="D91" i="43"/>
  <c r="D94" i="43"/>
  <c r="D88" i="43"/>
  <c r="G17" i="40"/>
  <c r="G13" i="40"/>
  <c r="G20" i="40"/>
  <c r="G16" i="40"/>
  <c r="G15" i="40"/>
  <c r="G19" i="40"/>
  <c r="G18" i="40"/>
  <c r="G14" i="40"/>
  <c r="F181" i="57" l="1"/>
  <c r="H17" i="40"/>
  <c r="D111" i="43"/>
  <c r="F111" i="43" s="1"/>
  <c r="N174" i="57"/>
  <c r="N200" i="57"/>
  <c r="N201" i="57"/>
  <c r="F174" i="57"/>
  <c r="F175" i="57"/>
  <c r="N226" i="57"/>
  <c r="N227" i="57"/>
  <c r="F227" i="57"/>
  <c r="F226" i="57"/>
  <c r="N175" i="57"/>
  <c r="N122" i="57"/>
  <c r="N123" i="57"/>
  <c r="N148" i="57"/>
  <c r="N149" i="57"/>
  <c r="F201" i="57"/>
  <c r="F200" i="57"/>
  <c r="F148" i="57"/>
  <c r="F149" i="57"/>
  <c r="F123" i="57"/>
  <c r="F122" i="57"/>
  <c r="H19" i="40"/>
  <c r="D123" i="43"/>
  <c r="G123" i="43" s="1"/>
  <c r="J123" i="43" s="1"/>
  <c r="D122" i="43"/>
  <c r="F122" i="43" s="1"/>
  <c r="I122" i="43" s="1"/>
  <c r="D128" i="43"/>
  <c r="F128" i="43" s="1"/>
  <c r="D125" i="43"/>
  <c r="G125" i="43" s="1"/>
  <c r="J125" i="43" s="1"/>
  <c r="D116" i="43"/>
  <c r="F116" i="43" s="1"/>
  <c r="I116" i="43" s="1"/>
  <c r="D131" i="43"/>
  <c r="G131" i="43" s="1"/>
  <c r="J131" i="43" s="1"/>
  <c r="D112" i="43"/>
  <c r="F112" i="43" s="1"/>
  <c r="I112" i="43" s="1"/>
  <c r="D113" i="43"/>
  <c r="G113" i="43" s="1"/>
  <c r="J113" i="43" s="1"/>
  <c r="N167" i="57"/>
  <c r="F167" i="57"/>
  <c r="I166" i="57"/>
  <c r="I140" i="57"/>
  <c r="F141" i="57"/>
  <c r="N141" i="57"/>
  <c r="I114" i="57"/>
  <c r="F115" i="57"/>
  <c r="N115" i="57"/>
  <c r="D124" i="43"/>
  <c r="F124" i="43" s="1"/>
  <c r="I124" i="43" s="1"/>
  <c r="I218" i="57"/>
  <c r="F219" i="57"/>
  <c r="N219" i="57"/>
  <c r="I192" i="57"/>
  <c r="F193" i="57"/>
  <c r="N193" i="57"/>
  <c r="K14" i="40"/>
  <c r="H20" i="40"/>
  <c r="H13" i="40"/>
  <c r="H14" i="40"/>
  <c r="H18" i="40"/>
  <c r="D126" i="43"/>
  <c r="G126" i="43" s="1"/>
  <c r="J126" i="43" s="1"/>
  <c r="D119" i="43"/>
  <c r="F119" i="43" s="1"/>
  <c r="I119" i="43" s="1"/>
  <c r="D117" i="43"/>
  <c r="F117" i="43" s="1"/>
  <c r="I117" i="43" s="1"/>
  <c r="D120" i="43"/>
  <c r="G120" i="43" s="1"/>
  <c r="J120" i="43" s="1"/>
  <c r="D114" i="43"/>
  <c r="F114" i="43" s="1"/>
  <c r="I114" i="43" s="1"/>
  <c r="D118" i="43"/>
  <c r="G118" i="43" s="1"/>
  <c r="J118" i="43" s="1"/>
  <c r="D115" i="43"/>
  <c r="G115" i="43" s="1"/>
  <c r="J115" i="43" s="1"/>
  <c r="H15" i="40"/>
  <c r="H16" i="40"/>
  <c r="D129" i="43"/>
  <c r="F127" i="57"/>
  <c r="F116" i="57"/>
  <c r="F124" i="57"/>
  <c r="F132" i="57"/>
  <c r="N126" i="57"/>
  <c r="N120" i="57"/>
  <c r="D130" i="43"/>
  <c r="F130" i="43" s="1"/>
  <c r="I130" i="43" s="1"/>
  <c r="F133" i="57"/>
  <c r="F119" i="57"/>
  <c r="N128" i="57"/>
  <c r="F126" i="57"/>
  <c r="F117" i="57"/>
  <c r="F118" i="57"/>
  <c r="N121" i="57"/>
  <c r="D204" i="43"/>
  <c r="G204" i="43" s="1"/>
  <c r="J204" i="43" s="1"/>
  <c r="N130" i="57"/>
  <c r="N119" i="57"/>
  <c r="F125" i="57"/>
  <c r="F131" i="57"/>
  <c r="F130" i="57"/>
  <c r="N129" i="57"/>
  <c r="N124" i="57"/>
  <c r="N116" i="57"/>
  <c r="F120" i="57"/>
  <c r="F128" i="57"/>
  <c r="N133" i="57"/>
  <c r="N117" i="57"/>
  <c r="N132" i="57"/>
  <c r="N118" i="57"/>
  <c r="N131" i="57"/>
  <c r="F121" i="57"/>
  <c r="F129" i="57"/>
  <c r="N125" i="57"/>
  <c r="N127" i="57"/>
  <c r="L114" i="57"/>
  <c r="H14" i="41" s="1"/>
  <c r="N173" i="57"/>
  <c r="N169" i="57"/>
  <c r="G14" i="41"/>
  <c r="N225" i="57"/>
  <c r="I14" i="40"/>
  <c r="J19" i="40"/>
  <c r="K15" i="40"/>
  <c r="D211" i="43"/>
  <c r="F211" i="43" s="1"/>
  <c r="D218" i="43"/>
  <c r="G218" i="43" s="1"/>
  <c r="J218" i="43" s="1"/>
  <c r="N237" i="57"/>
  <c r="D140" i="43"/>
  <c r="G140" i="43" s="1"/>
  <c r="J140" i="43" s="1"/>
  <c r="D137" i="43"/>
  <c r="F137" i="43" s="1"/>
  <c r="I137" i="43" s="1"/>
  <c r="D199" i="43"/>
  <c r="F199" i="43" s="1"/>
  <c r="I199" i="43" s="1"/>
  <c r="F196" i="57"/>
  <c r="D228" i="43"/>
  <c r="G228" i="43" s="1"/>
  <c r="D220" i="43"/>
  <c r="G220" i="43" s="1"/>
  <c r="J220" i="43" s="1"/>
  <c r="D195" i="43"/>
  <c r="F195" i="43" s="1"/>
  <c r="I195" i="43" s="1"/>
  <c r="D147" i="43"/>
  <c r="F147" i="43" s="1"/>
  <c r="I147" i="43" s="1"/>
  <c r="D168" i="43"/>
  <c r="F168" i="43" s="1"/>
  <c r="I168" i="43" s="1"/>
  <c r="D203" i="43"/>
  <c r="F203" i="43" s="1"/>
  <c r="D226" i="43"/>
  <c r="F226" i="43" s="1"/>
  <c r="I226" i="43" s="1"/>
  <c r="D143" i="43"/>
  <c r="F143" i="43" s="1"/>
  <c r="I143" i="43" s="1"/>
  <c r="D151" i="43"/>
  <c r="G151" i="43" s="1"/>
  <c r="J151" i="43" s="1"/>
  <c r="D171" i="43"/>
  <c r="F171" i="43" s="1"/>
  <c r="I171" i="43" s="1"/>
  <c r="D146" i="43"/>
  <c r="F146" i="43" s="1"/>
  <c r="I146" i="43" s="1"/>
  <c r="D136" i="43"/>
  <c r="F136" i="43" s="1"/>
  <c r="D165" i="43"/>
  <c r="G165" i="43" s="1"/>
  <c r="J165" i="43" s="1"/>
  <c r="F234" i="57"/>
  <c r="D172" i="43"/>
  <c r="G172" i="43" s="1"/>
  <c r="J172" i="43" s="1"/>
  <c r="D191" i="43"/>
  <c r="G191" i="43" s="1"/>
  <c r="J191" i="43" s="1"/>
  <c r="F144" i="57"/>
  <c r="F233" i="57"/>
  <c r="F221" i="57"/>
  <c r="F154" i="57"/>
  <c r="F182" i="57"/>
  <c r="F142" i="57"/>
  <c r="N178" i="57"/>
  <c r="F168" i="57"/>
  <c r="F146" i="57"/>
  <c r="F195" i="57"/>
  <c r="F157" i="57"/>
  <c r="F185" i="57"/>
  <c r="F178" i="57"/>
  <c r="F204" i="57"/>
  <c r="F207" i="57"/>
  <c r="N154" i="57"/>
  <c r="F208" i="57"/>
  <c r="F179" i="57"/>
  <c r="F169" i="57"/>
  <c r="F237" i="57"/>
  <c r="F209" i="57"/>
  <c r="F88" i="57"/>
  <c r="G12" i="41" s="1"/>
  <c r="F177" i="57"/>
  <c r="F206" i="57"/>
  <c r="F222" i="57"/>
  <c r="F155" i="57"/>
  <c r="N211" i="57"/>
  <c r="F156" i="57"/>
  <c r="F205" i="57"/>
  <c r="F159" i="57"/>
  <c r="F172" i="57"/>
  <c r="F173" i="57"/>
  <c r="F158" i="57"/>
  <c r="F152" i="57"/>
  <c r="F210" i="57"/>
  <c r="F199" i="57"/>
  <c r="F202" i="57"/>
  <c r="N205" i="57"/>
  <c r="F223" i="57"/>
  <c r="F197" i="57"/>
  <c r="F153" i="57"/>
  <c r="F143" i="57"/>
  <c r="F229" i="57"/>
  <c r="F235" i="57"/>
  <c r="F203" i="57"/>
  <c r="F194" i="57"/>
  <c r="F180" i="57"/>
  <c r="F183" i="57"/>
  <c r="F220" i="57"/>
  <c r="F231" i="57"/>
  <c r="F232" i="57"/>
  <c r="F150" i="57"/>
  <c r="F176" i="57"/>
  <c r="F225" i="57"/>
  <c r="F170" i="57"/>
  <c r="F145" i="57"/>
  <c r="N221" i="57"/>
  <c r="F228" i="57"/>
  <c r="F211" i="57"/>
  <c r="F151" i="57"/>
  <c r="F230" i="57"/>
  <c r="F147" i="57"/>
  <c r="F224" i="57"/>
  <c r="F184" i="57"/>
  <c r="F198" i="57"/>
  <c r="F171" i="57"/>
  <c r="F236" i="57"/>
  <c r="N234" i="57"/>
  <c r="N207" i="57"/>
  <c r="N170" i="57"/>
  <c r="N220" i="57"/>
  <c r="N202" i="57"/>
  <c r="N228" i="57"/>
  <c r="N196" i="57"/>
  <c r="N146" i="57"/>
  <c r="N171" i="57"/>
  <c r="N206" i="57"/>
  <c r="N236" i="57"/>
  <c r="N210" i="57"/>
  <c r="N223" i="57"/>
  <c r="N199" i="57"/>
  <c r="N179" i="57"/>
  <c r="N233" i="57"/>
  <c r="N194" i="57"/>
  <c r="N235" i="57"/>
  <c r="N195" i="57"/>
  <c r="N176" i="57"/>
  <c r="N177" i="57"/>
  <c r="N180" i="57"/>
  <c r="N208" i="57"/>
  <c r="N229" i="57"/>
  <c r="N203" i="57"/>
  <c r="N185" i="57"/>
  <c r="N183" i="57"/>
  <c r="N232" i="57"/>
  <c r="N209" i="57"/>
  <c r="N231" i="57"/>
  <c r="N204" i="57"/>
  <c r="N181" i="57"/>
  <c r="N184" i="57"/>
  <c r="N230" i="57"/>
  <c r="N224" i="57"/>
  <c r="N198" i="57"/>
  <c r="N182" i="57"/>
  <c r="N168" i="57"/>
  <c r="N172" i="57"/>
  <c r="N222" i="57"/>
  <c r="N197" i="57"/>
  <c r="D154" i="43"/>
  <c r="G154" i="43" s="1"/>
  <c r="J154" i="43" s="1"/>
  <c r="N157" i="57"/>
  <c r="D179" i="43"/>
  <c r="G179" i="43" s="1"/>
  <c r="J179" i="43" s="1"/>
  <c r="I17" i="40"/>
  <c r="N144" i="57"/>
  <c r="L218" i="57"/>
  <c r="N156" i="57"/>
  <c r="N150" i="57"/>
  <c r="D212" i="43"/>
  <c r="F212" i="43" s="1"/>
  <c r="I212" i="43" s="1"/>
  <c r="J17" i="40"/>
  <c r="D141" i="43"/>
  <c r="G141" i="43" s="1"/>
  <c r="J141" i="43" s="1"/>
  <c r="D148" i="43"/>
  <c r="F148" i="43" s="1"/>
  <c r="I148" i="43" s="1"/>
  <c r="D142" i="43"/>
  <c r="F142" i="43" s="1"/>
  <c r="I142" i="43" s="1"/>
  <c r="D167" i="43"/>
  <c r="G167" i="43" s="1"/>
  <c r="J167" i="43" s="1"/>
  <c r="I19" i="40"/>
  <c r="D186" i="43"/>
  <c r="K16" i="40"/>
  <c r="N155" i="57"/>
  <c r="D205" i="43"/>
  <c r="F205" i="43" s="1"/>
  <c r="I205" i="43" s="1"/>
  <c r="I18" i="40"/>
  <c r="L192" i="57"/>
  <c r="K14" i="41" s="1"/>
  <c r="J16" i="40"/>
  <c r="D139" i="43"/>
  <c r="G139" i="43" s="1"/>
  <c r="J139" i="43" s="1"/>
  <c r="D145" i="43"/>
  <c r="G145" i="43" s="1"/>
  <c r="J145" i="43" s="1"/>
  <c r="D166" i="43"/>
  <c r="F166" i="43" s="1"/>
  <c r="I166" i="43" s="1"/>
  <c r="D164" i="43"/>
  <c r="F164" i="43" s="1"/>
  <c r="I164" i="43" s="1"/>
  <c r="D170" i="43"/>
  <c r="F170" i="43" s="1"/>
  <c r="I170" i="43" s="1"/>
  <c r="I15" i="40"/>
  <c r="D201" i="43"/>
  <c r="G201" i="43" s="1"/>
  <c r="J201" i="43" s="1"/>
  <c r="D194" i="43"/>
  <c r="F194" i="43" s="1"/>
  <c r="I194" i="43" s="1"/>
  <c r="K20" i="40"/>
  <c r="L166" i="57"/>
  <c r="J14" i="41" s="1"/>
  <c r="L140" i="57"/>
  <c r="I14" i="41" s="1"/>
  <c r="N145" i="57"/>
  <c r="D206" i="43"/>
  <c r="L15" i="40"/>
  <c r="J20" i="40"/>
  <c r="D144" i="43"/>
  <c r="F144" i="43" s="1"/>
  <c r="I144" i="43" s="1"/>
  <c r="D153" i="43"/>
  <c r="F153" i="43" s="1"/>
  <c r="D161" i="43"/>
  <c r="G161" i="43" s="1"/>
  <c r="D169" i="43"/>
  <c r="G169" i="43" s="1"/>
  <c r="J169" i="43" s="1"/>
  <c r="D178" i="43"/>
  <c r="G178" i="43" s="1"/>
  <c r="I16" i="40"/>
  <c r="D190" i="43"/>
  <c r="F190" i="43" s="1"/>
  <c r="I190" i="43" s="1"/>
  <c r="D188" i="43"/>
  <c r="G188" i="43" s="1"/>
  <c r="J188" i="43" s="1"/>
  <c r="K18" i="40"/>
  <c r="N147" i="57"/>
  <c r="J14" i="40"/>
  <c r="D149" i="43"/>
  <c r="F149" i="43" s="1"/>
  <c r="I149" i="43" s="1"/>
  <c r="D150" i="43"/>
  <c r="G150" i="43" s="1"/>
  <c r="J150" i="43" s="1"/>
  <c r="D175" i="43"/>
  <c r="F175" i="43" s="1"/>
  <c r="I175" i="43" s="1"/>
  <c r="D163" i="43"/>
  <c r="G163" i="43" s="1"/>
  <c r="J163" i="43" s="1"/>
  <c r="D176" i="43"/>
  <c r="F176" i="43" s="1"/>
  <c r="I176" i="43" s="1"/>
  <c r="I20" i="40"/>
  <c r="D200" i="43"/>
  <c r="F200" i="43" s="1"/>
  <c r="I200" i="43" s="1"/>
  <c r="D193" i="43"/>
  <c r="G193" i="43" s="1"/>
  <c r="J193" i="43" s="1"/>
  <c r="K13" i="40"/>
  <c r="N143" i="57"/>
  <c r="D230" i="43"/>
  <c r="G230" i="43" s="1"/>
  <c r="J230" i="43" s="1"/>
  <c r="K19" i="40"/>
  <c r="J18" i="40"/>
  <c r="L16" i="40"/>
  <c r="I13" i="40"/>
  <c r="D187" i="43"/>
  <c r="G187" i="43" s="1"/>
  <c r="J187" i="43" s="1"/>
  <c r="D198" i="43"/>
  <c r="G198" i="43" s="1"/>
  <c r="J198" i="43" s="1"/>
  <c r="D196" i="43"/>
  <c r="F196" i="43" s="1"/>
  <c r="I196" i="43" s="1"/>
  <c r="K17" i="40"/>
  <c r="N159" i="57"/>
  <c r="J13" i="40"/>
  <c r="J15" i="40"/>
  <c r="L20" i="40"/>
  <c r="D138" i="43"/>
  <c r="G138" i="43" s="1"/>
  <c r="J138" i="43" s="1"/>
  <c r="D162" i="43"/>
  <c r="G162" i="43" s="1"/>
  <c r="J162" i="43" s="1"/>
  <c r="D174" i="43"/>
  <c r="G174" i="43" s="1"/>
  <c r="J174" i="43" s="1"/>
  <c r="D173" i="43"/>
  <c r="F173" i="43" s="1"/>
  <c r="I173" i="43" s="1"/>
  <c r="D197" i="43"/>
  <c r="G197" i="43" s="1"/>
  <c r="J197" i="43" s="1"/>
  <c r="D189" i="43"/>
  <c r="G189" i="43" s="1"/>
  <c r="J189" i="43" s="1"/>
  <c r="D192" i="43"/>
  <c r="F192" i="43" s="1"/>
  <c r="I192" i="43" s="1"/>
  <c r="N152" i="57"/>
  <c r="N151" i="57"/>
  <c r="D155" i="43"/>
  <c r="F155" i="43" s="1"/>
  <c r="I155" i="43" s="1"/>
  <c r="L17" i="40"/>
  <c r="L19" i="40"/>
  <c r="N153" i="57"/>
  <c r="N158" i="57"/>
  <c r="L14" i="40"/>
  <c r="N142" i="57"/>
  <c r="L18" i="40"/>
  <c r="L13" i="40"/>
  <c r="D216" i="43"/>
  <c r="G216" i="43" s="1"/>
  <c r="J216" i="43" s="1"/>
  <c r="D225" i="43"/>
  <c r="G225" i="43" s="1"/>
  <c r="J225" i="43" s="1"/>
  <c r="D221" i="43"/>
  <c r="G221" i="43" s="1"/>
  <c r="J221" i="43" s="1"/>
  <c r="D217" i="43"/>
  <c r="G217" i="43" s="1"/>
  <c r="J217" i="43" s="1"/>
  <c r="D213" i="43"/>
  <c r="G213" i="43" s="1"/>
  <c r="J213" i="43" s="1"/>
  <c r="D222" i="43"/>
  <c r="F222" i="43" s="1"/>
  <c r="I222" i="43" s="1"/>
  <c r="D214" i="43"/>
  <c r="F214" i="43" s="1"/>
  <c r="I214" i="43" s="1"/>
  <c r="D223" i="43"/>
  <c r="G223" i="43" s="1"/>
  <c r="J223" i="43" s="1"/>
  <c r="D219" i="43"/>
  <c r="F219" i="43" s="1"/>
  <c r="I219" i="43" s="1"/>
  <c r="D224" i="43"/>
  <c r="G224" i="43" s="1"/>
  <c r="J224" i="43" s="1"/>
  <c r="D215" i="43"/>
  <c r="F215" i="43" s="1"/>
  <c r="I215" i="43" s="1"/>
  <c r="D156" i="43"/>
  <c r="F156" i="43" s="1"/>
  <c r="I156" i="43" s="1"/>
  <c r="D229" i="43"/>
  <c r="F229" i="43" s="1"/>
  <c r="I229" i="43" s="1"/>
  <c r="D181" i="43"/>
  <c r="D231" i="43"/>
  <c r="G231" i="43" s="1"/>
  <c r="J231" i="43" s="1"/>
  <c r="D180" i="43"/>
  <c r="F180" i="43" s="1"/>
  <c r="I180" i="43" s="1"/>
  <c r="F105" i="43"/>
  <c r="I105" i="43" s="1"/>
  <c r="G105" i="43"/>
  <c r="J105" i="43" s="1"/>
  <c r="F104" i="43"/>
  <c r="I104" i="43" s="1"/>
  <c r="G104" i="43"/>
  <c r="J104" i="43" s="1"/>
  <c r="D102" i="43"/>
  <c r="F106" i="43"/>
  <c r="I106" i="43" s="1"/>
  <c r="G106" i="43"/>
  <c r="J106" i="43" s="1"/>
  <c r="K10" i="43"/>
  <c r="N88" i="57"/>
  <c r="G13" i="41" s="1"/>
  <c r="F96" i="43"/>
  <c r="I96" i="43" s="1"/>
  <c r="G96" i="43"/>
  <c r="J96" i="43" s="1"/>
  <c r="G121" i="43"/>
  <c r="J121" i="43" s="1"/>
  <c r="F121" i="43"/>
  <c r="I121" i="43" s="1"/>
  <c r="G21" i="40"/>
  <c r="G86" i="43"/>
  <c r="F86" i="43"/>
  <c r="F88" i="43"/>
  <c r="I88" i="43" s="1"/>
  <c r="G88" i="43"/>
  <c r="J88" i="43" s="1"/>
  <c r="G89" i="43"/>
  <c r="J89" i="43" s="1"/>
  <c r="F89" i="43"/>
  <c r="I89" i="43" s="1"/>
  <c r="G100" i="43"/>
  <c r="J100" i="43" s="1"/>
  <c r="F100" i="43"/>
  <c r="I100" i="43" s="1"/>
  <c r="F94" i="43"/>
  <c r="I94" i="43" s="1"/>
  <c r="G94" i="43"/>
  <c r="J94" i="43" s="1"/>
  <c r="G92" i="43"/>
  <c r="J92" i="43" s="1"/>
  <c r="F92" i="43"/>
  <c r="I92" i="43" s="1"/>
  <c r="F98" i="43"/>
  <c r="I98" i="43" s="1"/>
  <c r="G98" i="43"/>
  <c r="J98" i="43" s="1"/>
  <c r="G90" i="43"/>
  <c r="J90" i="43" s="1"/>
  <c r="F90" i="43"/>
  <c r="I90" i="43" s="1"/>
  <c r="F91" i="43"/>
  <c r="I91" i="43" s="1"/>
  <c r="G91" i="43"/>
  <c r="J91" i="43" s="1"/>
  <c r="G87" i="43"/>
  <c r="J87" i="43" s="1"/>
  <c r="F87" i="43"/>
  <c r="I87" i="43" s="1"/>
  <c r="G95" i="43"/>
  <c r="J95" i="43" s="1"/>
  <c r="F95" i="43"/>
  <c r="I95" i="43" s="1"/>
  <c r="F101" i="43"/>
  <c r="I101" i="43" s="1"/>
  <c r="G101" i="43"/>
  <c r="J101" i="43" s="1"/>
  <c r="G103" i="43"/>
  <c r="F103" i="43"/>
  <c r="G97" i="43"/>
  <c r="J97" i="43" s="1"/>
  <c r="F97" i="43"/>
  <c r="I97" i="43" s="1"/>
  <c r="G99" i="43"/>
  <c r="J99" i="43" s="1"/>
  <c r="F99" i="43"/>
  <c r="I99" i="43" s="1"/>
  <c r="G93" i="43"/>
  <c r="J93" i="43" s="1"/>
  <c r="F93" i="43"/>
  <c r="I93" i="43" s="1"/>
  <c r="G111" i="43" l="1"/>
  <c r="J111" i="43" s="1"/>
  <c r="F125" i="43"/>
  <c r="I125" i="43" s="1"/>
  <c r="K125" i="43" s="1"/>
  <c r="F123" i="43"/>
  <c r="I123" i="43" s="1"/>
  <c r="K123" i="43" s="1"/>
  <c r="G211" i="43"/>
  <c r="J211" i="43" s="1"/>
  <c r="F118" i="43"/>
  <c r="I118" i="43" s="1"/>
  <c r="K118" i="43" s="1"/>
  <c r="G122" i="43"/>
  <c r="J122" i="43" s="1"/>
  <c r="K122" i="43" s="1"/>
  <c r="G128" i="43"/>
  <c r="J128" i="43" s="1"/>
  <c r="F220" i="43"/>
  <c r="I220" i="43" s="1"/>
  <c r="K220" i="43" s="1"/>
  <c r="G226" i="43"/>
  <c r="J226" i="43" s="1"/>
  <c r="K226" i="43" s="1"/>
  <c r="F131" i="43"/>
  <c r="I131" i="43" s="1"/>
  <c r="K131" i="43" s="1"/>
  <c r="F204" i="43"/>
  <c r="I204" i="43" s="1"/>
  <c r="K204" i="43" s="1"/>
  <c r="F113" i="43"/>
  <c r="I113" i="43" s="1"/>
  <c r="K113" i="43" s="1"/>
  <c r="G112" i="43"/>
  <c r="J112" i="43" s="1"/>
  <c r="K112" i="43" s="1"/>
  <c r="G116" i="43"/>
  <c r="J116" i="43" s="1"/>
  <c r="K116" i="43" s="1"/>
  <c r="G124" i="43"/>
  <c r="J124" i="43" s="1"/>
  <c r="K124" i="43" s="1"/>
  <c r="F120" i="43"/>
  <c r="I120" i="43" s="1"/>
  <c r="K120" i="43" s="1"/>
  <c r="F115" i="43"/>
  <c r="I115" i="43" s="1"/>
  <c r="K115" i="43" s="1"/>
  <c r="G130" i="43"/>
  <c r="J130" i="43" s="1"/>
  <c r="K130" i="43" s="1"/>
  <c r="H21" i="40"/>
  <c r="H23" i="40" s="1"/>
  <c r="G114" i="43"/>
  <c r="J114" i="43" s="1"/>
  <c r="K114" i="43" s="1"/>
  <c r="G119" i="43"/>
  <c r="J119" i="43" s="1"/>
  <c r="K119" i="43" s="1"/>
  <c r="F126" i="43"/>
  <c r="I126" i="43" s="1"/>
  <c r="K126" i="43" s="1"/>
  <c r="D127" i="43"/>
  <c r="D110" i="43" s="1"/>
  <c r="D133" i="43" s="1"/>
  <c r="G117" i="43"/>
  <c r="J117" i="43" s="1"/>
  <c r="K117" i="43" s="1"/>
  <c r="F129" i="43"/>
  <c r="I129" i="43" s="1"/>
  <c r="G129" i="43"/>
  <c r="J129" i="43" s="1"/>
  <c r="N114" i="57"/>
  <c r="H13" i="41" s="1"/>
  <c r="F114" i="57"/>
  <c r="H12" i="41" s="1"/>
  <c r="G147" i="43"/>
  <c r="J147" i="43" s="1"/>
  <c r="K147" i="43" s="1"/>
  <c r="F139" i="43"/>
  <c r="I139" i="43" s="1"/>
  <c r="K139" i="43" s="1"/>
  <c r="G137" i="43"/>
  <c r="J137" i="43" s="1"/>
  <c r="K137" i="43" s="1"/>
  <c r="F218" i="43"/>
  <c r="I218" i="43" s="1"/>
  <c r="K218" i="43" s="1"/>
  <c r="G171" i="43"/>
  <c r="J171" i="43" s="1"/>
  <c r="K171" i="43" s="1"/>
  <c r="G195" i="43"/>
  <c r="J195" i="43" s="1"/>
  <c r="K195" i="43" s="1"/>
  <c r="G143" i="43"/>
  <c r="J143" i="43" s="1"/>
  <c r="K143" i="43" s="1"/>
  <c r="L14" i="41"/>
  <c r="G136" i="43"/>
  <c r="J136" i="43" s="1"/>
  <c r="G212" i="43"/>
  <c r="J212" i="43" s="1"/>
  <c r="K212" i="43" s="1"/>
  <c r="G170" i="43"/>
  <c r="J170" i="43" s="1"/>
  <c r="K170" i="43" s="1"/>
  <c r="F216" i="43"/>
  <c r="I216" i="43" s="1"/>
  <c r="K216" i="43" s="1"/>
  <c r="G153" i="43"/>
  <c r="J153" i="43" s="1"/>
  <c r="G146" i="43"/>
  <c r="J146" i="43" s="1"/>
  <c r="K146" i="43" s="1"/>
  <c r="G203" i="43"/>
  <c r="J203" i="43" s="1"/>
  <c r="F172" i="43"/>
  <c r="I172" i="43" s="1"/>
  <c r="K172" i="43" s="1"/>
  <c r="F225" i="43"/>
  <c r="I225" i="43" s="1"/>
  <c r="K225" i="43" s="1"/>
  <c r="F191" i="43"/>
  <c r="I191" i="43" s="1"/>
  <c r="K191" i="43" s="1"/>
  <c r="F140" i="43"/>
  <c r="I140" i="43" s="1"/>
  <c r="K140" i="43" s="1"/>
  <c r="G199" i="43"/>
  <c r="J199" i="43" s="1"/>
  <c r="K199" i="43" s="1"/>
  <c r="G173" i="43"/>
  <c r="J173" i="43" s="1"/>
  <c r="K173" i="43" s="1"/>
  <c r="F165" i="43"/>
  <c r="I165" i="43" s="1"/>
  <c r="K165" i="43" s="1"/>
  <c r="G168" i="43"/>
  <c r="J168" i="43" s="1"/>
  <c r="K168" i="43" s="1"/>
  <c r="G144" i="43"/>
  <c r="J144" i="43" s="1"/>
  <c r="K144" i="43" s="1"/>
  <c r="G222" i="43"/>
  <c r="J222" i="43" s="1"/>
  <c r="K222" i="43" s="1"/>
  <c r="F161" i="43"/>
  <c r="I161" i="43" s="1"/>
  <c r="G186" i="43"/>
  <c r="J186" i="43" s="1"/>
  <c r="G149" i="43"/>
  <c r="J149" i="43" s="1"/>
  <c r="K149" i="43" s="1"/>
  <c r="D85" i="43"/>
  <c r="D108" i="43" s="1"/>
  <c r="G15" i="41"/>
  <c r="F197" i="43"/>
  <c r="I197" i="43" s="1"/>
  <c r="K197" i="43" s="1"/>
  <c r="F150" i="43"/>
  <c r="I150" i="43" s="1"/>
  <c r="K150" i="43" s="1"/>
  <c r="F193" i="43"/>
  <c r="I193" i="43" s="1"/>
  <c r="K193" i="43" s="1"/>
  <c r="F163" i="43"/>
  <c r="I163" i="43" s="1"/>
  <c r="K163" i="43" s="1"/>
  <c r="F138" i="43"/>
  <c r="I138" i="43" s="1"/>
  <c r="K138" i="43" s="1"/>
  <c r="G194" i="43"/>
  <c r="J194" i="43" s="1"/>
  <c r="K194" i="43" s="1"/>
  <c r="G166" i="43"/>
  <c r="J166" i="43" s="1"/>
  <c r="K166" i="43" s="1"/>
  <c r="F198" i="43"/>
  <c r="I198" i="43" s="1"/>
  <c r="K198" i="43" s="1"/>
  <c r="F189" i="43"/>
  <c r="I189" i="43" s="1"/>
  <c r="K189" i="43" s="1"/>
  <c r="F188" i="43"/>
  <c r="I188" i="43" s="1"/>
  <c r="K188" i="43" s="1"/>
  <c r="F217" i="43"/>
  <c r="I217" i="43" s="1"/>
  <c r="K217" i="43" s="1"/>
  <c r="G196" i="43"/>
  <c r="J196" i="43" s="1"/>
  <c r="K196" i="43" s="1"/>
  <c r="G175" i="43"/>
  <c r="J175" i="43" s="1"/>
  <c r="K175" i="43" s="1"/>
  <c r="F178" i="43"/>
  <c r="I178" i="43" s="1"/>
  <c r="F179" i="43"/>
  <c r="I179" i="43" s="1"/>
  <c r="K179" i="43" s="1"/>
  <c r="F151" i="43"/>
  <c r="I151" i="43" s="1"/>
  <c r="K151" i="43" s="1"/>
  <c r="G148" i="43"/>
  <c r="J148" i="43" s="1"/>
  <c r="K148" i="43" s="1"/>
  <c r="F169" i="43"/>
  <c r="I169" i="43" s="1"/>
  <c r="K169" i="43" s="1"/>
  <c r="G215" i="43"/>
  <c r="J215" i="43" s="1"/>
  <c r="K215" i="43" s="1"/>
  <c r="F154" i="43"/>
  <c r="I154" i="43" s="1"/>
  <c r="K154" i="43" s="1"/>
  <c r="F221" i="43"/>
  <c r="I221" i="43" s="1"/>
  <c r="K221" i="43" s="1"/>
  <c r="G176" i="43"/>
  <c r="J176" i="43" s="1"/>
  <c r="K176" i="43" s="1"/>
  <c r="K21" i="40"/>
  <c r="K23" i="40" s="1"/>
  <c r="F228" i="43"/>
  <c r="I228" i="43" s="1"/>
  <c r="G142" i="43"/>
  <c r="J142" i="43" s="1"/>
  <c r="K142" i="43" s="1"/>
  <c r="F201" i="43"/>
  <c r="I201" i="43" s="1"/>
  <c r="K201" i="43" s="1"/>
  <c r="G155" i="43"/>
  <c r="J155" i="43" s="1"/>
  <c r="K155" i="43" s="1"/>
  <c r="J21" i="40"/>
  <c r="J23" i="40" s="1"/>
  <c r="D202" i="43"/>
  <c r="F224" i="43"/>
  <c r="I224" i="43" s="1"/>
  <c r="K224" i="43" s="1"/>
  <c r="F145" i="43"/>
  <c r="I145" i="43" s="1"/>
  <c r="K145" i="43" s="1"/>
  <c r="F218" i="57"/>
  <c r="F166" i="57"/>
  <c r="J12" i="41" s="1"/>
  <c r="F140" i="57"/>
  <c r="I12" i="41" s="1"/>
  <c r="G205" i="43"/>
  <c r="J205" i="43" s="1"/>
  <c r="K205" i="43" s="1"/>
  <c r="D152" i="43"/>
  <c r="D135" i="43" s="1"/>
  <c r="D158" i="43" s="1"/>
  <c r="F192" i="57"/>
  <c r="K12" i="41" s="1"/>
  <c r="N218" i="57"/>
  <c r="L13" i="41" s="1"/>
  <c r="N192" i="57"/>
  <c r="K13" i="41" s="1"/>
  <c r="N166" i="57"/>
  <c r="J13" i="41" s="1"/>
  <c r="F213" i="43"/>
  <c r="I213" i="43" s="1"/>
  <c r="K213" i="43" s="1"/>
  <c r="G156" i="43"/>
  <c r="J156" i="43" s="1"/>
  <c r="K156" i="43" s="1"/>
  <c r="G206" i="43"/>
  <c r="J206" i="43" s="1"/>
  <c r="G229" i="43"/>
  <c r="J229" i="43" s="1"/>
  <c r="K229" i="43" s="1"/>
  <c r="F206" i="43"/>
  <c r="I206" i="43" s="1"/>
  <c r="G164" i="43"/>
  <c r="J164" i="43" s="1"/>
  <c r="K164" i="43" s="1"/>
  <c r="F167" i="43"/>
  <c r="I167" i="43" s="1"/>
  <c r="K167" i="43" s="1"/>
  <c r="L21" i="40"/>
  <c r="L23" i="40" s="1"/>
  <c r="I21" i="40"/>
  <c r="I20" i="50" s="1"/>
  <c r="F187" i="43"/>
  <c r="I187" i="43" s="1"/>
  <c r="K187" i="43" s="1"/>
  <c r="G190" i="43"/>
  <c r="J190" i="43" s="1"/>
  <c r="K190" i="43" s="1"/>
  <c r="F230" i="43"/>
  <c r="I230" i="43" s="1"/>
  <c r="K230" i="43" s="1"/>
  <c r="G200" i="43"/>
  <c r="J200" i="43" s="1"/>
  <c r="K200" i="43" s="1"/>
  <c r="F174" i="43"/>
  <c r="I174" i="43" s="1"/>
  <c r="K174" i="43" s="1"/>
  <c r="F141" i="43"/>
  <c r="I141" i="43" s="1"/>
  <c r="K141" i="43" s="1"/>
  <c r="G214" i="43"/>
  <c r="J214" i="43" s="1"/>
  <c r="K214" i="43" s="1"/>
  <c r="F186" i="43"/>
  <c r="F162" i="43"/>
  <c r="I162" i="43" s="1"/>
  <c r="K162" i="43" s="1"/>
  <c r="G192" i="43"/>
  <c r="J192" i="43" s="1"/>
  <c r="K192" i="43" s="1"/>
  <c r="N140" i="57"/>
  <c r="I13" i="41" s="1"/>
  <c r="G219" i="43"/>
  <c r="J219" i="43" s="1"/>
  <c r="K219" i="43" s="1"/>
  <c r="F231" i="43"/>
  <c r="I231" i="43" s="1"/>
  <c r="K231" i="43" s="1"/>
  <c r="F223" i="43"/>
  <c r="I223" i="43" s="1"/>
  <c r="K223" i="43" s="1"/>
  <c r="G180" i="43"/>
  <c r="J180" i="43" s="1"/>
  <c r="K180" i="43" s="1"/>
  <c r="D177" i="43"/>
  <c r="G181" i="43"/>
  <c r="J181" i="43" s="1"/>
  <c r="D227" i="43"/>
  <c r="F181" i="43"/>
  <c r="I181" i="43" s="1"/>
  <c r="I203" i="43"/>
  <c r="J178" i="43"/>
  <c r="J228" i="43"/>
  <c r="I128" i="43"/>
  <c r="I153" i="43"/>
  <c r="K106" i="43"/>
  <c r="I103" i="43"/>
  <c r="I102" i="43" s="1"/>
  <c r="F102" i="43"/>
  <c r="F85" i="43" s="1"/>
  <c r="K104" i="43"/>
  <c r="J103" i="43"/>
  <c r="J102" i="43" s="1"/>
  <c r="G102" i="43"/>
  <c r="G85" i="43" s="1"/>
  <c r="K105" i="43"/>
  <c r="K97" i="43"/>
  <c r="K95" i="43"/>
  <c r="K98" i="43"/>
  <c r="K88" i="43"/>
  <c r="K121" i="43"/>
  <c r="K93" i="43"/>
  <c r="K100" i="43"/>
  <c r="J161" i="43"/>
  <c r="K101" i="43"/>
  <c r="K87" i="43"/>
  <c r="K94" i="43"/>
  <c r="K89" i="43"/>
  <c r="I136" i="43"/>
  <c r="K99" i="43"/>
  <c r="I111" i="43"/>
  <c r="I86" i="43"/>
  <c r="I211" i="43"/>
  <c r="K96" i="43"/>
  <c r="G23" i="40"/>
  <c r="G20" i="50"/>
  <c r="K91" i="43"/>
  <c r="K90" i="43"/>
  <c r="K92" i="43"/>
  <c r="J86" i="43"/>
  <c r="J127" i="43" l="1"/>
  <c r="J110" i="43" s="1"/>
  <c r="H20" i="50"/>
  <c r="G127" i="43"/>
  <c r="G110" i="43" s="1"/>
  <c r="K129" i="43"/>
  <c r="F127" i="43"/>
  <c r="F110" i="43" s="1"/>
  <c r="I127" i="43"/>
  <c r="I110" i="43" s="1"/>
  <c r="H15" i="41"/>
  <c r="K20" i="50"/>
  <c r="L15" i="41"/>
  <c r="I85" i="43"/>
  <c r="I108" i="43" s="1"/>
  <c r="J15" i="41"/>
  <c r="K15" i="41"/>
  <c r="I15" i="41"/>
  <c r="G202" i="43"/>
  <c r="G185" i="43" s="1"/>
  <c r="I186" i="43"/>
  <c r="L12" i="41"/>
  <c r="D185" i="43"/>
  <c r="D208" i="43" s="1"/>
  <c r="J85" i="43"/>
  <c r="D210" i="43"/>
  <c r="D233" i="43" s="1"/>
  <c r="D160" i="43"/>
  <c r="D183" i="43" s="1"/>
  <c r="C23" i="50"/>
  <c r="I152" i="43"/>
  <c r="I135" i="43" s="1"/>
  <c r="F152" i="43"/>
  <c r="F135" i="43" s="1"/>
  <c r="J227" i="43"/>
  <c r="J210" i="43" s="1"/>
  <c r="G227" i="43"/>
  <c r="G210" i="43" s="1"/>
  <c r="L20" i="50"/>
  <c r="G152" i="43"/>
  <c r="G135" i="43" s="1"/>
  <c r="K206" i="43"/>
  <c r="J152" i="43"/>
  <c r="J135" i="43" s="1"/>
  <c r="J202" i="43"/>
  <c r="J185" i="43" s="1"/>
  <c r="I23" i="40"/>
  <c r="M20" i="50"/>
  <c r="F202" i="43"/>
  <c r="F185" i="43" s="1"/>
  <c r="I202" i="43"/>
  <c r="F227" i="43"/>
  <c r="F210" i="43" s="1"/>
  <c r="I227" i="43"/>
  <c r="I210" i="43" s="1"/>
  <c r="K181" i="43"/>
  <c r="I177" i="43"/>
  <c r="I160" i="43" s="1"/>
  <c r="G177" i="43"/>
  <c r="G160" i="43" s="1"/>
  <c r="J177" i="43"/>
  <c r="J160" i="43" s="1"/>
  <c r="F177" i="43"/>
  <c r="F160" i="43" s="1"/>
  <c r="K228" i="43"/>
  <c r="K227" i="43" s="1"/>
  <c r="K203" i="43"/>
  <c r="K178" i="43"/>
  <c r="K128" i="43"/>
  <c r="K153" i="43"/>
  <c r="K152" i="43" s="1"/>
  <c r="K103" i="43"/>
  <c r="K102" i="43" s="1"/>
  <c r="K211" i="43"/>
  <c r="K136" i="43"/>
  <c r="K161" i="43"/>
  <c r="K86" i="43"/>
  <c r="K111" i="43"/>
  <c r="K127" i="43" l="1"/>
  <c r="K110" i="43" s="1"/>
  <c r="I133" i="43"/>
  <c r="K135" i="43"/>
  <c r="K85" i="43"/>
  <c r="I185" i="43"/>
  <c r="I208" i="43" s="1"/>
  <c r="I233" i="43"/>
  <c r="I158" i="43"/>
  <c r="I183" i="43"/>
  <c r="K186" i="43"/>
  <c r="K210" i="43"/>
  <c r="K202" i="43"/>
  <c r="K177" i="43"/>
  <c r="J25" i="41" s="1"/>
  <c r="J27" i="41" s="1"/>
  <c r="I25" i="41"/>
  <c r="I27" i="41" s="1"/>
  <c r="K25" i="41"/>
  <c r="K27" i="41" s="1"/>
  <c r="H25" i="41"/>
  <c r="H27" i="41" s="1"/>
  <c r="L25" i="41"/>
  <c r="L27" i="41" s="1"/>
  <c r="G25" i="41"/>
  <c r="G27" i="41" s="1"/>
  <c r="K185" i="43" l="1"/>
  <c r="K160" i="43"/>
  <c r="I23" i="50"/>
  <c r="K23" i="50"/>
  <c r="L23" i="50"/>
  <c r="H23" i="50"/>
  <c r="G23" i="50"/>
  <c r="M23" i="50"/>
  <c r="X88" i="61" l="1"/>
  <c r="X86" i="61"/>
  <c r="X69" i="61" l="1"/>
  <c r="F70" i="61" s="1"/>
  <c r="C70" i="61" s="1"/>
  <c r="X67" i="61"/>
  <c r="F68" i="61" s="1"/>
  <c r="C68" i="61" s="1"/>
  <c r="X68" i="61"/>
  <c r="F69" i="61" s="1"/>
  <c r="C69" i="61" s="1"/>
  <c r="X70" i="61" l="1"/>
  <c r="N38" i="61"/>
  <c r="N48" i="61" s="1"/>
  <c r="X48" i="61" s="1"/>
  <c r="N53" i="61"/>
  <c r="N36" i="61" s="1"/>
  <c r="N46" i="61" s="1"/>
  <c r="X46" i="61" s="1"/>
  <c r="N57" i="61" l="1"/>
  <c r="N37" i="61"/>
  <c r="N47" i="61" s="1"/>
  <c r="X47" i="61" s="1"/>
  <c r="O36" i="61" l="1"/>
  <c r="O46" i="61" s="1"/>
  <c r="Y46" i="61" s="1"/>
  <c r="O37" i="61" l="1"/>
  <c r="O47" i="61" s="1"/>
  <c r="Y47" i="61" s="1"/>
  <c r="O57" i="61"/>
  <c r="O38" i="61"/>
  <c r="O48" i="61" s="1"/>
  <c r="Y48" i="61" s="1"/>
  <c r="X36" i="61"/>
  <c r="X26" i="61" s="1"/>
  <c r="F26" i="61" l="1"/>
  <c r="Y36" i="61"/>
  <c r="Y26" i="61" s="1"/>
  <c r="G26" i="61" s="1"/>
  <c r="Y38" i="61"/>
  <c r="Y28" i="61" s="1"/>
  <c r="G28" i="61" s="1"/>
  <c r="Y57" i="61"/>
  <c r="Y37" i="61"/>
  <c r="Y27" i="61" s="1"/>
  <c r="Y29" i="61" l="1"/>
  <c r="G27" i="61"/>
  <c r="AB36" i="61"/>
  <c r="AB26" i="61" s="1"/>
  <c r="AA36" i="61"/>
  <c r="AA26" i="61" s="1"/>
  <c r="I26" i="61" s="1"/>
  <c r="Z36" i="61"/>
  <c r="Z26" i="61" s="1"/>
  <c r="H26" i="61" s="1"/>
  <c r="AC36" i="61"/>
  <c r="AC26" i="61" s="1"/>
  <c r="K26" i="61" s="1"/>
  <c r="J26" i="61" l="1"/>
  <c r="C26" i="61" s="1"/>
  <c r="D47" i="55" l="1"/>
  <c r="D49" i="55"/>
  <c r="D45" i="55"/>
  <c r="D44" i="55"/>
  <c r="D50" i="55"/>
  <c r="D54" i="55"/>
  <c r="D42" i="55"/>
  <c r="D52" i="55"/>
  <c r="D53" i="55"/>
  <c r="D46" i="55"/>
  <c r="D48" i="55"/>
  <c r="D51" i="55"/>
  <c r="D41" i="55"/>
  <c r="D43" i="55"/>
  <c r="D75" i="57" l="1"/>
  <c r="D153" i="57"/>
  <c r="D231" i="57"/>
  <c r="D179" i="57"/>
  <c r="D23" i="57"/>
  <c r="D101" i="57"/>
  <c r="D205" i="57"/>
  <c r="D127" i="57"/>
  <c r="D49" i="57"/>
  <c r="D13" i="57"/>
  <c r="D221" i="57"/>
  <c r="D169" i="57"/>
  <c r="D195" i="57"/>
  <c r="D143" i="57"/>
  <c r="D39" i="57"/>
  <c r="D117" i="57"/>
  <c r="D65" i="57"/>
  <c r="D91" i="57"/>
  <c r="D196" i="57"/>
  <c r="D222" i="57"/>
  <c r="D40" i="57"/>
  <c r="D14" i="57"/>
  <c r="D118" i="57"/>
  <c r="D92" i="57"/>
  <c r="D144" i="57"/>
  <c r="D66" i="57"/>
  <c r="D170" i="57"/>
  <c r="D211" i="57"/>
  <c r="D133" i="57"/>
  <c r="D107" i="57"/>
  <c r="D159" i="57"/>
  <c r="D29" i="57"/>
  <c r="D237" i="57"/>
  <c r="D81" i="57"/>
  <c r="D185" i="57"/>
  <c r="D55" i="57"/>
  <c r="D220" i="57"/>
  <c r="D194" i="57"/>
  <c r="D12" i="57"/>
  <c r="D38" i="57"/>
  <c r="D64" i="57"/>
  <c r="D90" i="57"/>
  <c r="D116" i="57"/>
  <c r="D168" i="57"/>
  <c r="D142" i="57"/>
  <c r="D177" i="57"/>
  <c r="D99" i="57"/>
  <c r="D151" i="57"/>
  <c r="D21" i="57"/>
  <c r="D47" i="57"/>
  <c r="D73" i="57"/>
  <c r="D125" i="57"/>
  <c r="D229" i="57"/>
  <c r="D203" i="57"/>
  <c r="D197" i="57"/>
  <c r="D171" i="57"/>
  <c r="D67" i="57"/>
  <c r="D145" i="57"/>
  <c r="D119" i="57"/>
  <c r="D223" i="57"/>
  <c r="D41" i="57"/>
  <c r="D15" i="57"/>
  <c r="D93" i="57"/>
  <c r="D175" i="57"/>
  <c r="D19" i="57"/>
  <c r="D123" i="57"/>
  <c r="D45" i="57"/>
  <c r="D201" i="57"/>
  <c r="D227" i="57"/>
  <c r="D149" i="57"/>
  <c r="D71" i="57"/>
  <c r="D97" i="57"/>
  <c r="D94" i="57"/>
  <c r="D198" i="57"/>
  <c r="D120" i="57"/>
  <c r="D42" i="57"/>
  <c r="D16" i="57"/>
  <c r="D224" i="57"/>
  <c r="D172" i="57"/>
  <c r="D146" i="57"/>
  <c r="D68" i="57"/>
  <c r="D173" i="57"/>
  <c r="D121" i="57"/>
  <c r="D199" i="57"/>
  <c r="D43" i="57"/>
  <c r="D17" i="57"/>
  <c r="D225" i="57"/>
  <c r="D69" i="57"/>
  <c r="D95" i="57"/>
  <c r="D147" i="57"/>
  <c r="D72" i="57"/>
  <c r="D202" i="57"/>
  <c r="D46" i="57"/>
  <c r="D228" i="57"/>
  <c r="D124" i="57"/>
  <c r="D176" i="57"/>
  <c r="D20" i="57"/>
  <c r="D150" i="57"/>
  <c r="D98" i="57"/>
  <c r="D204" i="57"/>
  <c r="D230" i="57"/>
  <c r="D22" i="57"/>
  <c r="D178" i="57"/>
  <c r="D100" i="57"/>
  <c r="D48" i="57"/>
  <c r="D74" i="57"/>
  <c r="D152" i="57"/>
  <c r="D126" i="57"/>
  <c r="D180" i="57"/>
  <c r="D206" i="57"/>
  <c r="D128" i="57"/>
  <c r="D24" i="57"/>
  <c r="D232" i="57"/>
  <c r="D50" i="57"/>
  <c r="D102" i="57"/>
  <c r="D154" i="57"/>
  <c r="D76" i="57"/>
  <c r="D174" i="57"/>
  <c r="D44" i="57"/>
  <c r="D200" i="57"/>
  <c r="D122" i="57"/>
  <c r="D70" i="57"/>
  <c r="D226" i="57"/>
  <c r="D148" i="57"/>
  <c r="D96" i="57"/>
  <c r="D18" i="57"/>
  <c r="AB57" i="61"/>
  <c r="AC57" i="61"/>
  <c r="AA38" i="61"/>
  <c r="AA28" i="61" s="1"/>
  <c r="I28" i="61" s="1"/>
  <c r="AB38" i="61"/>
  <c r="AB28" i="61" s="1"/>
  <c r="J28" i="61" s="1"/>
  <c r="AC38" i="61"/>
  <c r="AC28" i="61" s="1"/>
  <c r="K28" i="61" s="1"/>
  <c r="Z38" i="61"/>
  <c r="Z28" i="61" s="1"/>
  <c r="H28" i="61" s="1"/>
  <c r="AA57" i="61"/>
  <c r="AC37" i="61"/>
  <c r="AC27" i="61" s="1"/>
  <c r="K27" i="61" s="1"/>
  <c r="AA37" i="61"/>
  <c r="AA27" i="61" s="1"/>
  <c r="AB37" i="61"/>
  <c r="AB27" i="61" s="1"/>
  <c r="Z37" i="61"/>
  <c r="Z27" i="61" s="1"/>
  <c r="Z57" i="61"/>
  <c r="AA29" i="61" l="1"/>
  <c r="AB29" i="61"/>
  <c r="Z29" i="61"/>
  <c r="I27" i="61"/>
  <c r="AC29" i="61"/>
  <c r="H27" i="61"/>
  <c r="J27" i="61"/>
  <c r="X57" i="61"/>
  <c r="X37" i="61"/>
  <c r="X27" i="61" s="1"/>
  <c r="X38" i="61"/>
  <c r="X28" i="61" s="1"/>
  <c r="F28" i="61" s="1"/>
  <c r="C28" i="61" s="1"/>
  <c r="D40" i="55" s="1"/>
  <c r="D193" i="57" l="1"/>
  <c r="D11" i="57"/>
  <c r="D63" i="57"/>
  <c r="D219" i="57"/>
  <c r="D89" i="57"/>
  <c r="D141" i="57"/>
  <c r="D115" i="57"/>
  <c r="D37" i="57"/>
  <c r="D167" i="57"/>
  <c r="F27" i="61"/>
  <c r="C27" i="61" s="1"/>
  <c r="X29" i="61"/>
  <c r="D55" i="55" l="1"/>
  <c r="D58" i="55"/>
  <c r="D56" i="55"/>
  <c r="D57" i="55"/>
  <c r="D103" i="57" l="1"/>
  <c r="D51" i="57"/>
  <c r="D181" i="57"/>
  <c r="D77" i="57"/>
  <c r="D207" i="57"/>
  <c r="D25" i="57"/>
  <c r="D155" i="57"/>
  <c r="D129" i="57"/>
  <c r="D233" i="57"/>
  <c r="D80" i="57"/>
  <c r="D184" i="57"/>
  <c r="D54" i="57"/>
  <c r="D132" i="57"/>
  <c r="D236" i="57"/>
  <c r="D28" i="57"/>
  <c r="D106" i="57"/>
  <c r="D210" i="57"/>
  <c r="D158" i="57"/>
  <c r="D209" i="57"/>
  <c r="D105" i="57"/>
  <c r="D235" i="57"/>
  <c r="D79" i="57"/>
  <c r="D157" i="57"/>
  <c r="D27" i="57"/>
  <c r="D183" i="57"/>
  <c r="D131" i="57"/>
  <c r="D53" i="57"/>
  <c r="D156" i="57"/>
  <c r="D234" i="57"/>
  <c r="D208" i="57"/>
  <c r="D26" i="57"/>
  <c r="D130" i="57"/>
  <c r="D78" i="57"/>
  <c r="D104" i="57"/>
  <c r="D182" i="57"/>
  <c r="D52" i="57"/>
  <c r="D140" i="57" l="1"/>
  <c r="O140" i="57" s="1"/>
  <c r="D114" i="57"/>
  <c r="D10" i="57"/>
  <c r="D192" i="57"/>
  <c r="D62" i="57"/>
  <c r="D166" i="57"/>
  <c r="I11" i="41"/>
  <c r="I16" i="41" s="1"/>
  <c r="D36" i="57"/>
  <c r="D218" i="57"/>
  <c r="D88" i="57"/>
  <c r="O36" i="57" l="1"/>
  <c r="E11" i="41"/>
  <c r="E16" i="41" s="1"/>
  <c r="J11" i="41"/>
  <c r="J16" i="41" s="1"/>
  <c r="O166" i="57"/>
  <c r="F11" i="41"/>
  <c r="F16" i="41" s="1"/>
  <c r="O62" i="57"/>
  <c r="I22" i="50"/>
  <c r="I21" i="50" s="1"/>
  <c r="I19" i="50" s="1"/>
  <c r="I18" i="41"/>
  <c r="O192" i="57"/>
  <c r="K11" i="41"/>
  <c r="K16" i="41" s="1"/>
  <c r="G11" i="41"/>
  <c r="G16" i="41" s="1"/>
  <c r="O88" i="57"/>
  <c r="S10" i="57"/>
  <c r="D11" i="41"/>
  <c r="D16" i="41" s="1"/>
  <c r="O10" i="57"/>
  <c r="L11" i="41"/>
  <c r="L16" i="41" s="1"/>
  <c r="O218" i="57"/>
  <c r="H11" i="41"/>
  <c r="H16" i="41" s="1"/>
  <c r="O114" i="57"/>
  <c r="M22" i="50" l="1"/>
  <c r="M21" i="50" s="1"/>
  <c r="M19" i="50" s="1"/>
  <c r="L18" i="41"/>
  <c r="H22" i="50"/>
  <c r="H21" i="50" s="1"/>
  <c r="H19" i="50" s="1"/>
  <c r="H18" i="41"/>
  <c r="C22" i="50"/>
  <c r="D18" i="41"/>
  <c r="E22" i="50"/>
  <c r="F18" i="41"/>
  <c r="K22" i="50"/>
  <c r="K21" i="50" s="1"/>
  <c r="K19" i="50" s="1"/>
  <c r="J18" i="41"/>
  <c r="L22" i="50"/>
  <c r="L21" i="50" s="1"/>
  <c r="L19" i="50" s="1"/>
  <c r="K18" i="41"/>
  <c r="G22" i="50"/>
  <c r="G21" i="50" s="1"/>
  <c r="G19" i="50" s="1"/>
  <c r="G18" i="41"/>
  <c r="D22" i="50"/>
  <c r="E18" i="41"/>
  <c r="E13" i="59" l="1"/>
  <c r="D21" i="50"/>
  <c r="E21" i="50"/>
  <c r="F13" i="59"/>
  <c r="D13" i="59"/>
  <c r="C21" i="50"/>
  <c r="D12" i="59" l="1"/>
  <c r="C19" i="50"/>
  <c r="D14" i="59"/>
  <c r="E19" i="50"/>
  <c r="F14" i="59"/>
  <c r="F12" i="59"/>
  <c r="E12" i="59"/>
  <c r="E14" i="59"/>
  <c r="D19" i="50"/>
  <c r="E18" i="50" l="1"/>
  <c r="F10" i="59"/>
  <c r="D10" i="59"/>
  <c r="C18" i="50"/>
  <c r="E10" i="59"/>
  <c r="D18" i="50"/>
  <c r="N81" i="61"/>
  <c r="X87" i="6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<sst xmlns="http://schemas.openxmlformats.org/spreadsheetml/2006/main" count="1156" uniqueCount="350">
  <si>
    <t>Total</t>
  </si>
  <si>
    <t>Notas</t>
  </si>
  <si>
    <t>Pagos mayoristas</t>
  </si>
  <si>
    <t>Costos aguas abajo</t>
  </si>
  <si>
    <t>DESCRIPCIÓN DEL MODELO</t>
  </si>
  <si>
    <t>Hoja</t>
  </si>
  <si>
    <t>Descripción</t>
  </si>
  <si>
    <t>RESULTADOS &gt;&gt;</t>
  </si>
  <si>
    <t>RESULTADOS PARCIALES &gt;&gt;</t>
  </si>
  <si>
    <t>CÁLCULOS INTERMEDIOS &gt;&gt;</t>
  </si>
  <si>
    <t>REQUERIMIENTOS DE INFORMACIÓN &gt;&gt;</t>
  </si>
  <si>
    <t>Resultados</t>
  </si>
  <si>
    <t>Cálculos intermedios</t>
  </si>
  <si>
    <t>Requerimientos de información</t>
  </si>
  <si>
    <t>Supuestos</t>
  </si>
  <si>
    <t>Ingresos</t>
  </si>
  <si>
    <t>Costos</t>
  </si>
  <si>
    <t>Reporta el margen en porcentaje de los ingresos.</t>
  </si>
  <si>
    <t>Informacion del AEP</t>
  </si>
  <si>
    <t>Información reportada por el AEP</t>
  </si>
  <si>
    <t>Contiene la categorización de los servicios incluidos y % de tráfico en transito, entre otros.</t>
  </si>
  <si>
    <r>
      <t xml:space="preserve">Se estiman los pagos mayoristas al AEP por parte del </t>
    </r>
    <r>
      <rPr>
        <b/>
        <sz val="10"/>
        <rFont val="Arial"/>
        <family val="2"/>
      </rPr>
      <t>OMV ligero/revendedor.</t>
    </r>
  </si>
  <si>
    <t>Hoja resumen de los ingresos minoristas.</t>
  </si>
  <si>
    <r>
      <t>Se detallan los costos aguas abajo a los que se enfrenta un</t>
    </r>
    <r>
      <rPr>
        <b/>
        <sz val="10"/>
        <rFont val="Arial"/>
        <family val="2"/>
      </rPr>
      <t xml:space="preserve"> OMV ligero/revendedor.</t>
    </r>
  </si>
  <si>
    <t>Ir a Resultados &gt;&gt;</t>
  </si>
  <si>
    <t>Período de referencia</t>
  </si>
  <si>
    <t>Inicio de período</t>
  </si>
  <si>
    <t>Fin de período</t>
  </si>
  <si>
    <t>Concepto</t>
  </si>
  <si>
    <t>Todos los segmentos</t>
  </si>
  <si>
    <t>Minoristas</t>
  </si>
  <si>
    <t>Pago recurrente</t>
  </si>
  <si>
    <t>Servicio de Telefonía Móvil - voz</t>
  </si>
  <si>
    <t>Servicio de Acceso a Internet Móvil</t>
  </si>
  <si>
    <t>Servicio de Telefonía Móvil - mensajes</t>
  </si>
  <si>
    <t>Servicios OTT de vídeo</t>
  </si>
  <si>
    <t>Servicios OTT de audio</t>
  </si>
  <si>
    <t>Venta de equipos terminales</t>
  </si>
  <si>
    <t>Otros servicios minoristas</t>
  </si>
  <si>
    <t>Segmento Prepago</t>
  </si>
  <si>
    <t>Segmento Pospago</t>
  </si>
  <si>
    <t>Usuarios totales</t>
  </si>
  <si>
    <t>Servicios de valor agregado básicos</t>
  </si>
  <si>
    <t>Tráfico</t>
  </si>
  <si>
    <t>Leyenda</t>
  </si>
  <si>
    <t>Estructura del modelo</t>
  </si>
  <si>
    <t>Insumos del AEP</t>
  </si>
  <si>
    <t>Insumos del IFT</t>
  </si>
  <si>
    <t>Cálculos</t>
  </si>
  <si>
    <t>Celda de ayuda</t>
  </si>
  <si>
    <t>Totales</t>
  </si>
  <si>
    <t>Parámetros aleatorios del IFT fijos durante el período de referencia. Contiene información sin procesar.</t>
  </si>
  <si>
    <t>X-check</t>
  </si>
  <si>
    <t xml:space="preserve">Información remitida por el AEP. Contiene información sin procesar. </t>
  </si>
  <si>
    <t>Contiene opciones a escoger en el modelo.</t>
  </si>
  <si>
    <t>Contiene información de soporte.</t>
  </si>
  <si>
    <t>Cálculos del modelo.</t>
  </si>
  <si>
    <t>Cálculos de chequeo y consistencia.</t>
  </si>
  <si>
    <t>Celdas que agregan subcategorías.</t>
  </si>
  <si>
    <t>Celdas con resultados del modelo.</t>
  </si>
  <si>
    <t>Los precios, ingresos y costos están expresados sin impuestos y en moneda nacional a menos que se especifique lo contrario</t>
  </si>
  <si>
    <t>Promedio</t>
  </si>
  <si>
    <t>Unidad</t>
  </si>
  <si>
    <t>MB</t>
  </si>
  <si>
    <t>minutos</t>
  </si>
  <si>
    <t>sms</t>
  </si>
  <si>
    <t>Datos</t>
  </si>
  <si>
    <t>Originación voz internacional USA-Canadá</t>
  </si>
  <si>
    <t>Originación voz internacional Cuba</t>
  </si>
  <si>
    <t>Originación SMS on-net</t>
  </si>
  <si>
    <t>Otros servicios (incluyendo marcaciones especiales)</t>
  </si>
  <si>
    <t>SUPUESTOS</t>
  </si>
  <si>
    <t>Lista de servicios y uso del servicio de tránsito</t>
  </si>
  <si>
    <t>Período de amortización de los cargos fijos (meses)</t>
  </si>
  <si>
    <t>Usuarios OMV</t>
  </si>
  <si>
    <t>Período de amortización de los cargos fijos (trimestres)</t>
  </si>
  <si>
    <t>Período de amortización de los cargos fijos</t>
  </si>
  <si>
    <t>Período de referencia (meses)</t>
  </si>
  <si>
    <t>Tamaño relativo</t>
  </si>
  <si>
    <t>pesos</t>
  </si>
  <si>
    <t>usuarios</t>
  </si>
  <si>
    <t>Acceso a Internet</t>
  </si>
  <si>
    <t>Comerciales</t>
  </si>
  <si>
    <t>Facturación</t>
  </si>
  <si>
    <t>Cobranza</t>
  </si>
  <si>
    <t>Tasas e impuestos</t>
  </si>
  <si>
    <t>Programas de fidelización</t>
  </si>
  <si>
    <t>Acceso internet internacional</t>
  </si>
  <si>
    <t>Provisiones</t>
  </si>
  <si>
    <t>Costos directos de la venta de terminales</t>
  </si>
  <si>
    <t>Servicios generales y de gestión - minoristas</t>
  </si>
  <si>
    <t xml:space="preserve">Servicios generales y de gestión - negocio </t>
  </si>
  <si>
    <t>Componentes de red</t>
  </si>
  <si>
    <t xml:space="preserve">Costos por beneficios de OTT a usuarios </t>
  </si>
  <si>
    <t>Componentes no de red</t>
  </si>
  <si>
    <t>Costos directos de ventas</t>
  </si>
  <si>
    <t>Costos comunes</t>
  </si>
  <si>
    <t>% costos fijos</t>
  </si>
  <si>
    <t>Tráfico en tránsito</t>
  </si>
  <si>
    <t>%</t>
  </si>
  <si>
    <t>Valor</t>
  </si>
  <si>
    <t>Servicios generales y de gestión - red</t>
  </si>
  <si>
    <t xml:space="preserve">Nota: Se solicita especificar el porcentaje del tráfico en tránsito para cada tipología de llamada, sobre el total del tráfico cursado </t>
  </si>
  <si>
    <t>La información de precios deberá actualizarse de conformidad con las tarifas vigentes</t>
  </si>
  <si>
    <t>Ir a Precios mayoristas &gt;&gt;</t>
  </si>
  <si>
    <t>Actualizar los precios según la Oferta de Referencia</t>
  </si>
  <si>
    <t xml:space="preserve">Los cargos no recurrentes se corresponderían con los costos iniciales que el OMV debería pagar al operador anfitrión para poder prestar el servicio minorista. </t>
  </si>
  <si>
    <t xml:space="preserve">Se considera que el operador anfitrión gestiona la terminación del tráfico en otras redes a cambio de un pago según el destino. </t>
  </si>
  <si>
    <t xml:space="preserve">Pagos fijos </t>
  </si>
  <si>
    <t>Terminación</t>
  </si>
  <si>
    <t>Precio mayorista</t>
  </si>
  <si>
    <t>Tránsito</t>
  </si>
  <si>
    <t>Servicios de tránsito</t>
  </si>
  <si>
    <t>PAGOS MAYORISTAS</t>
  </si>
  <si>
    <t>COSTOS AGUAS ABAJO</t>
  </si>
  <si>
    <t>Costos totales</t>
  </si>
  <si>
    <t>Costos fijos</t>
  </si>
  <si>
    <t>Costos variables</t>
  </si>
  <si>
    <t xml:space="preserve">Costos totales ajustados </t>
  </si>
  <si>
    <t>EEO</t>
  </si>
  <si>
    <t>SEO</t>
  </si>
  <si>
    <t>Tipo de tráfico</t>
  </si>
  <si>
    <t>Pagos fijos</t>
  </si>
  <si>
    <t>REQUERIMIENTO DE INFORMACIÓN DEL AEP</t>
  </si>
  <si>
    <t>RESUMEN DE COSTOS</t>
  </si>
  <si>
    <t>PRUEBA DE REPLICABILIDAD: SERVICIOS MOVILES</t>
  </si>
  <si>
    <t>Estándar de eficiencia</t>
  </si>
  <si>
    <t>Estándar de costos</t>
  </si>
  <si>
    <t>Costos aguas abajo OMV de aciuerdo con estándar de costos</t>
  </si>
  <si>
    <t>Nota: Los ingresos se nutren directamente del requerimiento de información del AEP. No se requiere ningún cálculo intermedio.</t>
  </si>
  <si>
    <t>Ingresos minoristas</t>
  </si>
  <si>
    <t>RESUMEN DE INGRESOS MINORISTAS</t>
  </si>
  <si>
    <t>Prueba Servicios Móviles</t>
  </si>
  <si>
    <r>
      <t xml:space="preserve">Hoja resumen de los costos a los que se enfrenta el </t>
    </r>
    <r>
      <rPr>
        <b/>
        <sz val="10"/>
        <rFont val="Arial"/>
        <family val="2"/>
      </rPr>
      <t>OMV ligero/revendedor.</t>
    </r>
  </si>
  <si>
    <t>Resultados intermedios</t>
  </si>
  <si>
    <t>Actualizar tarifas mayoristas e insumos</t>
  </si>
  <si>
    <t>-</t>
  </si>
  <si>
    <t>Ir a Supuestos &gt;&gt;</t>
  </si>
  <si>
    <t xml:space="preserve">Costos aguas abajo - % costos fijos </t>
  </si>
  <si>
    <t>Margen</t>
  </si>
  <si>
    <t>Representación gráfica</t>
  </si>
  <si>
    <t>Replicabilidad económica</t>
  </si>
  <si>
    <t>Todos los segmentos 
(% ingresos)</t>
  </si>
  <si>
    <t>Segmento Prepago
(% ingresos)</t>
  </si>
  <si>
    <t>Segmento Pospago
(% ingresos)</t>
  </si>
  <si>
    <t>https://www.dof.gob.mx/nota_detalle.php?codigo=5605085&amp;fecha=17/11/2020</t>
  </si>
  <si>
    <t>Descripcion</t>
  </si>
  <si>
    <t xml:space="preserve">Carteras/Ofertas insignia </t>
  </si>
  <si>
    <t>Actualizar supuestos (parámetros aleatorios)</t>
  </si>
  <si>
    <t>SMS</t>
  </si>
  <si>
    <t>OFERTAS INSIGNIA</t>
  </si>
  <si>
    <t>Segmento Prepago Rep.</t>
  </si>
  <si>
    <t>Usuarios</t>
  </si>
  <si>
    <t>Ingreso total</t>
  </si>
  <si>
    <t>Selección de ofertas insignia</t>
  </si>
  <si>
    <t>Ofertas insignia</t>
  </si>
  <si>
    <t>Prepago</t>
  </si>
  <si>
    <t>Pospago</t>
  </si>
  <si>
    <t>Oferta 2</t>
  </si>
  <si>
    <t>Oferta 3</t>
  </si>
  <si>
    <t>% acumulado</t>
  </si>
  <si>
    <t>% combinado</t>
  </si>
  <si>
    <t>Segmento Pospago Rep.</t>
  </si>
  <si>
    <t>Tráfico (unidades de bolsa de tráfico)</t>
  </si>
  <si>
    <t>Mínimo (Bolsa de Tráfico de  Unidades Iniciales)</t>
  </si>
  <si>
    <t>Máximo (Bolsa de Tráfico de  Unidades Finales)</t>
  </si>
  <si>
    <t xml:space="preserve">Administración por usuarios </t>
  </si>
  <si>
    <t>Rangos</t>
  </si>
  <si>
    <t>Voz (min)</t>
  </si>
  <si>
    <t>Datos (MB)</t>
  </si>
  <si>
    <t>Pesos</t>
  </si>
  <si>
    <t>Tarifas uso básico</t>
  </si>
  <si>
    <t>Unidades</t>
  </si>
  <si>
    <t>Cargo minimo mensual (pesos)</t>
  </si>
  <si>
    <t xml:space="preserve">Facturacion total </t>
  </si>
  <si>
    <t>Bolsa de tráfico</t>
  </si>
  <si>
    <t xml:space="preserve">Facturación total </t>
  </si>
  <si>
    <t>Otras tarifas</t>
  </si>
  <si>
    <t>Unidades tráfico</t>
  </si>
  <si>
    <t>Fuente: https://www.dof.gob.mx/nota_detalle.php?codigo=5605085&amp;fecha=17/11/2020</t>
  </si>
  <si>
    <t>Mínimo (pesos)</t>
  </si>
  <si>
    <t>Máximo (pesos)</t>
  </si>
  <si>
    <t xml:space="preserve">Tarifas por adminstración de usuarios </t>
  </si>
  <si>
    <t>Tarifas por tráfico</t>
  </si>
  <si>
    <t>Tarifas tráfico adicional</t>
  </si>
  <si>
    <t>Compromiso de pago</t>
  </si>
  <si>
    <t>Descuentos por volumen</t>
  </si>
  <si>
    <t>Datos consumidos</t>
  </si>
  <si>
    <t xml:space="preserve">Mínimo </t>
  </si>
  <si>
    <t xml:space="preserve">Máximo </t>
  </si>
  <si>
    <t>Mínimo (MB)</t>
  </si>
  <si>
    <t>Máximo (MB)</t>
  </si>
  <si>
    <t>Cantidad neta</t>
  </si>
  <si>
    <t>Hoja auxiliar gráficos</t>
  </si>
  <si>
    <t>Tabla gráficos</t>
  </si>
  <si>
    <t xml:space="preserve">Costo de capital </t>
  </si>
  <si>
    <t xml:space="preserve">Coste de capital </t>
  </si>
  <si>
    <t>Costo del Capital:Servicios generales y de gestión - minoristas</t>
  </si>
  <si>
    <t>Costo del Capital:Servicios generales y de gestión - red</t>
  </si>
  <si>
    <t xml:space="preserve">Costo del Capital:Servicios generales y de gestión - negocio </t>
  </si>
  <si>
    <t>Costo del Capital:Equipos terminales</t>
  </si>
  <si>
    <t>Rango por tráfico o facturación</t>
  </si>
  <si>
    <t>Rango por usuarios</t>
  </si>
  <si>
    <t>MB (1MB=1024KB)</t>
  </si>
  <si>
    <t xml:space="preserve">Unidades de bolsa de tráfico consumidas </t>
  </si>
  <si>
    <t>Tráfico voz</t>
  </si>
  <si>
    <t>Tráfico SMS</t>
  </si>
  <si>
    <t>Tráfico datos</t>
  </si>
  <si>
    <t>Minutos de voz saliente</t>
  </si>
  <si>
    <t>Minutos de voz entrante</t>
  </si>
  <si>
    <t>SMS (160 carácteres)</t>
  </si>
  <si>
    <t>Ranking por</t>
  </si>
  <si>
    <t>Combinado</t>
  </si>
  <si>
    <t>Ranking final</t>
  </si>
  <si>
    <t>Rango seleccionado (por tráfico o facturación)</t>
  </si>
  <si>
    <t>Rango seleccionado (por usuarios)</t>
  </si>
  <si>
    <r>
      <t>Tarifas usuarios adicionales (</t>
    </r>
    <r>
      <rPr>
        <sz val="10"/>
        <rFont val="Calibri"/>
        <family val="2"/>
      </rPr>
      <t>$</t>
    </r>
    <r>
      <rPr>
        <sz val="8.5"/>
        <rFont val="Arial"/>
        <family val="2"/>
      </rPr>
      <t xml:space="preserve"> </t>
    </r>
    <r>
      <rPr>
        <sz val="10"/>
        <rFont val="Arial"/>
        <family val="2"/>
      </rPr>
      <t>por usuario)</t>
    </r>
  </si>
  <si>
    <t>Activación de servicios de valor agregado básicos ($ por usuario)</t>
  </si>
  <si>
    <t>Usuarios activos</t>
  </si>
  <si>
    <t>Número de usuarios activos</t>
  </si>
  <si>
    <t>Facturación total mensual</t>
  </si>
  <si>
    <t>Numero de usuarios a partir del cual aplica tarifa por usuario de manera retroactiva</t>
  </si>
  <si>
    <t>Compromiso de pago anual</t>
  </si>
  <si>
    <t>Nota 8: Otros servicios incluye marcaciones especiales, marcaciones a llamadas de emerencia, números no geográficos, buzon de voz, centro de atención telefónica y marcaciones cortas.</t>
  </si>
  <si>
    <t>Datos mensuales</t>
  </si>
  <si>
    <t>Rango datos consumidos - limite superior (MB)</t>
  </si>
  <si>
    <t>Rango por datos consumidos</t>
  </si>
  <si>
    <t>Cargo minimo por administracion de usuarios mensual ($)</t>
  </si>
  <si>
    <t>Pago por tráfico de datos</t>
  </si>
  <si>
    <t>Período de amortización del compromiso de pago anual</t>
  </si>
  <si>
    <t>unidades</t>
  </si>
  <si>
    <t>Helpcell</t>
  </si>
  <si>
    <t xml:space="preserve">Número de usuarios activos incluidos </t>
  </si>
  <si>
    <t xml:space="preserve">Usuarios incluidos en la tarifa (número de usuarios) </t>
  </si>
  <si>
    <t>Segmento Mixto</t>
  </si>
  <si>
    <t>Ranking (Usuarios)</t>
  </si>
  <si>
    <t>Ranking (Ingresos)</t>
  </si>
  <si>
    <t>Ranking (Combinado)</t>
  </si>
  <si>
    <t>Oferta 1</t>
  </si>
  <si>
    <t>Segmento Pospago + Mixto</t>
  </si>
  <si>
    <t>Nota: Las ofertas insignia son aquellas que representan de manera conjunta el porcentaje más alto de usuarios y/o ingresos (evidenciadas en verde), según la información de la pestaña para la selección de la oferta insignia. El resto de ofertas (no evidenciadas) se presentan sólo a título informativo.</t>
  </si>
  <si>
    <t xml:space="preserve"> </t>
  </si>
  <si>
    <t>OFERTA DE REFERENCIA &gt;&gt;</t>
  </si>
  <si>
    <t>Esquema tarifario</t>
  </si>
  <si>
    <t>Hoja de soporte para los cálculos de los pagos mayoristas</t>
  </si>
  <si>
    <t>Ofertas de referencia</t>
  </si>
  <si>
    <t>Contiene fórmulas para generar los gráficos de la hoja de resultados de la prueba móvil</t>
  </si>
  <si>
    <t>A rellenar por el Instituto con la información de precios actualizada de conformidad con las tarifas vigentes (oferta de referencia).</t>
  </si>
  <si>
    <t>Se seleccionan las ofertas Insignia en base a la información reportada por el AEP</t>
  </si>
  <si>
    <t xml:space="preserve">Tarifas originación </t>
  </si>
  <si>
    <t>Panel de control tarifas mayoristas (OMVs)</t>
  </si>
  <si>
    <t xml:space="preserve">Tarifas de terminación </t>
  </si>
  <si>
    <t>Dependiendo del esquema tarifario vigente en cada momento, deberá seleccionarse la opción correspondiente en la celda C15</t>
  </si>
  <si>
    <r>
      <t>Nota: Pagos fijos son los pagos promedio por inicio de prestación de servicio para un OMV ligero. No refleja necesariamente los pagos realizados por este concepto en el momento de ejecutar la prueba. Notamos que en la actualidad estos pagos son 0</t>
    </r>
    <r>
      <rPr>
        <b/>
        <sz val="10"/>
        <color rgb="FF808080"/>
        <rFont val="Calibri"/>
        <family val="2"/>
      </rPr>
      <t>$</t>
    </r>
    <r>
      <rPr>
        <b/>
        <sz val="10"/>
        <color rgb="FF808080"/>
        <rFont val="Arial"/>
        <family val="2"/>
      </rPr>
      <t>.</t>
    </r>
  </si>
  <si>
    <t>Esta hoja contiene cálculos intermedios. No introducir cambios.</t>
  </si>
  <si>
    <t>Selección del esquema de precios mayoristas</t>
  </si>
  <si>
    <t xml:space="preserve">Selección automática de rangos </t>
  </si>
  <si>
    <t>Hoja Auxiliar</t>
  </si>
  <si>
    <t xml:space="preserve">La selección de los rangos es automática en función de la información proporcionada por el AEP. No introducir cambios. Las formulas que devuelven operadores lógicos (VERDADERO / FALSO) nutren la selección del rango y no han de interpretarse como validación de ningún cálculo. </t>
  </si>
  <si>
    <t>OMV 1</t>
  </si>
  <si>
    <t>OMV 2</t>
  </si>
  <si>
    <t>OMV 3</t>
  </si>
  <si>
    <t>OMV 4</t>
  </si>
  <si>
    <t>OMV 5</t>
  </si>
  <si>
    <t>OMV 6</t>
  </si>
  <si>
    <t>Una tabla como esta para cada OMV</t>
  </si>
  <si>
    <t>Pagos por Tráfico</t>
  </si>
  <si>
    <t>Precio unitario efectivo</t>
  </si>
  <si>
    <t>Help</t>
  </si>
  <si>
    <t>Selección del esquema tarifario</t>
  </si>
  <si>
    <t>Indicador de rango por tráfico o facturación</t>
  </si>
  <si>
    <t>Indicador de rango por usuarios</t>
  </si>
  <si>
    <t>Precios mayoristas efectivos</t>
  </si>
  <si>
    <t>Se cálcula de manera automática el precio mayorista unitario efectivo. Este es el promedio ponderado de los precios efectivos pagados por los OMVs (según su rango y el esquema de pago seleccionado)</t>
  </si>
  <si>
    <t>Tráfico total</t>
  </si>
  <si>
    <r>
      <t xml:space="preserve">Nota: Incluir datos medios </t>
    </r>
    <r>
      <rPr>
        <b/>
        <u/>
        <sz val="10"/>
        <color theme="3"/>
        <rFont val="Arial"/>
        <family val="2"/>
      </rPr>
      <t>mensuales</t>
    </r>
    <r>
      <rPr>
        <b/>
        <sz val="10"/>
        <color theme="3"/>
        <rFont val="Arial"/>
        <family val="2"/>
      </rPr>
      <t xml:space="preserve"> para cada OMV. No modificar el nombre de las columnas (OMV 1, 2 …) y rellenar solo las columnas relevantes sin repetición de datos (ejemplo: si hay datos para menos de 6 OMVs, rellenar solo los datos de los OMVs disponibles)</t>
    </r>
  </si>
  <si>
    <t>Nota: Esta proporción se calcula solo en función de los minutos de voz salientes (y no entrantes)</t>
  </si>
  <si>
    <t>Minutos</t>
  </si>
  <si>
    <t>Tráfico voz (entrante y saliente)</t>
  </si>
  <si>
    <t>Nota: No rellenar o modificar las fórmulas en estas celdas</t>
  </si>
  <si>
    <t>Nota al AEP: Unicamente rellenar las celdas en rojo.</t>
  </si>
  <si>
    <t>PRECIO MAYORISTA</t>
  </si>
  <si>
    <t>PRECIO MAYORISTA UNITARIO EFECTIVO</t>
  </si>
  <si>
    <t>HOJA AUXILIAR</t>
  </si>
  <si>
    <t>HOJA AUXILIAR GRÁFICOS</t>
  </si>
  <si>
    <t>Tarifa originación</t>
  </si>
  <si>
    <t>help cell</t>
  </si>
  <si>
    <t xml:space="preserve">Tráfico total voz </t>
  </si>
  <si>
    <t>Volumen de tráfico incluido en la bolsa</t>
  </si>
  <si>
    <t xml:space="preserve">Volumen de tráfico incremental </t>
  </si>
  <si>
    <t>% Proporción de tráfico sobre el total de volumen de tráfico</t>
  </si>
  <si>
    <t>Pago por tráfico incremental</t>
  </si>
  <si>
    <t>Pago total por usuarios</t>
  </si>
  <si>
    <t>Volumen total de usuarios</t>
  </si>
  <si>
    <t>Volumen de usuarios Incluidos en bolsa</t>
  </si>
  <si>
    <t>Cargo minimo por tráfico incluido en bolsa</t>
  </si>
  <si>
    <t>Cargo mínimo por tráfico incluido en bolsa</t>
  </si>
  <si>
    <t xml:space="preserve">Volumen de tráfico </t>
  </si>
  <si>
    <t>Pago total por tráfico</t>
  </si>
  <si>
    <t xml:space="preserve">Precio promedio ponderado </t>
  </si>
  <si>
    <t>Pago total (sin CPA) por tráfico</t>
  </si>
  <si>
    <t>Pago total incluido en CPA</t>
  </si>
  <si>
    <t>Volumen de usuarios incluidos en el CPA</t>
  </si>
  <si>
    <t>Volumen de usuarios incrementales</t>
  </si>
  <si>
    <t>Pago por  usuarios incluidos en el CPA</t>
  </si>
  <si>
    <t>Pago por usuarios Incrementales</t>
  </si>
  <si>
    <t xml:space="preserve">Nota: no arrastrar formulas de filas hacia abajo. Solo arrastrar columnas </t>
  </si>
  <si>
    <t xml:space="preserve">Selección de rango de datos </t>
  </si>
  <si>
    <t>Volumen de usuarios incluidos</t>
  </si>
  <si>
    <t xml:space="preserve">Pago por  usuarios incluidos </t>
  </si>
  <si>
    <t>Cálculo tarifa originación</t>
  </si>
  <si>
    <t>Cargo por administración de usuarios</t>
  </si>
  <si>
    <t xml:space="preserve">Cálculo adminsitración de usuarios </t>
  </si>
  <si>
    <t>Notas:
1. Los pagos por administración de usuarios no depeden del tráfico por lo que las celdas correspondientes a cada categoría de servicio por tipo de tráfico deberían estar en blanco. 
2. Los pagos por administración de usuarios son función del número de usuarios. El modelo usa el número de usuarios medio del periodo del AEP para el cálculo de los cargos.
3. Los pagos por originación tarifa para cada tipo de servicio se computan multiplicando los precios mayoristas ponderados (contenidos en la hoja  "Precios mayoristas efectivos") por el tráfico correspondiente, según la información reportada por el AEP (contenida en la hoja "Req. de información AEP"). No arrastrar las fórmulas de las columnas ya que hay fórmulas únicas.
4. Los pagos fijos se asignan a cada segmento y a las ofertas insignia en proporción a los ingresos generados.</t>
  </si>
  <si>
    <t>Originación voz on-net local</t>
  </si>
  <si>
    <t>Originación voz off-net móvil local</t>
  </si>
  <si>
    <t>Originación voz off-net fijo local</t>
  </si>
  <si>
    <t>Originación voz on-net LDN</t>
  </si>
  <si>
    <t>Originación voz off-net móvil LDN</t>
  </si>
  <si>
    <t>Originación voz off-net fijo LDN</t>
  </si>
  <si>
    <t>Originación voz internacional Mundial Centroamérica</t>
  </si>
  <si>
    <t>Originación voz internacional Mundial LATAM y Caribe</t>
  </si>
  <si>
    <t>Originación voz internacional Europa</t>
  </si>
  <si>
    <t>Originación voz internacional Mundial Otros geográficos</t>
  </si>
  <si>
    <t>Originación voz Mundial destinos no geográficos</t>
  </si>
  <si>
    <t>Originación SMS - off-net nacional</t>
  </si>
  <si>
    <t>Originación SMS internacional (USA-Canadá)</t>
  </si>
  <si>
    <t>Originación SMS internacional (Resto del Mundo)</t>
  </si>
  <si>
    <t>Los datos empleados en el modelo son ficticios</t>
  </si>
  <si>
    <t>Nota: Información a rellenar por el AEP relativa a los últimos 3 meses, reportando los ingresos y usuarios de aquellas ofertas que representan el 80% de sus usuarios o ingresos.</t>
  </si>
  <si>
    <t>Información OMVs - datos trimestrales</t>
  </si>
  <si>
    <t>Roaming nacional</t>
  </si>
  <si>
    <t>Roaming internacional</t>
  </si>
  <si>
    <t>[Nombre del OMV 1]</t>
  </si>
  <si>
    <t>[Nombre del OMV 2]</t>
  </si>
  <si>
    <t>Telcel Pospago 1</t>
  </si>
  <si>
    <t>Telcel Pospago 2</t>
  </si>
  <si>
    <t>Telcel Pospago 3</t>
  </si>
  <si>
    <t>Telcel Pospago 4</t>
  </si>
  <si>
    <t>Telcel Pospago 5</t>
  </si>
  <si>
    <t>Telcel Pospago 6</t>
  </si>
  <si>
    <t>Telcel Pospago 7</t>
  </si>
  <si>
    <t>Telcel Pospago 8</t>
  </si>
  <si>
    <t>Telcel Pospago 9</t>
  </si>
  <si>
    <t>Telcel Pospago 10</t>
  </si>
  <si>
    <t>Telcel Pospago 11</t>
  </si>
  <si>
    <t>Telcel Pospago 12</t>
  </si>
  <si>
    <t>Telcel Prepago 1</t>
  </si>
  <si>
    <t>Telcel Prepago 2</t>
  </si>
  <si>
    <t>Telcel Prepago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</si>
</sst>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1" formatCode="_-* #,##0_-;\-* #,##0_-;_-* &quot;-&quot;_-;_-@_-"/>
    <numFmt numFmtId="43" formatCode="_-* #,##0.00_-;\-* #,##0.00_-;_-* &quot;-&quot;??_-;_-@_-"/>
    <numFmt numFmtId="164" formatCode="_-&quot;£&quot;* #,##0_-;\-&quot;£&quot;* #,##0_-;_-&quot;£&quot;* &quot;-&quot;_-;_-@_-"/>
    <numFmt numFmtId="165" formatCode="[$$-80A]#,##0.00;\-[$$-80A]#,##0.00"/>
    <numFmt numFmtId="166" formatCode="0.0%"/>
    <numFmt numFmtId="167" formatCode="[$$-80A]#,##0.000;\-[$$-80A]#,##0.000"/>
    <numFmt numFmtId="168" formatCode="[$$-80A]#,##0;\-[$$-80A]#,##0"/>
    <numFmt numFmtId="169" formatCode="[$$-80A]#,##0.0000;\-[$$-80A]#,##0.0000"/>
    <numFmt numFmtId="170" formatCode="_-* #,##0_-;\-* #,##0_-;_-* &quot;-&quot;??_-;_-@_-"/>
    <numFmt numFmtId="171" formatCode="&quot;£&quot;#,##0"/>
    <numFmt numFmtId="172" formatCode="_-[$$-409]* #,##0.00_ ;_-[$$-409]* \-#,##0.00\ ;_-[$$-409]* &quot;-&quot;??_ ;_-@_ "/>
    <numFmt numFmtId="173" formatCode="_-[$$-80A]* #,##0_-;\-[$$-80A]* #,##0_-;_-[$$-80A]* &quot;-&quot;??_-;_-@_-"/>
    <numFmt numFmtId="174" formatCode="[$$-80A]#,##0"/>
    <numFmt numFmtId="175" formatCode="0.00000"/>
    <numFmt numFmtId="176" formatCode="0.0000"/>
    <numFmt numFmtId="177" formatCode="_-* #,##0.000_-;\-* #,##0.000_-;_-* &quot;-&quot;??_-;_-@_-"/>
    <numFmt numFmtId="178" formatCode="0.000"/>
    <numFmt numFmtId="179" formatCode="_-* #,##0.0000_-;\-* #,##0.0000_-;_-* &quot;-&quot;??_-;_-@_-"/>
    <numFmt numFmtId="180" formatCode="_-* #,##0.00000_-;\-* #,##0.00000_-;_-* &quot;-&quot;??_-;_-@_-"/>
    <numFmt numFmtId="181" formatCode="[$$-80A]#,##0.00000;\-[$$-80A]#,##0.00000"/>
    <numFmt numFmtId="182" formatCode="[$$-80A]#,##0.000000;\-[$$-80A]#,##0.000000"/>
  </numFmts>
  <fonts count="65" x14ac:knownFonts="1">
    <font>
      <sz val="10"/>
      <name val="Arial"/>
    </font>
    <font>
      <sz val="11"/>
      <color theme="1"/>
      <name val="Calibri"/>
      <family val="2"/>
      <scheme val="minor"/>
    </font>
    <font>
      <sz val="10"/>
      <name val="Arial"/>
      <family val="2"/>
    </font>
    <font>
      <sz val="10"/>
      <color indexed="12"/>
      <name val="Arial"/>
      <family val="2"/>
    </font>
    <font>
      <b/>
      <sz val="10"/>
      <color theme="6"/>
      <name val="Arial"/>
      <family val="2"/>
    </font>
    <font>
      <sz val="10"/>
      <color theme="3"/>
      <name val="Arial"/>
      <family val="2"/>
    </font>
    <font>
      <b/>
      <sz val="12"/>
      <color theme="1"/>
      <name val="Arial"/>
      <family val="2"/>
    </font>
    <font>
      <b/>
      <sz val="16"/>
      <color theme="0"/>
      <name val="Arial"/>
      <family val="2"/>
    </font>
    <font>
      <sz val="10"/>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0"/>
      <color theme="1"/>
      <name val="Arial"/>
      <family val="2"/>
    </font>
    <font>
      <b/>
      <sz val="10"/>
      <color rgb="FF007B87"/>
      <name val="Arial"/>
      <family val="2"/>
    </font>
    <font>
      <sz val="10"/>
      <color rgb="FF37424A"/>
      <name val="Arial"/>
      <family val="2"/>
    </font>
    <font>
      <sz val="10"/>
      <name val="Arial"/>
      <family val="2"/>
    </font>
    <font>
      <sz val="10"/>
      <color theme="1"/>
      <name val="Arial"/>
      <family val="2"/>
    </font>
    <font>
      <b/>
      <sz val="10"/>
      <color rgb="FF37424A"/>
      <name val="Arial"/>
      <family val="2"/>
    </font>
    <font>
      <sz val="11"/>
      <color theme="0"/>
      <name val="Calibri"/>
      <family val="2"/>
      <scheme val="minor"/>
    </font>
    <font>
      <u/>
      <sz val="10"/>
      <color theme="10"/>
      <name val="Arial"/>
      <family val="2"/>
    </font>
    <font>
      <b/>
      <sz val="22"/>
      <color theme="0"/>
      <name val="Arial"/>
      <family val="2"/>
    </font>
    <font>
      <sz val="10"/>
      <color indexed="8"/>
      <name val="Arial"/>
      <family val="2"/>
    </font>
    <font>
      <sz val="10"/>
      <color theme="0"/>
      <name val="Arial"/>
      <family val="2"/>
    </font>
    <font>
      <b/>
      <sz val="10"/>
      <color theme="0"/>
      <name val="Arial"/>
      <family val="2"/>
    </font>
    <font>
      <b/>
      <u/>
      <sz val="10"/>
      <color theme="0"/>
      <name val="Arial"/>
      <family val="2"/>
    </font>
    <font>
      <u/>
      <sz val="10"/>
      <color theme="1"/>
      <name val="Arial"/>
      <family val="2"/>
    </font>
    <font>
      <b/>
      <u/>
      <sz val="10"/>
      <color theme="1"/>
      <name val="Arial"/>
      <family val="2"/>
    </font>
    <font>
      <sz val="10"/>
      <color rgb="FF808080"/>
      <name val="Arial"/>
      <family val="2"/>
    </font>
    <font>
      <b/>
      <sz val="10"/>
      <name val="Arial"/>
      <family val="2"/>
    </font>
    <font>
      <sz val="10"/>
      <color indexed="23"/>
      <name val="Arial"/>
      <family val="2"/>
    </font>
    <font>
      <sz val="10"/>
      <color rgb="FF0000FF"/>
      <name val="Arial"/>
      <family val="2"/>
    </font>
    <font>
      <sz val="10"/>
      <color theme="6"/>
      <name val="Arial"/>
      <family val="2"/>
    </font>
    <font>
      <sz val="10"/>
      <color theme="4"/>
      <name val="Arial"/>
      <family val="2"/>
    </font>
    <font>
      <b/>
      <sz val="10"/>
      <color theme="8"/>
      <name val="Arial"/>
      <family val="2"/>
    </font>
    <font>
      <i/>
      <sz val="10"/>
      <name val="Arial"/>
      <family val="2"/>
    </font>
    <font>
      <sz val="10"/>
      <color rgb="FFE83F35"/>
      <name val="Arial"/>
      <family val="2"/>
    </font>
    <font>
      <b/>
      <sz val="10"/>
      <color theme="3"/>
      <name val="Arial"/>
      <family val="2"/>
    </font>
    <font>
      <b/>
      <sz val="10"/>
      <color theme="8" tint="-0.249977111117893"/>
      <name val="Arial"/>
      <family val="2"/>
    </font>
    <font>
      <b/>
      <sz val="10"/>
      <color rgb="FF808080"/>
      <name val="Arial"/>
      <family val="2"/>
    </font>
    <font>
      <b/>
      <sz val="10"/>
      <color rgb="FF683C5B"/>
      <name val="Arial"/>
      <family val="2"/>
    </font>
    <font>
      <b/>
      <sz val="10"/>
      <color theme="4"/>
      <name val="Arial"/>
      <family val="2"/>
    </font>
    <font>
      <sz val="12"/>
      <name val="Calibri"/>
      <family val="2"/>
    </font>
    <font>
      <b/>
      <i/>
      <sz val="10"/>
      <color theme="3"/>
      <name val="Arial"/>
      <family val="2"/>
    </font>
    <font>
      <i/>
      <sz val="10"/>
      <color theme="3"/>
      <name val="Arial"/>
      <family val="2"/>
    </font>
    <font>
      <sz val="10"/>
      <name val="Arial"/>
      <family val="2"/>
    </font>
    <font>
      <b/>
      <sz val="10"/>
      <color indexed="8"/>
      <name val="Arial"/>
      <family val="2"/>
    </font>
    <font>
      <b/>
      <sz val="10"/>
      <color rgb="FFFF0000"/>
      <name val="Arial"/>
      <family val="2"/>
    </font>
    <font>
      <sz val="10"/>
      <color rgb="FFFF0000"/>
      <name val="Arial"/>
      <family val="2"/>
    </font>
    <font>
      <sz val="10"/>
      <name val="Calibri"/>
      <family val="2"/>
    </font>
    <font>
      <sz val="8.5"/>
      <name val="Arial"/>
      <family val="2"/>
    </font>
    <font>
      <b/>
      <sz val="10"/>
      <color rgb="FF808080"/>
      <name val="Calibri"/>
      <family val="2"/>
    </font>
    <font>
      <b/>
      <i/>
      <sz val="10"/>
      <name val="Arial"/>
      <family val="2"/>
    </font>
    <font>
      <u/>
      <sz val="10"/>
      <color theme="0"/>
      <name val="Arial"/>
      <family val="2"/>
    </font>
    <font>
      <b/>
      <u/>
      <sz val="10"/>
      <color theme="3"/>
      <name val="Arial"/>
      <family val="2"/>
    </font>
    <font>
      <i/>
      <sz val="10"/>
      <color rgb="FF37424A"/>
      <name val="Arial"/>
      <family val="2"/>
    </font>
    <font>
      <i/>
      <sz val="10"/>
      <color theme="0" tint="-0.249977111117893"/>
      <name val="Arial"/>
      <family val="2"/>
    </font>
    <font>
      <i/>
      <sz val="10"/>
      <color theme="4"/>
      <name val="Arial"/>
      <family val="2"/>
    </font>
    <font>
      <sz val="8"/>
      <name val="Arial"/>
    </font>
  </fonts>
  <fills count="30">
    <fill>
      <patternFill patternType="none"/>
    </fill>
    <fill>
      <patternFill patternType="gray125"/>
    </fill>
    <fill>
      <patternFill patternType="solid">
        <fgColor theme="2"/>
        <bgColor indexed="64"/>
      </patternFill>
    </fill>
    <fill>
      <patternFill patternType="solid">
        <fgColor theme="4"/>
        <bgColor indexed="64"/>
      </patternFill>
    </fill>
    <fill>
      <patternFill patternType="solid">
        <fgColor theme="7" tint="0.79998168889431442"/>
        <bgColor indexed="64"/>
      </patternFill>
    </fill>
    <fill>
      <patternFill patternType="solid">
        <fgColor rgb="FFFFFF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0"/>
        <bgColor indexed="64"/>
      </patternFill>
    </fill>
    <fill>
      <patternFill patternType="solid">
        <fgColor theme="6"/>
      </patternFill>
    </fill>
    <fill>
      <patternFill patternType="solid">
        <fgColor theme="5"/>
        <bgColor indexed="64"/>
      </patternFill>
    </fill>
    <fill>
      <patternFill patternType="solid">
        <fgColor theme="9"/>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2" tint="-9.9978637043366805E-2"/>
        <bgColor indexed="64"/>
      </patternFill>
    </fill>
    <fill>
      <patternFill patternType="solid">
        <fgColor theme="5" tint="0.39997558519241921"/>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3"/>
        <bgColor indexed="64"/>
      </patternFill>
    </fill>
    <fill>
      <patternFill patternType="solid">
        <fgColor rgb="FFFFFF00"/>
        <bgColor indexed="64"/>
      </patternFill>
    </fill>
    <fill>
      <patternFill patternType="solid">
        <fgColor theme="4" tint="0.39997558519241921"/>
        <bgColor indexed="64"/>
      </patternFill>
    </fill>
  </fills>
  <borders count="75">
    <border>
      <left/>
      <right/>
      <top/>
      <bottom/>
      <diagonal/>
    </border>
    <border>
      <left/>
      <right/>
      <top/>
      <bottom style="thick">
        <color theme="4"/>
      </bottom>
      <diagonal/>
    </border>
    <border>
      <left/>
      <right/>
      <top style="medium">
        <color rgb="FF007B87"/>
      </top>
      <bottom style="medium">
        <color rgb="FF007B87"/>
      </bottom>
      <diagonal/>
    </border>
    <border>
      <left/>
      <right/>
      <top style="thin">
        <color rgb="FF707276"/>
      </top>
      <bottom style="thin">
        <color rgb="FF707276"/>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thin">
        <color theme="4"/>
      </bottom>
      <diagonal/>
    </border>
    <border>
      <left/>
      <right/>
      <top style="thin">
        <color indexed="64"/>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style="thin">
        <color rgb="FF007B87"/>
      </top>
      <bottom style="thin">
        <color rgb="FF007B87"/>
      </bottom>
      <diagonal/>
    </border>
    <border>
      <left/>
      <right/>
      <top/>
      <bottom style="thin">
        <color theme="1"/>
      </bottom>
      <diagonal/>
    </border>
    <border>
      <left/>
      <right/>
      <top style="thin">
        <color theme="1"/>
      </top>
      <bottom style="thin">
        <color theme="1"/>
      </bottom>
      <diagonal/>
    </border>
    <border>
      <left/>
      <right/>
      <top style="thin">
        <color theme="1"/>
      </top>
      <bottom/>
      <diagonal/>
    </border>
    <border>
      <left style="thin">
        <color theme="3"/>
      </left>
      <right/>
      <top style="thin">
        <color theme="3"/>
      </top>
      <bottom style="thin">
        <color theme="3"/>
      </bottom>
      <diagonal/>
    </border>
    <border>
      <left/>
      <right/>
      <top style="thin">
        <color theme="3"/>
      </top>
      <bottom style="thin">
        <color theme="3"/>
      </bottom>
      <diagonal/>
    </border>
    <border>
      <left/>
      <right style="thin">
        <color theme="3"/>
      </right>
      <top style="thin">
        <color theme="3"/>
      </top>
      <bottom style="thin">
        <color theme="3"/>
      </bottom>
      <diagonal/>
    </border>
    <border>
      <left/>
      <right/>
      <top/>
      <bottom style="thin">
        <color indexed="64"/>
      </bottom>
      <diagonal/>
    </border>
    <border>
      <left/>
      <right/>
      <top style="thin">
        <color indexed="64"/>
      </top>
      <bottom style="thin">
        <color indexed="64"/>
      </bottom>
      <diagonal/>
    </border>
    <border>
      <left/>
      <right style="thin">
        <color theme="0" tint="-0.249977111117893"/>
      </right>
      <top/>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bottom style="thin">
        <color rgb="FF007B87"/>
      </bottom>
      <diagonal/>
    </border>
    <border>
      <left/>
      <right/>
      <top style="thin">
        <color indexed="64"/>
      </top>
      <bottom style="thin">
        <color rgb="FF007B87"/>
      </bottom>
      <diagonal/>
    </border>
    <border>
      <left/>
      <right/>
      <top style="thin">
        <color rgb="FF707276"/>
      </top>
      <bottom style="thin">
        <color indexed="64"/>
      </bottom>
      <diagonal/>
    </border>
    <border>
      <left/>
      <right/>
      <top style="medium">
        <color rgb="FF007B87"/>
      </top>
      <bottom style="thin">
        <color indexed="64"/>
      </bottom>
      <diagonal/>
    </border>
    <border>
      <left/>
      <right style="thin">
        <color indexed="64"/>
      </right>
      <top style="thin">
        <color indexed="64"/>
      </top>
      <bottom style="thin">
        <color indexed="64"/>
      </bottom>
      <diagonal/>
    </border>
    <border>
      <left/>
      <right/>
      <top style="medium">
        <color rgb="FF007B87"/>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hair">
        <color theme="0" tint="-0.499984740745262"/>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right/>
      <top style="hair">
        <color indexed="64"/>
      </top>
      <bottom style="hair">
        <color indexed="64"/>
      </bottom>
      <diagonal/>
    </border>
    <border>
      <left style="hair">
        <color theme="3"/>
      </left>
      <right/>
      <top style="hair">
        <color theme="3"/>
      </top>
      <bottom style="hair">
        <color theme="3"/>
      </bottom>
      <diagonal/>
    </border>
    <border>
      <left/>
      <right/>
      <top style="hair">
        <color theme="3"/>
      </top>
      <bottom style="hair">
        <color theme="3"/>
      </bottom>
      <diagonal/>
    </border>
    <border>
      <left/>
      <right style="hair">
        <color theme="3"/>
      </right>
      <top style="hair">
        <color theme="3"/>
      </top>
      <bottom style="hair">
        <color theme="3"/>
      </bottom>
      <diagonal/>
    </border>
    <border>
      <left style="hair">
        <color theme="3"/>
      </left>
      <right/>
      <top style="hair">
        <color theme="3"/>
      </top>
      <bottom/>
      <diagonal/>
    </border>
    <border>
      <left/>
      <right/>
      <top style="hair">
        <color theme="3"/>
      </top>
      <bottom/>
      <diagonal/>
    </border>
    <border>
      <left/>
      <right style="hair">
        <color theme="3"/>
      </right>
      <top style="hair">
        <color theme="3"/>
      </top>
      <bottom/>
      <diagonal/>
    </border>
    <border>
      <left style="hair">
        <color theme="3"/>
      </left>
      <right/>
      <top/>
      <bottom/>
      <diagonal/>
    </border>
    <border>
      <left/>
      <right style="hair">
        <color theme="3"/>
      </right>
      <top/>
      <bottom/>
      <diagonal/>
    </border>
    <border>
      <left style="hair">
        <color theme="3"/>
      </left>
      <right/>
      <top/>
      <bottom style="hair">
        <color theme="3"/>
      </bottom>
      <diagonal/>
    </border>
    <border>
      <left/>
      <right/>
      <top/>
      <bottom style="hair">
        <color theme="3"/>
      </bottom>
      <diagonal/>
    </border>
    <border>
      <left/>
      <right style="hair">
        <color theme="3"/>
      </right>
      <top/>
      <bottom style="hair">
        <color theme="3"/>
      </bottom>
      <diagonal/>
    </border>
    <border>
      <left style="thin">
        <color indexed="64"/>
      </left>
      <right/>
      <top style="thin">
        <color rgb="FF007B87"/>
      </top>
      <bottom/>
      <diagonal/>
    </border>
    <border>
      <left style="thin">
        <color indexed="64"/>
      </left>
      <right/>
      <top/>
      <bottom style="thin">
        <color indexed="64"/>
      </bottom>
      <diagonal/>
    </border>
    <border>
      <left style="thin">
        <color indexed="64"/>
      </left>
      <right/>
      <top/>
      <bottom/>
      <diagonal/>
    </border>
    <border>
      <left/>
      <right style="thin">
        <color indexed="64"/>
      </right>
      <top style="thin">
        <color rgb="FF007B87"/>
      </top>
      <bottom style="thin">
        <color rgb="FF007B87"/>
      </bottom>
      <diagonal/>
    </border>
    <border>
      <left/>
      <right style="thin">
        <color indexed="64"/>
      </right>
      <top/>
      <bottom style="thin">
        <color indexed="64"/>
      </bottom>
      <diagonal/>
    </border>
    <border>
      <left/>
      <right style="thin">
        <color indexed="64"/>
      </right>
      <top/>
      <bottom/>
      <diagonal/>
    </border>
    <border>
      <left style="dotted">
        <color auto="1"/>
      </left>
      <right/>
      <top/>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dotted">
        <color auto="1"/>
      </right>
      <top style="dotted">
        <color auto="1"/>
      </top>
      <bottom style="dotted">
        <color auto="1"/>
      </bottom>
      <diagonal/>
    </border>
  </borders>
  <cellStyleXfs count="32">
    <xf numFmtId="0" fontId="0" fillId="0" borderId="0"/>
    <xf numFmtId="0" fontId="7" fillId="3" borderId="0" applyNumberFormat="0" applyAlignment="0" applyProtection="0"/>
    <xf numFmtId="0" fontId="7" fillId="3" borderId="0" applyNumberFormat="0" applyAlignment="0" applyProtection="0"/>
    <xf numFmtId="0" fontId="6" fillId="2" borderId="1" applyNumberFormat="0" applyAlignment="0" applyProtection="0"/>
    <xf numFmtId="0" fontId="19" fillId="2" borderId="9" applyNumberFormat="0" applyAlignment="0" applyProtection="0"/>
    <xf numFmtId="0" fontId="19" fillId="0" borderId="10" applyNumberFormat="0" applyAlignment="0" applyProtection="0"/>
    <xf numFmtId="0" fontId="9" fillId="6" borderId="0" applyNumberFormat="0" applyBorder="0" applyAlignment="0" applyProtection="0"/>
    <xf numFmtId="0" fontId="10" fillId="7" borderId="0" applyNumberFormat="0" applyBorder="0" applyAlignment="0" applyProtection="0"/>
    <xf numFmtId="0" fontId="11" fillId="8" borderId="0" applyNumberFormat="0" applyBorder="0" applyAlignment="0" applyProtection="0"/>
    <xf numFmtId="0" fontId="12" fillId="9" borderId="4" applyNumberFormat="0" applyAlignment="0" applyProtection="0"/>
    <xf numFmtId="0" fontId="13" fillId="10" borderId="5" applyNumberFormat="0" applyAlignment="0" applyProtection="0"/>
    <xf numFmtId="0" fontId="14" fillId="10" borderId="4" applyNumberFormat="0" applyAlignment="0" applyProtection="0"/>
    <xf numFmtId="0" fontId="15" fillId="0" borderId="6" applyNumberFormat="0" applyFill="0" applyAlignment="0" applyProtection="0"/>
    <xf numFmtId="0" fontId="16" fillId="11" borderId="7" applyNumberFormat="0" applyAlignment="0" applyProtection="0"/>
    <xf numFmtId="0" fontId="17" fillId="0" borderId="0" applyNumberFormat="0" applyFill="0" applyBorder="0" applyAlignment="0" applyProtection="0"/>
    <xf numFmtId="0" fontId="8" fillId="12" borderId="8" applyNumberFormat="0" applyFont="0" applyAlignment="0" applyProtection="0"/>
    <xf numFmtId="0" fontId="18" fillId="0" borderId="0" applyNumberFormat="0" applyFill="0" applyBorder="0" applyAlignment="0" applyProtection="0"/>
    <xf numFmtId="43" fontId="3" fillId="4" borderId="0"/>
    <xf numFmtId="43" fontId="4" fillId="0" borderId="0"/>
    <xf numFmtId="43" fontId="5" fillId="0" borderId="0"/>
    <xf numFmtId="43" fontId="2" fillId="0" borderId="0"/>
    <xf numFmtId="164" fontId="3"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9" fontId="22" fillId="0" borderId="0" applyFont="0" applyFill="0" applyBorder="0" applyAlignment="0" applyProtection="0"/>
    <xf numFmtId="0" fontId="1" fillId="0" borderId="0"/>
    <xf numFmtId="0" fontId="25" fillId="14" borderId="0" applyNumberFormat="0" applyBorder="0" applyAlignment="0" applyProtection="0"/>
    <xf numFmtId="0" fontId="26" fillId="0" borderId="0" applyNumberFormat="0" applyFill="0" applyBorder="0" applyAlignment="0" applyProtection="0"/>
    <xf numFmtId="0" fontId="7" fillId="16" borderId="0" applyNumberFormat="0" applyAlignment="0" applyProtection="0"/>
    <xf numFmtId="0" fontId="2" fillId="0" borderId="0"/>
    <xf numFmtId="43" fontId="51" fillId="0" borderId="0" applyFont="0" applyFill="0" applyBorder="0" applyAlignment="0" applyProtection="0"/>
  </cellStyleXfs>
  <cellXfs count="571">
    <xf numFmtId="0" fontId="0" fillId="0" borderId="0" xfId="0"/>
    <xf numFmtId="0" fontId="7" fillId="3" borderId="0" xfId="2"/>
    <xf numFmtId="0" fontId="6" fillId="2" borderId="1" xfId="3"/>
    <xf numFmtId="0" fontId="0" fillId="13" borderId="0" xfId="0" applyFill="1"/>
    <xf numFmtId="0" fontId="2" fillId="13" borderId="0" xfId="0" applyFont="1" applyFill="1"/>
    <xf numFmtId="0" fontId="2" fillId="15" borderId="0" xfId="22" applyFill="1"/>
    <xf numFmtId="0" fontId="2" fillId="0" borderId="0" xfId="22"/>
    <xf numFmtId="0" fontId="2" fillId="3" borderId="0" xfId="22" applyFill="1"/>
    <xf numFmtId="0" fontId="2" fillId="13" borderId="0" xfId="22" applyFill="1"/>
    <xf numFmtId="0" fontId="27" fillId="17" borderId="0" xfId="22" applyFont="1" applyFill="1"/>
    <xf numFmtId="0" fontId="2" fillId="17" borderId="0" xfId="22" applyFill="1"/>
    <xf numFmtId="0" fontId="7" fillId="18" borderId="0" xfId="29" applyFill="1"/>
    <xf numFmtId="0" fontId="27" fillId="18" borderId="0" xfId="22" applyFont="1" applyFill="1"/>
    <xf numFmtId="0" fontId="28" fillId="18" borderId="0" xfId="22" applyFont="1" applyFill="1"/>
    <xf numFmtId="0" fontId="27" fillId="3" borderId="0" xfId="22" applyFont="1" applyFill="1"/>
    <xf numFmtId="0" fontId="27" fillId="19" borderId="0" xfId="22" applyFont="1" applyFill="1"/>
    <xf numFmtId="0" fontId="2" fillId="19" borderId="0" xfId="22" applyFill="1"/>
    <xf numFmtId="0" fontId="31" fillId="3" borderId="0" xfId="28" applyFont="1" applyFill="1" applyAlignment="1">
      <alignment horizontal="left" vertical="center" wrapText="1"/>
    </xf>
    <xf numFmtId="0" fontId="2" fillId="0" borderId="0" xfId="0" applyFont="1"/>
    <xf numFmtId="0" fontId="35" fillId="0" borderId="0" xfId="0" applyFont="1"/>
    <xf numFmtId="0" fontId="36" fillId="13" borderId="0" xfId="0" applyFont="1" applyFill="1"/>
    <xf numFmtId="0" fontId="30" fillId="14" borderId="0" xfId="27" applyFont="1" applyAlignment="1">
      <alignment vertical="center"/>
    </xf>
    <xf numFmtId="0" fontId="20" fillId="13" borderId="0" xfId="0" applyFont="1" applyFill="1"/>
    <xf numFmtId="0" fontId="2" fillId="0" borderId="0" xfId="0" applyFont="1" applyAlignment="1">
      <alignment horizontal="left" indent="2"/>
    </xf>
    <xf numFmtId="0" fontId="35" fillId="0" borderId="0" xfId="0" applyFont="1" applyAlignment="1">
      <alignment horizontal="left"/>
    </xf>
    <xf numFmtId="0" fontId="35" fillId="13" borderId="0" xfId="0" applyFont="1" applyFill="1"/>
    <xf numFmtId="0" fontId="0" fillId="0" borderId="0" xfId="0" applyAlignment="1">
      <alignment wrapText="1"/>
    </xf>
    <xf numFmtId="0" fontId="19" fillId="0" borderId="0" xfId="0" applyFont="1" applyAlignment="1">
      <alignment horizontal="center" wrapText="1"/>
    </xf>
    <xf numFmtId="0" fontId="19" fillId="0" borderId="0" xfId="0" applyFont="1" applyAlignment="1">
      <alignment horizontal="center" vertical="center" wrapText="1"/>
    </xf>
    <xf numFmtId="0" fontId="20" fillId="0" borderId="0" xfId="0" applyFont="1" applyFill="1" applyAlignment="1">
      <alignment horizontal="left" vertical="top" wrapText="1"/>
    </xf>
    <xf numFmtId="0" fontId="0" fillId="13" borderId="0" xfId="0" applyFill="1" applyBorder="1"/>
    <xf numFmtId="0" fontId="0" fillId="0" borderId="0" xfId="0" applyBorder="1"/>
    <xf numFmtId="0" fontId="23" fillId="13" borderId="0" xfId="0" applyFont="1" applyFill="1" applyBorder="1" applyAlignment="1">
      <alignment wrapText="1"/>
    </xf>
    <xf numFmtId="43" fontId="37" fillId="23" borderId="0" xfId="17" applyFont="1" applyFill="1" applyBorder="1" applyAlignment="1">
      <alignment vertical="center"/>
    </xf>
    <xf numFmtId="43" fontId="39" fillId="0" borderId="0" xfId="17" applyFont="1" applyFill="1" applyBorder="1" applyAlignment="1">
      <alignment vertical="center"/>
    </xf>
    <xf numFmtId="43" fontId="2" fillId="13" borderId="0" xfId="20" applyFill="1" applyBorder="1" applyAlignment="1">
      <alignment vertical="center"/>
    </xf>
    <xf numFmtId="43" fontId="38" fillId="4" borderId="0" xfId="17" applyFont="1" applyBorder="1" applyAlignment="1">
      <alignment vertical="center"/>
    </xf>
    <xf numFmtId="43" fontId="35" fillId="13" borderId="0" xfId="20" applyFont="1" applyFill="1" applyBorder="1" applyAlignment="1">
      <alignment vertical="center"/>
    </xf>
    <xf numFmtId="43" fontId="41" fillId="13" borderId="0" xfId="20" applyFont="1" applyFill="1" applyBorder="1" applyAlignment="1">
      <alignment vertical="center"/>
    </xf>
    <xf numFmtId="0" fontId="19" fillId="13" borderId="0" xfId="30" applyFont="1" applyFill="1" applyAlignment="1"/>
    <xf numFmtId="0" fontId="24" fillId="0" borderId="14" xfId="0" applyFont="1" applyBorder="1" applyAlignment="1">
      <alignment horizontal="left" vertical="top"/>
    </xf>
    <xf numFmtId="165" fontId="24" fillId="0" borderId="14" xfId="0" applyNumberFormat="1" applyFont="1" applyBorder="1" applyAlignment="1">
      <alignment vertical="top"/>
    </xf>
    <xf numFmtId="0" fontId="23" fillId="13" borderId="0" xfId="0" applyFont="1" applyFill="1" applyBorder="1" applyAlignment="1">
      <alignment vertical="center" wrapText="1"/>
    </xf>
    <xf numFmtId="0" fontId="23" fillId="0" borderId="0" xfId="0" applyFont="1" applyBorder="1" applyAlignment="1">
      <alignment vertical="center" wrapText="1"/>
    </xf>
    <xf numFmtId="0" fontId="41" fillId="0" borderId="0" xfId="0" applyFont="1" applyAlignment="1">
      <alignment horizontal="left" indent="2"/>
    </xf>
    <xf numFmtId="0" fontId="41" fillId="0" borderId="0" xfId="0" applyFont="1" applyAlignment="1">
      <alignment horizontal="center"/>
    </xf>
    <xf numFmtId="0" fontId="20" fillId="13" borderId="0" xfId="0" applyFont="1" applyFill="1" applyAlignment="1">
      <alignment vertical="center"/>
    </xf>
    <xf numFmtId="0" fontId="20" fillId="13" borderId="0" xfId="0" applyFont="1" applyFill="1" applyAlignment="1">
      <alignment horizontal="left" vertical="center"/>
    </xf>
    <xf numFmtId="14" fontId="19" fillId="0" borderId="0" xfId="0" applyNumberFormat="1" applyFont="1" applyAlignment="1">
      <alignment horizontal="center"/>
    </xf>
    <xf numFmtId="165" fontId="42" fillId="0" borderId="0" xfId="0" applyNumberFormat="1" applyFont="1" applyProtection="1">
      <protection locked="0"/>
    </xf>
    <xf numFmtId="41" fontId="39" fillId="0" borderId="0" xfId="24" applyNumberFormat="1" applyFont="1" applyBorder="1" applyProtection="1">
      <protection locked="0"/>
    </xf>
    <xf numFmtId="41" fontId="39" fillId="0" borderId="0" xfId="0" applyNumberFormat="1" applyFont="1" applyProtection="1">
      <protection locked="0"/>
    </xf>
    <xf numFmtId="41" fontId="2" fillId="0" borderId="0" xfId="0" applyNumberFormat="1" applyFont="1"/>
    <xf numFmtId="3" fontId="24" fillId="0" borderId="14" xfId="0" applyNumberFormat="1" applyFont="1" applyBorder="1" applyAlignment="1">
      <alignment horizontal="right" vertical="top"/>
    </xf>
    <xf numFmtId="0" fontId="30" fillId="13" borderId="0" xfId="27" applyFont="1" applyFill="1" applyAlignment="1">
      <alignment vertical="center"/>
    </xf>
    <xf numFmtId="0" fontId="5" fillId="13" borderId="0" xfId="0" applyFont="1" applyFill="1" applyAlignment="1">
      <alignment horizontal="center"/>
    </xf>
    <xf numFmtId="0" fontId="24" fillId="0" borderId="14" xfId="0" applyFont="1" applyBorder="1" applyAlignment="1">
      <alignment horizontal="center" vertical="top"/>
    </xf>
    <xf numFmtId="49" fontId="19" fillId="0" borderId="0" xfId="0" applyNumberFormat="1" applyFont="1" applyAlignment="1">
      <alignment horizontal="left"/>
    </xf>
    <xf numFmtId="0" fontId="29" fillId="13" borderId="0" xfId="22" applyFont="1" applyFill="1"/>
    <xf numFmtId="0" fontId="23" fillId="13" borderId="0" xfId="22" applyFont="1" applyFill="1"/>
    <xf numFmtId="49" fontId="37" fillId="13" borderId="0" xfId="0" applyNumberFormat="1" applyFont="1" applyFill="1" applyAlignment="1">
      <alignment horizontal="center"/>
    </xf>
    <xf numFmtId="3" fontId="23" fillId="13" borderId="0" xfId="0" applyNumberFormat="1" applyFont="1" applyFill="1" applyAlignment="1">
      <alignment horizontal="center"/>
    </xf>
    <xf numFmtId="10" fontId="23" fillId="13" borderId="0" xfId="25" applyNumberFormat="1" applyFont="1" applyFill="1" applyAlignment="1">
      <alignment horizontal="center"/>
    </xf>
    <xf numFmtId="0" fontId="2" fillId="0" borderId="17" xfId="0" applyFont="1" applyBorder="1"/>
    <xf numFmtId="0" fontId="28" fillId="2" borderId="17" xfId="0" applyFont="1" applyFill="1" applyBorder="1" applyAlignment="1">
      <alignment horizontal="center" vertical="center" wrapText="1"/>
    </xf>
    <xf numFmtId="0" fontId="5" fillId="13" borderId="16" xfId="0" applyFont="1" applyFill="1" applyBorder="1" applyAlignment="1">
      <alignment horizontal="center" vertical="center"/>
    </xf>
    <xf numFmtId="0" fontId="5" fillId="13" borderId="0" xfId="0" applyFont="1" applyFill="1" applyAlignment="1">
      <alignment horizontal="center" vertical="center"/>
    </xf>
    <xf numFmtId="0" fontId="5" fillId="13" borderId="17" xfId="0" applyFont="1" applyFill="1" applyBorder="1" applyAlignment="1">
      <alignment horizontal="center" vertical="center"/>
    </xf>
    <xf numFmtId="0" fontId="5" fillId="13" borderId="15" xfId="0" applyFont="1" applyFill="1" applyBorder="1" applyAlignment="1">
      <alignment horizontal="center" vertical="center"/>
    </xf>
    <xf numFmtId="166" fontId="37" fillId="23" borderId="0" xfId="25" applyNumberFormat="1" applyFont="1" applyFill="1"/>
    <xf numFmtId="0" fontId="20" fillId="13" borderId="15" xfId="0" applyFont="1" applyFill="1" applyBorder="1"/>
    <xf numFmtId="0" fontId="31" fillId="13" borderId="0" xfId="28" applyFont="1" applyFill="1" applyAlignment="1">
      <alignment horizontal="left" vertical="center" wrapText="1"/>
    </xf>
    <xf numFmtId="0" fontId="5" fillId="13" borderId="0" xfId="0" applyFont="1" applyFill="1" applyBorder="1" applyAlignment="1">
      <alignment horizontal="center" vertical="center"/>
    </xf>
    <xf numFmtId="0" fontId="0" fillId="0" borderId="0" xfId="0" applyFill="1"/>
    <xf numFmtId="0" fontId="32" fillId="0" borderId="0" xfId="28" applyFont="1" applyFill="1" applyAlignment="1">
      <alignment vertical="center"/>
    </xf>
    <xf numFmtId="0" fontId="43" fillId="0" borderId="0" xfId="0" applyFont="1" applyFill="1" applyBorder="1" applyAlignment="1">
      <alignment horizontal="center" vertical="center" wrapText="1"/>
    </xf>
    <xf numFmtId="0" fontId="35" fillId="0" borderId="0" xfId="22" applyFont="1"/>
    <xf numFmtId="0" fontId="4" fillId="13" borderId="0" xfId="0" applyFont="1" applyFill="1" applyAlignment="1" applyProtection="1">
      <alignment horizontal="center"/>
      <protection locked="0"/>
    </xf>
    <xf numFmtId="0" fontId="38" fillId="0" borderId="0" xfId="22" applyFont="1"/>
    <xf numFmtId="0" fontId="38" fillId="0" borderId="0" xfId="22" applyFont="1" applyAlignment="1">
      <alignment horizontal="center"/>
    </xf>
    <xf numFmtId="0" fontId="38" fillId="13" borderId="0" xfId="0" applyFont="1" applyFill="1" applyAlignment="1" applyProtection="1">
      <alignment horizontal="center" vertical="center" wrapText="1"/>
      <protection locked="0"/>
    </xf>
    <xf numFmtId="0" fontId="19" fillId="13" borderId="0" xfId="0" applyFont="1" applyFill="1" applyAlignment="1" applyProtection="1">
      <alignment horizontal="center" vertical="center" wrapText="1"/>
      <protection locked="0"/>
    </xf>
    <xf numFmtId="165" fontId="39" fillId="0" borderId="0" xfId="0" applyNumberFormat="1" applyFont="1"/>
    <xf numFmtId="165" fontId="39" fillId="0" borderId="15" xfId="0" applyNumberFormat="1" applyFont="1" applyBorder="1"/>
    <xf numFmtId="165" fontId="39" fillId="0" borderId="17" xfId="0" applyNumberFormat="1" applyFont="1" applyBorder="1"/>
    <xf numFmtId="165" fontId="23" fillId="0" borderId="0" xfId="0" applyNumberFormat="1" applyFont="1" applyBorder="1"/>
    <xf numFmtId="0" fontId="2" fillId="0" borderId="0" xfId="22" applyAlignment="1">
      <alignment horizontal="center"/>
    </xf>
    <xf numFmtId="165" fontId="2" fillId="0" borderId="0" xfId="22" applyNumberFormat="1"/>
    <xf numFmtId="0" fontId="41" fillId="0" borderId="0" xfId="22" applyFont="1" applyAlignment="1">
      <alignment horizontal="right"/>
    </xf>
    <xf numFmtId="0" fontId="19" fillId="15" borderId="0" xfId="22" applyFont="1" applyFill="1"/>
    <xf numFmtId="165" fontId="19" fillId="15" borderId="0" xfId="22" applyNumberFormat="1" applyFont="1" applyFill="1"/>
    <xf numFmtId="0" fontId="23" fillId="15" borderId="0" xfId="22" applyFont="1" applyFill="1"/>
    <xf numFmtId="0" fontId="2" fillId="13" borderId="0" xfId="0" applyFont="1" applyFill="1" applyAlignment="1">
      <alignment vertical="center"/>
    </xf>
    <xf numFmtId="168" fontId="19" fillId="15" borderId="0" xfId="22" applyNumberFormat="1" applyFont="1" applyFill="1"/>
    <xf numFmtId="168" fontId="23" fillId="0" borderId="0" xfId="24" applyNumberFormat="1" applyFont="1" applyFill="1" applyProtection="1"/>
    <xf numFmtId="169" fontId="37" fillId="23" borderId="0" xfId="24" applyNumberFormat="1" applyFont="1" applyFill="1" applyProtection="1"/>
    <xf numFmtId="0" fontId="41" fillId="0" borderId="0" xfId="22" applyFont="1"/>
    <xf numFmtId="165" fontId="2" fillId="0" borderId="0" xfId="0" applyNumberFormat="1" applyFont="1"/>
    <xf numFmtId="0" fontId="2" fillId="13" borderId="0" xfId="0" applyFont="1" applyFill="1" applyAlignment="1">
      <alignment horizontal="left" indent="1"/>
    </xf>
    <xf numFmtId="0" fontId="37" fillId="23" borderId="0" xfId="0" applyFont="1" applyFill="1" applyAlignment="1" applyProtection="1">
      <alignment horizontal="center" vertical="center" wrapText="1"/>
      <protection locked="0"/>
    </xf>
    <xf numFmtId="0" fontId="19" fillId="0" borderId="0" xfId="0" applyNumberFormat="1" applyFont="1" applyAlignment="1">
      <alignment horizontal="left"/>
    </xf>
    <xf numFmtId="14" fontId="23" fillId="23" borderId="0" xfId="0" applyNumberFormat="1" applyFont="1" applyFill="1" applyAlignment="1">
      <alignment horizontal="center"/>
    </xf>
    <xf numFmtId="166" fontId="37" fillId="13" borderId="0" xfId="25" applyNumberFormat="1" applyFont="1" applyFill="1"/>
    <xf numFmtId="0" fontId="32" fillId="2" borderId="0" xfId="28" applyFont="1" applyFill="1" applyAlignment="1">
      <alignment vertical="center"/>
    </xf>
    <xf numFmtId="168" fontId="23" fillId="0" borderId="0" xfId="0" applyNumberFormat="1" applyFont="1" applyProtection="1">
      <protection locked="0"/>
    </xf>
    <xf numFmtId="0" fontId="36" fillId="13" borderId="0" xfId="0" applyFont="1" applyFill="1" applyAlignment="1">
      <alignment horizontal="center"/>
    </xf>
    <xf numFmtId="14" fontId="23" fillId="13" borderId="0" xfId="0" applyNumberFormat="1" applyFont="1" applyFill="1" applyAlignment="1">
      <alignment horizontal="center"/>
    </xf>
    <xf numFmtId="0" fontId="23" fillId="0" borderId="0" xfId="22" applyFont="1" applyAlignment="1">
      <alignment horizontal="center"/>
    </xf>
    <xf numFmtId="166" fontId="0" fillId="0" borderId="0" xfId="25" applyNumberFormat="1" applyFont="1"/>
    <xf numFmtId="168" fontId="24" fillId="0" borderId="14" xfId="0" applyNumberFormat="1" applyFont="1" applyBorder="1" applyAlignment="1">
      <alignment vertical="top"/>
    </xf>
    <xf numFmtId="0" fontId="40" fillId="22" borderId="0" xfId="0" applyFont="1" applyFill="1"/>
    <xf numFmtId="10" fontId="46" fillId="22" borderId="0" xfId="23" applyNumberFormat="1" applyFont="1" applyFill="1"/>
    <xf numFmtId="43" fontId="40" fillId="22" borderId="0" xfId="20" applyFont="1" applyFill="1" applyBorder="1" applyAlignment="1">
      <alignment vertical="center"/>
    </xf>
    <xf numFmtId="0" fontId="40" fillId="22" borderId="0" xfId="0" applyFont="1" applyFill="1" applyAlignment="1">
      <alignment horizontal="right" vertical="center" wrapText="1"/>
    </xf>
    <xf numFmtId="0" fontId="40" fillId="13" borderId="0" xfId="0" applyFont="1" applyFill="1" applyAlignment="1">
      <alignment horizontal="right" vertical="center" wrapText="1"/>
    </xf>
    <xf numFmtId="1" fontId="37" fillId="23" borderId="0" xfId="0" applyNumberFormat="1" applyFont="1" applyFill="1" applyAlignment="1">
      <alignment horizontal="center"/>
    </xf>
    <xf numFmtId="1" fontId="23" fillId="13" borderId="0" xfId="0" applyNumberFormat="1" applyFont="1" applyFill="1" applyAlignment="1">
      <alignment horizontal="center"/>
    </xf>
    <xf numFmtId="0" fontId="23" fillId="0" borderId="0" xfId="0" applyFont="1" applyAlignment="1">
      <alignment horizontal="left" vertical="center" wrapText="1"/>
    </xf>
    <xf numFmtId="0" fontId="19" fillId="0" borderId="21" xfId="0" applyFont="1" applyBorder="1" applyAlignment="1">
      <alignment horizontal="center" vertical="center" wrapText="1"/>
    </xf>
    <xf numFmtId="0" fontId="23" fillId="13" borderId="0" xfId="0" applyFont="1" applyFill="1" applyAlignment="1">
      <alignment horizontal="left" vertical="center"/>
    </xf>
    <xf numFmtId="14" fontId="38" fillId="13" borderId="0" xfId="0" applyNumberFormat="1" applyFont="1" applyFill="1" applyAlignment="1" applyProtection="1">
      <alignment horizontal="center" vertical="center" wrapText="1"/>
      <protection locked="0"/>
    </xf>
    <xf numFmtId="3" fontId="47" fillId="0" borderId="14" xfId="0" applyNumberFormat="1" applyFont="1" applyBorder="1" applyAlignment="1">
      <alignment horizontal="right" vertical="top"/>
    </xf>
    <xf numFmtId="9" fontId="5" fillId="0" borderId="0" xfId="25" applyFont="1"/>
    <xf numFmtId="3" fontId="24" fillId="0" borderId="14" xfId="0" applyNumberFormat="1" applyFont="1" applyBorder="1" applyAlignment="1">
      <alignment horizontal="center" vertical="top"/>
    </xf>
    <xf numFmtId="3" fontId="24" fillId="0" borderId="0" xfId="0" applyNumberFormat="1" applyFont="1" applyBorder="1" applyAlignment="1">
      <alignment horizontal="right" vertical="top"/>
    </xf>
    <xf numFmtId="3" fontId="24" fillId="0" borderId="0" xfId="0" applyNumberFormat="1" applyFont="1" applyBorder="1" applyAlignment="1">
      <alignment horizontal="center" vertical="top"/>
    </xf>
    <xf numFmtId="41" fontId="2" fillId="0" borderId="0" xfId="0" applyNumberFormat="1" applyFont="1" applyBorder="1"/>
    <xf numFmtId="9" fontId="5" fillId="0" borderId="0" xfId="25" applyFont="1" applyBorder="1"/>
    <xf numFmtId="41" fontId="5" fillId="0" borderId="0" xfId="0" applyNumberFormat="1" applyFont="1" applyBorder="1"/>
    <xf numFmtId="0" fontId="43" fillId="13" borderId="0" xfId="0" applyFont="1" applyFill="1" applyBorder="1" applyAlignment="1" applyProtection="1">
      <alignment horizontal="center" vertical="center" wrapText="1"/>
      <protection locked="0"/>
    </xf>
    <xf numFmtId="3" fontId="43" fillId="0" borderId="0" xfId="0" applyNumberFormat="1" applyFont="1" applyBorder="1" applyAlignment="1">
      <alignment horizontal="center" vertical="top"/>
    </xf>
    <xf numFmtId="3" fontId="43" fillId="0" borderId="0" xfId="0" applyNumberFormat="1" applyFont="1" applyBorder="1" applyAlignment="1">
      <alignment horizontal="right" vertical="top"/>
    </xf>
    <xf numFmtId="0" fontId="5" fillId="0" borderId="0" xfId="0" applyFont="1" applyBorder="1"/>
    <xf numFmtId="3" fontId="47" fillId="0" borderId="0" xfId="0" applyNumberFormat="1" applyFont="1" applyBorder="1" applyAlignment="1">
      <alignment horizontal="right" vertical="top"/>
    </xf>
    <xf numFmtId="0" fontId="4" fillId="13" borderId="0" xfId="0" applyFont="1" applyFill="1" applyAlignment="1" applyProtection="1">
      <alignment horizontal="center" wrapText="1"/>
      <protection locked="0"/>
    </xf>
    <xf numFmtId="0" fontId="19" fillId="13" borderId="0" xfId="0" applyFont="1" applyFill="1" applyAlignment="1" applyProtection="1">
      <alignment horizontal="center" wrapText="1"/>
      <protection locked="0"/>
    </xf>
    <xf numFmtId="0" fontId="19" fillId="13" borderId="0" xfId="0" applyFont="1" applyFill="1" applyAlignment="1">
      <alignment horizontal="center" vertical="center" wrapText="1"/>
    </xf>
    <xf numFmtId="0" fontId="40" fillId="13" borderId="0" xfId="0" applyFont="1" applyFill="1" applyBorder="1" applyAlignment="1">
      <alignment horizontal="right" vertical="center" wrapText="1"/>
    </xf>
    <xf numFmtId="10" fontId="46" fillId="13" borderId="0" xfId="23" applyNumberFormat="1" applyFont="1" applyFill="1" applyBorder="1"/>
    <xf numFmtId="168" fontId="24" fillId="13" borderId="0" xfId="0" applyNumberFormat="1" applyFont="1" applyFill="1" applyBorder="1" applyAlignment="1">
      <alignment vertical="top"/>
    </xf>
    <xf numFmtId="168" fontId="23" fillId="13" borderId="0" xfId="0" applyNumberFormat="1" applyFont="1" applyFill="1" applyBorder="1" applyProtection="1">
      <protection locked="0"/>
    </xf>
    <xf numFmtId="0" fontId="30" fillId="13" borderId="0" xfId="0" applyFont="1" applyFill="1" applyAlignment="1" applyProtection="1">
      <alignment horizontal="center"/>
      <protection locked="0"/>
    </xf>
    <xf numFmtId="0" fontId="0" fillId="0" borderId="23" xfId="0" applyBorder="1"/>
    <xf numFmtId="0" fontId="2" fillId="0" borderId="0" xfId="0" applyFont="1" applyFill="1"/>
    <xf numFmtId="0" fontId="48" fillId="0" borderId="0" xfId="0" applyFont="1"/>
    <xf numFmtId="41" fontId="39" fillId="13" borderId="0" xfId="24" applyNumberFormat="1" applyFont="1" applyFill="1" applyBorder="1" applyProtection="1">
      <protection locked="0"/>
    </xf>
    <xf numFmtId="41" fontId="2" fillId="13" borderId="0" xfId="0" applyNumberFormat="1" applyFont="1" applyFill="1"/>
    <xf numFmtId="9" fontId="5" fillId="0" borderId="0" xfId="25" applyNumberFormat="1" applyFont="1" applyBorder="1"/>
    <xf numFmtId="0" fontId="30" fillId="0" borderId="0" xfId="27" applyFont="1" applyFill="1" applyAlignment="1">
      <alignment vertical="center"/>
    </xf>
    <xf numFmtId="0" fontId="23" fillId="13" borderId="0" xfId="0" applyFont="1" applyFill="1"/>
    <xf numFmtId="0" fontId="49" fillId="13" borderId="0" xfId="0" applyFont="1" applyFill="1" applyBorder="1" applyAlignment="1" applyProtection="1">
      <alignment horizontal="center" vertical="center" wrapText="1"/>
      <protection locked="0"/>
    </xf>
    <xf numFmtId="3" fontId="49" fillId="0" borderId="0" xfId="0" applyNumberFormat="1" applyFont="1" applyBorder="1" applyAlignment="1">
      <alignment horizontal="center" vertical="top"/>
    </xf>
    <xf numFmtId="41" fontId="50" fillId="0" borderId="0" xfId="0" applyNumberFormat="1" applyFont="1" applyBorder="1"/>
    <xf numFmtId="9" fontId="50" fillId="0" borderId="0" xfId="25" applyNumberFormat="1" applyFont="1" applyBorder="1"/>
    <xf numFmtId="9" fontId="50" fillId="0" borderId="0" xfId="25" applyFont="1" applyBorder="1"/>
    <xf numFmtId="0" fontId="50" fillId="0" borderId="0" xfId="0" applyFont="1" applyBorder="1"/>
    <xf numFmtId="9" fontId="50" fillId="13" borderId="0" xfId="25" applyFont="1" applyFill="1" applyBorder="1"/>
    <xf numFmtId="0" fontId="41" fillId="0" borderId="0" xfId="0" applyFont="1"/>
    <xf numFmtId="43" fontId="50" fillId="13" borderId="0" xfId="19" applyFont="1" applyFill="1" applyBorder="1" applyAlignment="1">
      <alignment vertical="center"/>
    </xf>
    <xf numFmtId="9" fontId="5" fillId="0" borderId="0" xfId="23" applyFont="1"/>
    <xf numFmtId="0" fontId="20" fillId="13" borderId="0" xfId="0" applyFont="1" applyFill="1" applyAlignment="1">
      <alignment horizontal="center" vertical="center"/>
    </xf>
    <xf numFmtId="167" fontId="37" fillId="0" borderId="0" xfId="24" applyNumberFormat="1" applyFont="1" applyFill="1" applyProtection="1"/>
    <xf numFmtId="43" fontId="40" fillId="0" borderId="0" xfId="20" applyFont="1" applyFill="1" applyBorder="1" applyAlignment="1">
      <alignment vertical="center"/>
    </xf>
    <xf numFmtId="170" fontId="40" fillId="0" borderId="0" xfId="20" applyNumberFormat="1" applyFont="1" applyFill="1" applyBorder="1" applyAlignment="1">
      <alignment vertical="center"/>
    </xf>
    <xf numFmtId="0" fontId="0" fillId="4" borderId="0" xfId="0" applyFill="1"/>
    <xf numFmtId="0" fontId="24" fillId="5" borderId="0" xfId="0" applyFont="1" applyFill="1" applyBorder="1" applyAlignment="1">
      <alignment horizontal="left" vertical="top" wrapText="1" indent="1"/>
    </xf>
    <xf numFmtId="0" fontId="21" fillId="5" borderId="0" xfId="0" applyFont="1" applyFill="1" applyBorder="1" applyAlignment="1">
      <alignment horizontal="right" vertical="top"/>
    </xf>
    <xf numFmtId="0" fontId="21" fillId="5" borderId="0" xfId="0" applyFont="1" applyFill="1" applyBorder="1" applyAlignment="1">
      <alignment horizontal="left" vertical="top" wrapText="1" indent="2"/>
    </xf>
    <xf numFmtId="0" fontId="0" fillId="0" borderId="0" xfId="0" applyFill="1" applyBorder="1"/>
    <xf numFmtId="0" fontId="21" fillId="0" borderId="0" xfId="0" applyFont="1" applyBorder="1" applyAlignment="1">
      <alignment horizontal="left" vertical="top" wrapText="1" indent="1"/>
    </xf>
    <xf numFmtId="0" fontId="35" fillId="0" borderId="0" xfId="0" applyFont="1" applyAlignment="1">
      <alignment horizontal="right" vertical="center"/>
    </xf>
    <xf numFmtId="167" fontId="37" fillId="0" borderId="0" xfId="24" applyNumberFormat="1" applyFont="1" applyFill="1" applyBorder="1" applyProtection="1"/>
    <xf numFmtId="167" fontId="0" fillId="0" borderId="0" xfId="0" applyNumberFormat="1" applyFill="1" applyBorder="1"/>
    <xf numFmtId="170" fontId="0" fillId="0" borderId="0" xfId="31" applyNumberFormat="1" applyFont="1" applyFill="1" applyBorder="1"/>
    <xf numFmtId="0" fontId="28" fillId="0" borderId="0" xfId="0" applyFont="1" applyFill="1" applyBorder="1" applyAlignment="1">
      <alignment vertical="center" wrapText="1"/>
    </xf>
    <xf numFmtId="0" fontId="36" fillId="13" borderId="29" xfId="0" applyFont="1" applyFill="1" applyBorder="1"/>
    <xf numFmtId="41" fontId="39" fillId="0" borderId="30" xfId="0" applyNumberFormat="1" applyFont="1" applyBorder="1" applyProtection="1">
      <protection locked="0"/>
    </xf>
    <xf numFmtId="0" fontId="36" fillId="13" borderId="32" xfId="0" applyFont="1" applyFill="1" applyBorder="1"/>
    <xf numFmtId="0" fontId="4" fillId="0" borderId="0" xfId="24" applyNumberFormat="1" applyFont="1" applyFill="1" applyBorder="1" applyProtection="1"/>
    <xf numFmtId="0" fontId="28" fillId="2" borderId="17" xfId="0" applyFont="1" applyFill="1" applyBorder="1" applyAlignment="1">
      <alignment vertical="center" wrapText="1"/>
    </xf>
    <xf numFmtId="0" fontId="0" fillId="0" borderId="29" xfId="0" applyBorder="1"/>
    <xf numFmtId="0" fontId="0" fillId="4" borderId="27" xfId="0" applyFill="1" applyBorder="1"/>
    <xf numFmtId="0" fontId="21" fillId="0" borderId="0" xfId="0" applyFont="1" applyFill="1" applyBorder="1" applyAlignment="1">
      <alignment horizontal="left" vertical="top" wrapText="1" indent="2"/>
    </xf>
    <xf numFmtId="0" fontId="2" fillId="0" borderId="21" xfId="22" applyBorder="1" applyAlignment="1">
      <alignment wrapText="1"/>
    </xf>
    <xf numFmtId="0" fontId="0" fillId="0" borderId="0" xfId="0" applyFill="1" applyAlignment="1">
      <alignment wrapText="1"/>
    </xf>
    <xf numFmtId="0" fontId="0" fillId="13" borderId="0" xfId="0" applyFill="1" applyAlignment="1">
      <alignment wrapText="1"/>
    </xf>
    <xf numFmtId="0" fontId="0" fillId="13" borderId="11" xfId="0" applyFill="1" applyBorder="1" applyAlignment="1">
      <alignment wrapText="1"/>
    </xf>
    <xf numFmtId="0" fontId="0" fillId="0" borderId="0" xfId="0" applyFill="1" applyAlignment="1"/>
    <xf numFmtId="43" fontId="37" fillId="0" borderId="0" xfId="17" applyFont="1" applyFill="1" applyBorder="1" applyAlignment="1">
      <alignment vertical="center"/>
    </xf>
    <xf numFmtId="0" fontId="4" fillId="5" borderId="21" xfId="0" applyFont="1" applyFill="1" applyBorder="1" applyAlignment="1">
      <alignment horizontal="left" vertical="top" wrapText="1"/>
    </xf>
    <xf numFmtId="0" fontId="4" fillId="13" borderId="21" xfId="0" applyFont="1" applyFill="1" applyBorder="1" applyAlignment="1">
      <alignment horizontal="left"/>
    </xf>
    <xf numFmtId="0" fontId="4" fillId="13" borderId="21" xfId="0" applyFont="1" applyFill="1" applyBorder="1" applyAlignment="1">
      <alignment horizontal="center"/>
    </xf>
    <xf numFmtId="170" fontId="37" fillId="0" borderId="0" xfId="17" applyNumberFormat="1" applyFont="1" applyFill="1" applyBorder="1" applyAlignment="1">
      <alignment vertical="center"/>
    </xf>
    <xf numFmtId="0" fontId="45" fillId="0" borderId="0" xfId="0" applyFont="1" applyFill="1" applyBorder="1" applyAlignment="1">
      <alignment horizontal="left" vertical="center" wrapText="1"/>
    </xf>
    <xf numFmtId="0" fontId="30" fillId="17" borderId="0" xfId="0" applyFont="1" applyFill="1" applyAlignment="1">
      <alignment horizontal="left" vertical="center"/>
    </xf>
    <xf numFmtId="0" fontId="29" fillId="17" borderId="0" xfId="0" applyFont="1" applyFill="1"/>
    <xf numFmtId="0" fontId="30" fillId="17" borderId="0" xfId="27" applyFont="1" applyFill="1" applyAlignment="1">
      <alignment vertical="center"/>
    </xf>
    <xf numFmtId="167" fontId="37" fillId="17" borderId="0" xfId="24" applyNumberFormat="1" applyFont="1" applyFill="1" applyBorder="1" applyProtection="1"/>
    <xf numFmtId="167" fontId="0" fillId="17" borderId="0" xfId="0" applyNumberFormat="1" applyFill="1" applyBorder="1"/>
    <xf numFmtId="170" fontId="0" fillId="17" borderId="0" xfId="31" applyNumberFormat="1" applyFont="1" applyFill="1" applyBorder="1"/>
    <xf numFmtId="0" fontId="0" fillId="17" borderId="0" xfId="0" applyFill="1" applyBorder="1"/>
    <xf numFmtId="0" fontId="36" fillId="13" borderId="0" xfId="0" applyFont="1" applyFill="1" applyBorder="1"/>
    <xf numFmtId="0" fontId="19" fillId="4" borderId="0" xfId="0" applyNumberFormat="1" applyFont="1" applyFill="1" applyAlignment="1">
      <alignment horizontal="left"/>
    </xf>
    <xf numFmtId="0" fontId="20" fillId="4" borderId="0" xfId="0" applyFont="1" applyFill="1"/>
    <xf numFmtId="0" fontId="20" fillId="4" borderId="15" xfId="0" applyFont="1" applyFill="1" applyBorder="1"/>
    <xf numFmtId="0" fontId="19" fillId="4" borderId="15" xfId="0" applyFont="1" applyFill="1" applyBorder="1" applyAlignment="1">
      <alignment horizontal="right"/>
    </xf>
    <xf numFmtId="0" fontId="2" fillId="4" borderId="11" xfId="0" applyFont="1" applyFill="1" applyBorder="1"/>
    <xf numFmtId="0" fontId="5" fillId="4" borderId="0" xfId="0" applyFont="1" applyFill="1" applyAlignment="1">
      <alignment horizontal="center" vertical="center"/>
    </xf>
    <xf numFmtId="166" fontId="39" fillId="4" borderId="0" xfId="25" applyNumberFormat="1" applyFont="1" applyFill="1"/>
    <xf numFmtId="0" fontId="2" fillId="4" borderId="0" xfId="0" applyFont="1" applyFill="1"/>
    <xf numFmtId="0" fontId="35" fillId="13" borderId="0" xfId="0" applyFont="1" applyFill="1" applyAlignment="1">
      <alignment horizontal="center" wrapText="1"/>
    </xf>
    <xf numFmtId="0" fontId="2" fillId="0" borderId="0" xfId="22" applyFill="1"/>
    <xf numFmtId="0" fontId="0" fillId="0" borderId="0" xfId="0" applyBorder="1" applyAlignment="1">
      <alignment wrapText="1"/>
    </xf>
    <xf numFmtId="0" fontId="0" fillId="0" borderId="11" xfId="0" applyBorder="1" applyAlignment="1">
      <alignment wrapText="1"/>
    </xf>
    <xf numFmtId="171" fontId="37" fillId="0" borderId="0" xfId="24" applyNumberFormat="1" applyFont="1" applyFill="1" applyProtection="1"/>
    <xf numFmtId="41" fontId="0" fillId="0" borderId="30" xfId="0" applyNumberFormat="1" applyFill="1" applyBorder="1"/>
    <xf numFmtId="41" fontId="0" fillId="0" borderId="35" xfId="0" applyNumberFormat="1" applyFill="1" applyBorder="1"/>
    <xf numFmtId="0" fontId="0" fillId="0" borderId="0" xfId="0" applyFill="1" applyAlignment="1">
      <alignment horizontal="center"/>
    </xf>
    <xf numFmtId="0" fontId="21" fillId="0" borderId="0" xfId="0" applyFont="1" applyFill="1" applyBorder="1" applyAlignment="1">
      <alignment horizontal="right" vertical="top"/>
    </xf>
    <xf numFmtId="0" fontId="20" fillId="0" borderId="2" xfId="0" applyFont="1" applyFill="1" applyBorder="1" applyAlignment="1">
      <alignment horizontal="left" vertical="top" wrapText="1"/>
    </xf>
    <xf numFmtId="0" fontId="20" fillId="0" borderId="2" xfId="0" applyFont="1" applyFill="1" applyBorder="1" applyAlignment="1">
      <alignment horizontal="center" vertical="top" wrapText="1"/>
    </xf>
    <xf numFmtId="0" fontId="41" fillId="0" borderId="0" xfId="0" applyFont="1" applyFill="1"/>
    <xf numFmtId="0" fontId="20" fillId="0" borderId="0" xfId="0" applyFont="1" applyFill="1" applyAlignment="1">
      <alignment horizontal="left" vertical="center"/>
    </xf>
    <xf numFmtId="170" fontId="21" fillId="0" borderId="0" xfId="24" applyNumberFormat="1" applyFont="1" applyFill="1" applyBorder="1" applyAlignment="1">
      <alignment horizontal="right" vertical="center"/>
    </xf>
    <xf numFmtId="167" fontId="23" fillId="0" borderId="0" xfId="24" applyNumberFormat="1" applyFont="1" applyFill="1" applyBorder="1" applyAlignment="1" applyProtection="1">
      <alignment vertical="center"/>
    </xf>
    <xf numFmtId="167" fontId="23" fillId="0" borderId="0" xfId="24" applyNumberFormat="1" applyFont="1" applyFill="1" applyBorder="1" applyProtection="1"/>
    <xf numFmtId="0" fontId="35" fillId="13" borderId="0" xfId="0" applyFont="1" applyFill="1" applyBorder="1" applyAlignment="1">
      <alignment horizontal="center" wrapText="1"/>
    </xf>
    <xf numFmtId="0" fontId="52" fillId="0" borderId="0" xfId="0" applyFont="1" applyFill="1" applyBorder="1" applyAlignment="1">
      <alignment vertical="center" wrapText="1"/>
    </xf>
    <xf numFmtId="0" fontId="44" fillId="13" borderId="0" xfId="0" applyFont="1" applyFill="1" applyAlignment="1">
      <alignment vertical="center" wrapText="1"/>
    </xf>
    <xf numFmtId="172" fontId="37" fillId="0" borderId="0" xfId="24" applyNumberFormat="1" applyFont="1" applyFill="1" applyProtection="1"/>
    <xf numFmtId="172" fontId="37" fillId="0" borderId="0" xfId="17" applyNumberFormat="1" applyFont="1" applyFill="1" applyBorder="1" applyAlignment="1">
      <alignment vertical="center"/>
    </xf>
    <xf numFmtId="170" fontId="37" fillId="0" borderId="0" xfId="31" applyNumberFormat="1" applyFont="1" applyFill="1" applyProtection="1"/>
    <xf numFmtId="0" fontId="0" fillId="17" borderId="0" xfId="0" applyFill="1"/>
    <xf numFmtId="0" fontId="2" fillId="17" borderId="0" xfId="0" applyFont="1" applyFill="1"/>
    <xf numFmtId="0" fontId="36" fillId="17" borderId="0" xfId="0" applyFont="1" applyFill="1"/>
    <xf numFmtId="41" fontId="39" fillId="17" borderId="0" xfId="0" applyNumberFormat="1" applyFont="1" applyFill="1" applyProtection="1">
      <protection locked="0"/>
    </xf>
    <xf numFmtId="0" fontId="36" fillId="0" borderId="0" xfId="0" applyFont="1" applyFill="1"/>
    <xf numFmtId="41" fontId="39" fillId="0" borderId="0" xfId="0" applyNumberFormat="1" applyFont="1" applyFill="1" applyProtection="1">
      <protection locked="0"/>
    </xf>
    <xf numFmtId="0" fontId="4" fillId="5" borderId="21" xfId="0" applyFont="1" applyFill="1" applyBorder="1" applyAlignment="1">
      <alignment horizontal="left" vertical="top"/>
    </xf>
    <xf numFmtId="0" fontId="24" fillId="0" borderId="0" xfId="0" applyFont="1" applyBorder="1" applyAlignment="1">
      <alignment horizontal="left" vertical="top" wrapText="1" indent="1"/>
    </xf>
    <xf numFmtId="170" fontId="0" fillId="0" borderId="0" xfId="0" applyNumberFormat="1"/>
    <xf numFmtId="168" fontId="35" fillId="15" borderId="0" xfId="22" applyNumberFormat="1" applyFont="1" applyFill="1"/>
    <xf numFmtId="0" fontId="35" fillId="0" borderId="35" xfId="0" applyFont="1" applyFill="1" applyBorder="1" applyAlignment="1"/>
    <xf numFmtId="0" fontId="30" fillId="17" borderId="0" xfId="0" applyFont="1" applyFill="1" applyAlignment="1">
      <alignment horizontal="center" vertical="center"/>
    </xf>
    <xf numFmtId="172" fontId="37" fillId="23" borderId="0" xfId="24" applyNumberFormat="1" applyFont="1" applyFill="1" applyProtection="1"/>
    <xf numFmtId="0" fontId="0" fillId="0" borderId="21" xfId="0" applyBorder="1"/>
    <xf numFmtId="41" fontId="2" fillId="0" borderId="0" xfId="22" applyNumberFormat="1"/>
    <xf numFmtId="0" fontId="53" fillId="13" borderId="0" xfId="0" applyFont="1" applyFill="1" applyBorder="1" applyAlignment="1">
      <alignment horizontal="left" vertical="center"/>
    </xf>
    <xf numFmtId="0" fontId="53" fillId="13" borderId="0" xfId="0" applyFont="1" applyFill="1" applyBorder="1" applyAlignment="1">
      <alignment horizontal="center" vertical="center" wrapText="1"/>
    </xf>
    <xf numFmtId="0" fontId="54" fillId="0" borderId="0" xfId="0" applyFont="1"/>
    <xf numFmtId="0" fontId="53" fillId="13" borderId="0" xfId="0" applyFont="1" applyFill="1" applyBorder="1"/>
    <xf numFmtId="10" fontId="53" fillId="13" borderId="0" xfId="23" applyNumberFormat="1" applyFont="1" applyFill="1" applyBorder="1"/>
    <xf numFmtId="0" fontId="53" fillId="13" borderId="0" xfId="0" applyFont="1" applyFill="1" applyBorder="1" applyAlignment="1">
      <alignment horizontal="left" vertical="top"/>
    </xf>
    <xf numFmtId="9" fontId="53" fillId="13" borderId="0" xfId="25" applyFont="1" applyFill="1" applyBorder="1" applyAlignment="1">
      <alignment vertical="top"/>
    </xf>
    <xf numFmtId="0" fontId="54" fillId="13" borderId="0" xfId="0" applyFont="1" applyFill="1" applyBorder="1" applyAlignment="1">
      <alignment horizontal="left" indent="1"/>
    </xf>
    <xf numFmtId="9" fontId="54" fillId="13" borderId="0" xfId="25" applyFont="1" applyFill="1" applyBorder="1" applyAlignment="1">
      <alignment vertical="top"/>
    </xf>
    <xf numFmtId="0" fontId="35" fillId="13" borderId="0" xfId="0" applyFont="1" applyFill="1" applyBorder="1" applyAlignment="1">
      <alignment horizontal="left" vertical="center"/>
    </xf>
    <xf numFmtId="0" fontId="35" fillId="13" borderId="0" xfId="0" applyFont="1" applyFill="1" applyBorder="1" applyAlignment="1">
      <alignment horizontal="center" vertical="center" wrapText="1"/>
    </xf>
    <xf numFmtId="10" fontId="0" fillId="0" borderId="0" xfId="0" applyNumberFormat="1"/>
    <xf numFmtId="165" fontId="19" fillId="0" borderId="0" xfId="0" applyNumberFormat="1" applyFont="1" applyBorder="1"/>
    <xf numFmtId="165" fontId="39" fillId="0" borderId="36" xfId="0" applyNumberFormat="1" applyFont="1" applyBorder="1"/>
    <xf numFmtId="165" fontId="39" fillId="0" borderId="0" xfId="0" applyNumberFormat="1" applyFont="1" applyBorder="1"/>
    <xf numFmtId="165" fontId="39" fillId="0" borderId="21" xfId="0" applyNumberFormat="1" applyFont="1" applyBorder="1"/>
    <xf numFmtId="165" fontId="39" fillId="0" borderId="11" xfId="0" applyNumberFormat="1" applyFont="1" applyBorder="1"/>
    <xf numFmtId="0" fontId="5" fillId="13" borderId="21" xfId="0" applyFont="1" applyFill="1" applyBorder="1" applyAlignment="1">
      <alignment horizontal="center" vertical="center"/>
    </xf>
    <xf numFmtId="165" fontId="2" fillId="0" borderId="0" xfId="22" applyNumberFormat="1" applyFont="1"/>
    <xf numFmtId="0" fontId="4" fillId="0" borderId="27" xfId="24" applyNumberFormat="1" applyFont="1" applyFill="1" applyBorder="1" applyAlignment="1" applyProtection="1">
      <alignment horizontal="center"/>
    </xf>
    <xf numFmtId="0" fontId="36" fillId="13" borderId="22" xfId="0" applyFont="1" applyFill="1" applyBorder="1"/>
    <xf numFmtId="0" fontId="2" fillId="0" borderId="28" xfId="0" applyFont="1" applyFill="1" applyBorder="1"/>
    <xf numFmtId="0" fontId="2" fillId="0" borderId="34" xfId="0" applyFont="1" applyFill="1" applyBorder="1"/>
    <xf numFmtId="0" fontId="2" fillId="0" borderId="31" xfId="0" applyFont="1" applyFill="1" applyBorder="1"/>
    <xf numFmtId="41" fontId="2" fillId="0" borderId="40" xfId="0" applyNumberFormat="1" applyFont="1" applyBorder="1" applyProtection="1">
      <protection locked="0"/>
    </xf>
    <xf numFmtId="0" fontId="0" fillId="0" borderId="0" xfId="0" applyAlignment="1">
      <alignment horizontal="center"/>
    </xf>
    <xf numFmtId="0" fontId="35" fillId="0" borderId="21" xfId="0" applyFont="1" applyBorder="1" applyAlignment="1">
      <alignment horizontal="center"/>
    </xf>
    <xf numFmtId="41" fontId="39" fillId="0" borderId="0" xfId="0" applyNumberFormat="1" applyFont="1" applyBorder="1" applyProtection="1">
      <protection locked="0"/>
    </xf>
    <xf numFmtId="0" fontId="20" fillId="13" borderId="21" xfId="0" applyFont="1" applyFill="1" applyBorder="1"/>
    <xf numFmtId="0" fontId="35" fillId="13" borderId="21" xfId="0" applyFont="1" applyFill="1" applyBorder="1" applyAlignment="1">
      <alignment horizontal="left" wrapText="1"/>
    </xf>
    <xf numFmtId="0" fontId="2" fillId="13" borderId="0" xfId="0" applyFont="1" applyFill="1" applyAlignment="1">
      <alignment wrapText="1"/>
    </xf>
    <xf numFmtId="0" fontId="2" fillId="0" borderId="0" xfId="0" applyFont="1" applyBorder="1" applyAlignment="1">
      <alignment vertical="center"/>
    </xf>
    <xf numFmtId="0" fontId="2" fillId="13" borderId="0" xfId="0" applyFont="1" applyFill="1" applyAlignment="1">
      <alignment vertical="center" wrapText="1"/>
    </xf>
    <xf numFmtId="43" fontId="0" fillId="0" borderId="0" xfId="31" applyFont="1"/>
    <xf numFmtId="0" fontId="2" fillId="0" borderId="32" xfId="0" applyFont="1" applyBorder="1" applyAlignment="1">
      <alignment vertical="center"/>
    </xf>
    <xf numFmtId="43" fontId="0" fillId="0" borderId="0" xfId="0" applyNumberFormat="1" applyFill="1" applyBorder="1"/>
    <xf numFmtId="170" fontId="0" fillId="0" borderId="0" xfId="31" applyNumberFormat="1" applyFont="1"/>
    <xf numFmtId="168" fontId="24" fillId="0" borderId="14" xfId="0" applyNumberFormat="1" applyFont="1" applyFill="1" applyBorder="1" applyAlignment="1">
      <alignment vertical="top"/>
    </xf>
    <xf numFmtId="0" fontId="2" fillId="0" borderId="0" xfId="0" applyFont="1" applyAlignment="1">
      <alignment wrapText="1"/>
    </xf>
    <xf numFmtId="0" fontId="58" fillId="0" borderId="0" xfId="0" applyFont="1"/>
    <xf numFmtId="169" fontId="23" fillId="0" borderId="0" xfId="24" applyNumberFormat="1" applyFont="1" applyFill="1" applyProtection="1"/>
    <xf numFmtId="0" fontId="35" fillId="13" borderId="0" xfId="0" applyFont="1" applyFill="1" applyAlignment="1">
      <alignment horizontal="center" vertical="center" wrapText="1"/>
    </xf>
    <xf numFmtId="0" fontId="35" fillId="13" borderId="0" xfId="0" applyFont="1" applyFill="1" applyAlignment="1">
      <alignment horizontal="center" vertical="center"/>
    </xf>
    <xf numFmtId="0" fontId="2" fillId="13" borderId="0" xfId="0" applyFont="1" applyFill="1" applyAlignment="1">
      <alignment horizontal="center" vertical="center"/>
    </xf>
    <xf numFmtId="0" fontId="44" fillId="13" borderId="0" xfId="0" applyFont="1" applyFill="1" applyAlignment="1">
      <alignment horizontal="center" vertical="center" wrapText="1"/>
    </xf>
    <xf numFmtId="0" fontId="54" fillId="0" borderId="0" xfId="22" applyFont="1"/>
    <xf numFmtId="0" fontId="53" fillId="0" borderId="0" xfId="22" applyFont="1"/>
    <xf numFmtId="168" fontId="54" fillId="0" borderId="0" xfId="24" applyNumberFormat="1" applyFont="1" applyFill="1" applyProtection="1"/>
    <xf numFmtId="0" fontId="54" fillId="0" borderId="0" xfId="22" applyFont="1" applyFill="1"/>
    <xf numFmtId="170" fontId="54" fillId="0" borderId="0" xfId="31" applyNumberFormat="1" applyFont="1"/>
    <xf numFmtId="175" fontId="2" fillId="0" borderId="0" xfId="22" applyNumberFormat="1"/>
    <xf numFmtId="0" fontId="24" fillId="0" borderId="0" xfId="0" applyFont="1" applyBorder="1" applyAlignment="1">
      <alignment horizontal="left" vertical="top"/>
    </xf>
    <xf numFmtId="0" fontId="4" fillId="0" borderId="21" xfId="0" applyFont="1" applyFill="1" applyBorder="1" applyAlignment="1">
      <alignment horizontal="center"/>
    </xf>
    <xf numFmtId="0" fontId="4" fillId="0" borderId="0" xfId="0" applyFont="1" applyFill="1" applyAlignment="1">
      <alignment wrapText="1"/>
    </xf>
    <xf numFmtId="0" fontId="21" fillId="5" borderId="21" xfId="0" applyFont="1" applyFill="1" applyBorder="1" applyAlignment="1">
      <alignment horizontal="left" vertical="top" wrapText="1" indent="2"/>
    </xf>
    <xf numFmtId="170" fontId="37" fillId="0" borderId="21" xfId="17" applyNumberFormat="1" applyFont="1" applyFill="1" applyBorder="1" applyAlignment="1">
      <alignment vertical="center"/>
    </xf>
    <xf numFmtId="43" fontId="37" fillId="0" borderId="21" xfId="17" applyFont="1" applyFill="1" applyBorder="1" applyAlignment="1">
      <alignment vertical="center"/>
    </xf>
    <xf numFmtId="0" fontId="35" fillId="0" borderId="0" xfId="0" applyFont="1" applyFill="1"/>
    <xf numFmtId="0" fontId="26" fillId="0" borderId="0" xfId="28" applyFont="1" applyFill="1" applyAlignment="1">
      <alignment wrapText="1"/>
    </xf>
    <xf numFmtId="0" fontId="0" fillId="0" borderId="0" xfId="0" applyFill="1" applyBorder="1" applyAlignment="1">
      <alignment wrapText="1"/>
    </xf>
    <xf numFmtId="0" fontId="2" fillId="0" borderId="0" xfId="0" applyFont="1" applyFill="1" applyAlignment="1">
      <alignment horizontal="left" indent="1"/>
    </xf>
    <xf numFmtId="0" fontId="35" fillId="0" borderId="0" xfId="0" applyFont="1" applyFill="1" applyAlignment="1">
      <alignment horizontal="left"/>
    </xf>
    <xf numFmtId="0" fontId="23" fillId="0" borderId="0" xfId="0" applyFont="1" applyFill="1"/>
    <xf numFmtId="0" fontId="29" fillId="13" borderId="0" xfId="22" applyFont="1" applyFill="1" applyAlignment="1">
      <alignment wrapText="1"/>
    </xf>
    <xf numFmtId="43" fontId="39" fillId="0" borderId="0" xfId="31" applyFont="1" applyBorder="1" applyProtection="1">
      <protection locked="0"/>
    </xf>
    <xf numFmtId="9" fontId="5" fillId="13" borderId="0" xfId="25" applyFont="1" applyFill="1" applyBorder="1"/>
    <xf numFmtId="41" fontId="2" fillId="0" borderId="0" xfId="0" applyNumberFormat="1" applyFont="1" applyFill="1"/>
    <xf numFmtId="43" fontId="50" fillId="13" borderId="0" xfId="19" applyFont="1" applyFill="1" applyBorder="1" applyAlignment="1">
      <alignment vertical="center" wrapText="1"/>
    </xf>
    <xf numFmtId="0" fontId="4" fillId="0" borderId="0" xfId="0" applyFont="1" applyFill="1" applyAlignment="1" applyProtection="1">
      <alignment horizontal="center" wrapText="1"/>
      <protection locked="0"/>
    </xf>
    <xf numFmtId="0" fontId="19" fillId="0" borderId="0" xfId="0" applyFont="1" applyFill="1" applyBorder="1" applyAlignment="1">
      <alignment horizontal="center" vertical="center" wrapText="1"/>
    </xf>
    <xf numFmtId="0" fontId="4" fillId="0" borderId="0" xfId="0" applyFont="1" applyFill="1" applyBorder="1" applyAlignment="1" applyProtection="1">
      <alignment horizontal="center" wrapText="1"/>
      <protection locked="0"/>
    </xf>
    <xf numFmtId="0" fontId="23" fillId="13" borderId="0" xfId="0" applyFont="1" applyFill="1" applyBorder="1" applyAlignment="1">
      <alignment vertical="center"/>
    </xf>
    <xf numFmtId="0" fontId="0" fillId="16" borderId="0" xfId="0" applyFill="1"/>
    <xf numFmtId="0" fontId="27" fillId="16" borderId="0" xfId="22" applyFont="1" applyFill="1"/>
    <xf numFmtId="0" fontId="28" fillId="16" borderId="0" xfId="22" applyFont="1" applyFill="1"/>
    <xf numFmtId="0" fontId="23" fillId="0" borderId="0" xfId="0" applyFont="1"/>
    <xf numFmtId="0" fontId="31" fillId="3" borderId="0" xfId="28" applyFont="1" applyFill="1" applyAlignment="1">
      <alignment vertical="center" wrapText="1"/>
    </xf>
    <xf numFmtId="0" fontId="33" fillId="24" borderId="0" xfId="28" applyFont="1" applyFill="1" applyAlignment="1">
      <alignment vertical="center" wrapText="1"/>
    </xf>
    <xf numFmtId="0" fontId="31" fillId="17" borderId="0" xfId="28" applyFont="1" applyFill="1" applyAlignment="1">
      <alignment vertical="center" wrapText="1"/>
    </xf>
    <xf numFmtId="0" fontId="32" fillId="21" borderId="0" xfId="28" applyFont="1" applyFill="1" applyAlignment="1">
      <alignment vertical="center" wrapText="1"/>
    </xf>
    <xf numFmtId="0" fontId="31" fillId="19" borderId="0" xfId="28" applyFont="1" applyFill="1" applyAlignment="1">
      <alignment vertical="center" wrapText="1"/>
    </xf>
    <xf numFmtId="0" fontId="32" fillId="22" borderId="0" xfId="28" applyFont="1" applyFill="1" applyAlignment="1">
      <alignment vertical="center" wrapText="1"/>
    </xf>
    <xf numFmtId="0" fontId="33" fillId="18" borderId="0" xfId="28" applyFont="1" applyFill="1" applyAlignment="1">
      <alignment vertical="center" wrapText="1"/>
    </xf>
    <xf numFmtId="0" fontId="32" fillId="4" borderId="0" xfId="28" applyFont="1" applyFill="1" applyAlignment="1">
      <alignment vertical="center" wrapText="1"/>
    </xf>
    <xf numFmtId="0" fontId="33" fillId="16" borderId="0" xfId="28" applyFont="1" applyFill="1" applyAlignment="1">
      <alignment vertical="center" wrapText="1"/>
    </xf>
    <xf numFmtId="0" fontId="32" fillId="26" borderId="0" xfId="28" applyFont="1" applyFill="1" applyAlignment="1">
      <alignment vertical="center" wrapText="1"/>
    </xf>
    <xf numFmtId="0" fontId="59" fillId="27" borderId="0" xfId="28" applyFont="1" applyFill="1" applyAlignment="1"/>
    <xf numFmtId="0" fontId="59" fillId="27" borderId="0" xfId="28" applyFont="1" applyFill="1" applyAlignment="1">
      <alignment vertical="center" wrapText="1"/>
    </xf>
    <xf numFmtId="0" fontId="26" fillId="4" borderId="0" xfId="28" applyFill="1" applyAlignment="1">
      <alignment vertical="center"/>
    </xf>
    <xf numFmtId="0" fontId="43" fillId="25" borderId="42" xfId="0" applyFont="1" applyFill="1" applyBorder="1" applyAlignment="1">
      <alignment horizontal="right"/>
    </xf>
    <xf numFmtId="0" fontId="43" fillId="25" borderId="43" xfId="0" applyFont="1" applyFill="1" applyBorder="1"/>
    <xf numFmtId="0" fontId="43" fillId="25" borderId="44" xfId="0" applyFont="1" applyFill="1" applyBorder="1"/>
    <xf numFmtId="0" fontId="43" fillId="25" borderId="45" xfId="0" applyFont="1" applyFill="1" applyBorder="1" applyAlignment="1">
      <alignment horizontal="right"/>
    </xf>
    <xf numFmtId="0" fontId="43" fillId="25" borderId="0" xfId="0" applyFont="1" applyFill="1" applyBorder="1"/>
    <xf numFmtId="0" fontId="43" fillId="25" borderId="46" xfId="0" applyFont="1" applyFill="1" applyBorder="1"/>
    <xf numFmtId="0" fontId="43" fillId="25" borderId="47" xfId="0" applyFont="1" applyFill="1" applyBorder="1" applyAlignment="1">
      <alignment horizontal="right"/>
    </xf>
    <xf numFmtId="0" fontId="43" fillId="25" borderId="48" xfId="0" applyFont="1" applyFill="1" applyBorder="1"/>
    <xf numFmtId="0" fontId="43" fillId="25" borderId="49" xfId="0" applyFont="1" applyFill="1" applyBorder="1"/>
    <xf numFmtId="0" fontId="43" fillId="25" borderId="42" xfId="0" applyFont="1" applyFill="1" applyBorder="1" applyAlignment="1">
      <alignment vertical="center"/>
    </xf>
    <xf numFmtId="0" fontId="43" fillId="25" borderId="47" xfId="0" applyFont="1" applyFill="1" applyBorder="1" applyAlignment="1">
      <alignment vertical="center"/>
    </xf>
    <xf numFmtId="0" fontId="43" fillId="25" borderId="48" xfId="0" applyFont="1" applyFill="1" applyBorder="1" applyAlignment="1">
      <alignment horizontal="left"/>
    </xf>
    <xf numFmtId="0" fontId="45" fillId="13" borderId="0" xfId="0" applyFont="1" applyFill="1" applyBorder="1" applyAlignment="1">
      <alignment horizontal="center" vertical="center" wrapText="1"/>
    </xf>
    <xf numFmtId="0" fontId="23" fillId="0" borderId="3" xfId="0" applyFont="1" applyFill="1" applyBorder="1" applyAlignment="1">
      <alignment horizontal="center" vertical="center"/>
    </xf>
    <xf numFmtId="0" fontId="23" fillId="0" borderId="38" xfId="0" applyFont="1" applyFill="1" applyBorder="1" applyAlignment="1">
      <alignment horizontal="center"/>
    </xf>
    <xf numFmtId="0" fontId="23" fillId="0" borderId="22" xfId="0" applyFont="1" applyFill="1" applyBorder="1" applyAlignment="1">
      <alignment horizontal="center"/>
    </xf>
    <xf numFmtId="0" fontId="23" fillId="0" borderId="39" xfId="0" applyFont="1" applyFill="1" applyBorder="1" applyAlignment="1">
      <alignment horizontal="center"/>
    </xf>
    <xf numFmtId="0" fontId="0" fillId="0" borderId="67" xfId="0" applyBorder="1"/>
    <xf numFmtId="0" fontId="35" fillId="0" borderId="69" xfId="0" applyFont="1" applyBorder="1" applyAlignment="1">
      <alignment horizontal="center"/>
    </xf>
    <xf numFmtId="0" fontId="0" fillId="0" borderId="70" xfId="0" applyBorder="1"/>
    <xf numFmtId="0" fontId="0" fillId="0" borderId="66" xfId="0" applyBorder="1"/>
    <xf numFmtId="0" fontId="0" fillId="0" borderId="69" xfId="0" applyBorder="1"/>
    <xf numFmtId="0" fontId="24" fillId="0" borderId="0" xfId="0" applyFont="1" applyFill="1" applyBorder="1" applyAlignment="1">
      <alignment horizontal="left" vertical="top" wrapText="1" indent="1"/>
    </xf>
    <xf numFmtId="0" fontId="0" fillId="2" borderId="0" xfId="0" applyFill="1"/>
    <xf numFmtId="0" fontId="35" fillId="2" borderId="0" xfId="0" applyFont="1" applyFill="1"/>
    <xf numFmtId="0" fontId="54" fillId="0" borderId="0" xfId="0" applyFont="1" applyFill="1"/>
    <xf numFmtId="0" fontId="2" fillId="0" borderId="0" xfId="0" applyFont="1" applyAlignment="1">
      <alignment horizontal="center"/>
    </xf>
    <xf numFmtId="0" fontId="39" fillId="0" borderId="0" xfId="0" applyFont="1"/>
    <xf numFmtId="0" fontId="35" fillId="0" borderId="0" xfId="0" applyFont="1" applyBorder="1"/>
    <xf numFmtId="0" fontId="35" fillId="0" borderId="0" xfId="0" applyFont="1" applyBorder="1" applyAlignment="1">
      <alignment vertical="center"/>
    </xf>
    <xf numFmtId="41" fontId="2" fillId="0" borderId="0" xfId="0" applyNumberFormat="1" applyFont="1" applyBorder="1" applyAlignment="1">
      <alignment vertical="center"/>
    </xf>
    <xf numFmtId="41" fontId="0" fillId="0" borderId="0" xfId="0" applyNumberFormat="1" applyFill="1" applyBorder="1"/>
    <xf numFmtId="0" fontId="35" fillId="0" borderId="0" xfId="0" applyFont="1" applyFill="1" applyBorder="1" applyAlignment="1"/>
    <xf numFmtId="41" fontId="0" fillId="0" borderId="29" xfId="0" applyNumberFormat="1" applyFill="1" applyBorder="1"/>
    <xf numFmtId="41" fontId="2" fillId="0" borderId="32" xfId="0" applyNumberFormat="1" applyFont="1" applyBorder="1" applyAlignment="1">
      <alignment vertical="center"/>
    </xf>
    <xf numFmtId="0" fontId="35" fillId="0" borderId="28" xfId="0" applyFont="1" applyBorder="1" applyAlignment="1">
      <alignment wrapText="1"/>
    </xf>
    <xf numFmtId="0" fontId="35" fillId="0" borderId="34" xfId="0" applyFont="1" applyBorder="1" applyAlignment="1">
      <alignment wrapText="1"/>
    </xf>
    <xf numFmtId="0" fontId="35" fillId="0" borderId="34" xfId="0" applyFont="1" applyBorder="1" applyAlignment="1">
      <alignment vertical="center" wrapText="1"/>
    </xf>
    <xf numFmtId="0" fontId="35" fillId="0" borderId="31" xfId="0" applyFont="1" applyBorder="1" applyAlignment="1">
      <alignment vertical="center" wrapText="1"/>
    </xf>
    <xf numFmtId="41" fontId="39" fillId="0" borderId="29" xfId="0" applyNumberFormat="1" applyFont="1" applyBorder="1" applyProtection="1">
      <protection locked="0"/>
    </xf>
    <xf numFmtId="41" fontId="39" fillId="0" borderId="32" xfId="0" applyNumberFormat="1" applyFont="1" applyBorder="1" applyProtection="1">
      <protection locked="0"/>
    </xf>
    <xf numFmtId="0" fontId="20" fillId="0" borderId="0" xfId="0" applyFont="1" applyFill="1" applyAlignment="1">
      <alignment horizontal="left" vertical="center" wrapText="1"/>
    </xf>
    <xf numFmtId="0" fontId="0" fillId="0" borderId="0" xfId="0" applyFill="1" applyBorder="1" applyAlignment="1">
      <alignment vertical="center"/>
    </xf>
    <xf numFmtId="41" fontId="0" fillId="0" borderId="0" xfId="0" applyNumberFormat="1" applyFill="1" applyBorder="1" applyAlignment="1">
      <alignment vertical="center"/>
    </xf>
    <xf numFmtId="41" fontId="0" fillId="0" borderId="35" xfId="0" applyNumberFormat="1" applyFill="1" applyBorder="1" applyAlignment="1">
      <alignment vertical="center"/>
    </xf>
    <xf numFmtId="0" fontId="58" fillId="0" borderId="0" xfId="0" applyFont="1" applyFill="1"/>
    <xf numFmtId="170" fontId="0" fillId="0" borderId="0" xfId="31" applyNumberFormat="1" applyFont="1" applyFill="1"/>
    <xf numFmtId="0" fontId="30" fillId="17" borderId="0" xfId="27" applyFont="1" applyFill="1" applyAlignment="1">
      <alignment horizontal="center" vertical="center"/>
    </xf>
    <xf numFmtId="9" fontId="0" fillId="0" borderId="0" xfId="25" applyFont="1" applyFill="1"/>
    <xf numFmtId="170" fontId="2" fillId="0" borderId="0" xfId="31" applyNumberFormat="1" applyFont="1" applyFill="1"/>
    <xf numFmtId="170" fontId="39" fillId="0" borderId="0" xfId="31" applyNumberFormat="1" applyFont="1" applyFill="1"/>
    <xf numFmtId="43" fontId="0" fillId="0" borderId="0" xfId="0" applyNumberFormat="1" applyFill="1"/>
    <xf numFmtId="0" fontId="2" fillId="0" borderId="0" xfId="0" applyFont="1" applyFill="1" applyBorder="1"/>
    <xf numFmtId="41" fontId="2" fillId="0" borderId="0" xfId="0" applyNumberFormat="1" applyFont="1" applyBorder="1" applyProtection="1">
      <protection locked="0"/>
    </xf>
    <xf numFmtId="0" fontId="41" fillId="0" borderId="0" xfId="0" applyFont="1" applyFill="1" applyBorder="1"/>
    <xf numFmtId="0" fontId="41" fillId="0" borderId="0" xfId="0" applyFont="1" applyFill="1" applyBorder="1" applyAlignment="1"/>
    <xf numFmtId="0" fontId="61" fillId="0" borderId="0" xfId="0" applyFont="1" applyBorder="1" applyAlignment="1">
      <alignment vertical="top" wrapText="1"/>
    </xf>
    <xf numFmtId="0" fontId="61" fillId="0" borderId="0" xfId="0" applyFont="1" applyFill="1" applyBorder="1" applyAlignment="1">
      <alignment vertical="top" wrapText="1"/>
    </xf>
    <xf numFmtId="0" fontId="2" fillId="0" borderId="22" xfId="0" applyFont="1" applyFill="1" applyBorder="1"/>
    <xf numFmtId="0" fontId="41" fillId="0" borderId="0" xfId="0" applyFont="1" applyBorder="1"/>
    <xf numFmtId="0" fontId="24" fillId="25" borderId="72" xfId="0" applyFont="1" applyFill="1" applyBorder="1" applyAlignment="1">
      <alignment horizontal="left" vertical="top" indent="1"/>
    </xf>
    <xf numFmtId="0" fontId="0" fillId="25" borderId="73" xfId="0" applyFill="1" applyBorder="1"/>
    <xf numFmtId="0" fontId="0" fillId="25" borderId="74" xfId="0" applyFill="1" applyBorder="1"/>
    <xf numFmtId="174" fontId="2" fillId="0" borderId="0" xfId="17" applyNumberFormat="1" applyFont="1" applyFill="1" applyBorder="1" applyAlignment="1">
      <alignment vertical="center"/>
    </xf>
    <xf numFmtId="0" fontId="2" fillId="0" borderId="0" xfId="0" applyFont="1" applyFill="1" applyAlignment="1">
      <alignment horizontal="center"/>
    </xf>
    <xf numFmtId="174" fontId="0" fillId="0" borderId="0" xfId="0" applyNumberFormat="1" applyFill="1"/>
    <xf numFmtId="170" fontId="2" fillId="0" borderId="0" xfId="0" applyNumberFormat="1" applyFont="1"/>
    <xf numFmtId="0" fontId="35" fillId="0" borderId="0" xfId="0" applyFont="1" applyFill="1" applyBorder="1"/>
    <xf numFmtId="0" fontId="30" fillId="17" borderId="0" xfId="0" applyFont="1" applyFill="1" applyBorder="1" applyAlignment="1">
      <alignment vertical="center" wrapText="1"/>
    </xf>
    <xf numFmtId="43" fontId="54" fillId="0" borderId="0" xfId="17" applyFont="1" applyFill="1" applyBorder="1" applyAlignment="1">
      <alignment vertical="center"/>
    </xf>
    <xf numFmtId="0" fontId="54" fillId="0" borderId="0" xfId="0" applyFont="1" applyFill="1" applyAlignment="1">
      <alignment wrapText="1"/>
    </xf>
    <xf numFmtId="0" fontId="62" fillId="0" borderId="0" xfId="0" applyFont="1" applyFill="1" applyAlignment="1">
      <alignment horizontal="left" vertical="center"/>
    </xf>
    <xf numFmtId="0" fontId="62" fillId="0" borderId="0" xfId="0" applyFont="1" applyFill="1"/>
    <xf numFmtId="177" fontId="0" fillId="0" borderId="0" xfId="0" applyNumberFormat="1"/>
    <xf numFmtId="0" fontId="35" fillId="0" borderId="41" xfId="0" applyFont="1" applyBorder="1" applyAlignment="1">
      <alignment horizontal="center" vertical="center" wrapText="1"/>
    </xf>
    <xf numFmtId="170" fontId="2" fillId="0" borderId="0" xfId="31" applyNumberFormat="1" applyFont="1"/>
    <xf numFmtId="170" fontId="35" fillId="0" borderId="0" xfId="31" applyNumberFormat="1" applyFont="1"/>
    <xf numFmtId="170" fontId="35" fillId="0" borderId="0" xfId="31" applyNumberFormat="1" applyFont="1" applyFill="1"/>
    <xf numFmtId="176" fontId="0" fillId="0" borderId="0" xfId="0" applyNumberFormat="1" applyFill="1" applyBorder="1"/>
    <xf numFmtId="170" fontId="24" fillId="0" borderId="0" xfId="31" applyNumberFormat="1" applyFont="1" applyFill="1" applyBorder="1" applyAlignment="1">
      <alignment horizontal="left" vertical="top" wrapText="1" indent="1"/>
    </xf>
    <xf numFmtId="0" fontId="43" fillId="0" borderId="0" xfId="0" applyFont="1" applyFill="1" applyBorder="1" applyAlignment="1"/>
    <xf numFmtId="0" fontId="2" fillId="0" borderId="0" xfId="0" applyFont="1" applyBorder="1"/>
    <xf numFmtId="0" fontId="31" fillId="0" borderId="0" xfId="28" applyFont="1" applyFill="1" applyAlignment="1">
      <alignment horizontal="left" vertical="center" wrapText="1"/>
    </xf>
    <xf numFmtId="0" fontId="35" fillId="2" borderId="28" xfId="0" applyFont="1" applyFill="1" applyBorder="1"/>
    <xf numFmtId="0" fontId="0" fillId="2" borderId="30" xfId="0" applyFill="1" applyBorder="1"/>
    <xf numFmtId="0" fontId="0" fillId="0" borderId="34" xfId="0" applyBorder="1"/>
    <xf numFmtId="0" fontId="0" fillId="0" borderId="35" xfId="0" applyBorder="1"/>
    <xf numFmtId="0" fontId="35" fillId="2" borderId="34" xfId="0" applyFont="1" applyFill="1" applyBorder="1"/>
    <xf numFmtId="0" fontId="58" fillId="0" borderId="34" xfId="0" applyFont="1" applyBorder="1"/>
    <xf numFmtId="0" fontId="35" fillId="0" borderId="35" xfId="0" applyFont="1" applyBorder="1"/>
    <xf numFmtId="0" fontId="24" fillId="0" borderId="34" xfId="0" applyFont="1" applyBorder="1" applyAlignment="1">
      <alignment horizontal="left" vertical="top" wrapText="1" indent="1"/>
    </xf>
    <xf numFmtId="43" fontId="40" fillId="22" borderId="35" xfId="20" applyFont="1" applyFill="1" applyBorder="1" applyAlignment="1">
      <alignment vertical="center"/>
    </xf>
    <xf numFmtId="178" fontId="0" fillId="0" borderId="35" xfId="0" applyNumberFormat="1" applyFill="1" applyBorder="1"/>
    <xf numFmtId="0" fontId="0" fillId="0" borderId="34" xfId="0" applyFill="1" applyBorder="1"/>
    <xf numFmtId="0" fontId="0" fillId="0" borderId="35" xfId="0" applyFill="1" applyBorder="1"/>
    <xf numFmtId="0" fontId="58" fillId="0" borderId="31" xfId="0" applyFont="1" applyBorder="1"/>
    <xf numFmtId="43" fontId="40" fillId="22" borderId="33" xfId="20" applyFont="1" applyFill="1" applyBorder="1" applyAlignment="1">
      <alignment vertical="center"/>
    </xf>
    <xf numFmtId="0" fontId="35" fillId="2" borderId="35" xfId="0" applyFont="1" applyFill="1" applyBorder="1"/>
    <xf numFmtId="43" fontId="40" fillId="0" borderId="35" xfId="20" applyFont="1" applyFill="1" applyBorder="1" applyAlignment="1">
      <alignment vertical="center"/>
    </xf>
    <xf numFmtId="43" fontId="40" fillId="0" borderId="34" xfId="20" applyFont="1" applyFill="1" applyBorder="1" applyAlignment="1">
      <alignment vertical="center"/>
    </xf>
    <xf numFmtId="177" fontId="0" fillId="0" borderId="0" xfId="31" applyNumberFormat="1" applyFont="1"/>
    <xf numFmtId="177" fontId="2" fillId="0" borderId="0" xfId="31" applyNumberFormat="1" applyFont="1"/>
    <xf numFmtId="179" fontId="0" fillId="0" borderId="0" xfId="31" applyNumberFormat="1" applyFont="1"/>
    <xf numFmtId="179" fontId="2" fillId="0" borderId="0" xfId="31" applyNumberFormat="1" applyFont="1"/>
    <xf numFmtId="0" fontId="24" fillId="0" borderId="0" xfId="0" applyFont="1" applyFill="1" applyBorder="1" applyAlignment="1">
      <alignment vertical="center" wrapText="1"/>
    </xf>
    <xf numFmtId="174" fontId="2" fillId="0" borderId="11" xfId="17" applyNumberFormat="1" applyFont="1" applyFill="1" applyBorder="1" applyAlignment="1">
      <alignment vertical="center"/>
    </xf>
    <xf numFmtId="0" fontId="24" fillId="25" borderId="0" xfId="0" applyFont="1" applyFill="1" applyBorder="1" applyAlignment="1">
      <alignment horizontal="center" vertical="center" wrapText="1"/>
    </xf>
    <xf numFmtId="0" fontId="35" fillId="0" borderId="0" xfId="0" applyFont="1" applyFill="1" applyBorder="1" applyAlignment="1">
      <alignment horizontal="center" vertical="top" wrapText="1"/>
    </xf>
    <xf numFmtId="0" fontId="35" fillId="0" borderId="0" xfId="0" applyFont="1" applyFill="1" applyAlignment="1">
      <alignment horizontal="center"/>
    </xf>
    <xf numFmtId="0" fontId="35" fillId="0" borderId="0" xfId="0" applyFont="1" applyBorder="1" applyAlignment="1">
      <alignment horizontal="center" vertical="center" wrapText="1"/>
    </xf>
    <xf numFmtId="0" fontId="2" fillId="2" borderId="17" xfId="0" applyFont="1" applyFill="1" applyBorder="1" applyAlignment="1">
      <alignment vertical="center" wrapText="1"/>
    </xf>
    <xf numFmtId="0" fontId="2" fillId="0" borderId="22" xfId="0" applyFont="1" applyBorder="1" applyAlignment="1">
      <alignment wrapText="1"/>
    </xf>
    <xf numFmtId="165" fontId="2" fillId="0" borderId="22" xfId="24" applyNumberFormat="1" applyFont="1" applyFill="1" applyBorder="1" applyProtection="1"/>
    <xf numFmtId="165" fontId="2" fillId="0" borderId="0" xfId="24" applyNumberFormat="1" applyFont="1" applyFill="1" applyBorder="1" applyProtection="1"/>
    <xf numFmtId="0" fontId="2" fillId="0" borderId="0" xfId="0" applyFont="1" applyFill="1" applyBorder="1" applyAlignment="1">
      <alignment vertical="center" wrapText="1"/>
    </xf>
    <xf numFmtId="0" fontId="2" fillId="0" borderId="0" xfId="0" applyFont="1" applyFill="1" applyBorder="1" applyAlignment="1">
      <alignment wrapText="1"/>
    </xf>
    <xf numFmtId="14" fontId="54" fillId="23" borderId="0" xfId="0" applyNumberFormat="1" applyFont="1" applyFill="1" applyAlignment="1">
      <alignment horizontal="center"/>
    </xf>
    <xf numFmtId="14" fontId="54" fillId="23" borderId="0" xfId="0" applyNumberFormat="1" applyFont="1" applyFill="1" applyAlignment="1">
      <alignment horizontal="center" wrapText="1"/>
    </xf>
    <xf numFmtId="3" fontId="0" fillId="0" borderId="0" xfId="0" applyNumberFormat="1"/>
    <xf numFmtId="3" fontId="35" fillId="0" borderId="14" xfId="0" applyNumberFormat="1" applyFont="1" applyBorder="1" applyAlignment="1">
      <alignment horizontal="right" vertical="top"/>
    </xf>
    <xf numFmtId="41" fontId="0" fillId="0" borderId="0" xfId="0" applyNumberFormat="1"/>
    <xf numFmtId="0" fontId="29" fillId="13" borderId="0" xfId="22" applyFont="1" applyFill="1" applyAlignment="1">
      <alignment vertical="center"/>
    </xf>
    <xf numFmtId="0" fontId="23" fillId="0" borderId="0" xfId="0" applyFont="1" applyFill="1" applyAlignment="1">
      <alignment vertical="center"/>
    </xf>
    <xf numFmtId="0" fontId="29" fillId="13" borderId="0" xfId="22" applyFont="1" applyFill="1" applyAlignment="1">
      <alignment horizontal="right" vertical="center"/>
    </xf>
    <xf numFmtId="0" fontId="27" fillId="13" borderId="0" xfId="22" applyFont="1" applyFill="1" applyAlignment="1">
      <alignment horizontal="right" vertical="center"/>
    </xf>
    <xf numFmtId="9" fontId="5" fillId="0" borderId="0" xfId="23" applyNumberFormat="1" applyFont="1"/>
    <xf numFmtId="9" fontId="5" fillId="0" borderId="0" xfId="23" applyNumberFormat="1" applyFont="1" applyBorder="1"/>
    <xf numFmtId="41" fontId="39" fillId="0" borderId="0" xfId="0" applyNumberFormat="1" applyFont="1" applyFill="1" applyBorder="1" applyProtection="1">
      <protection locked="0"/>
    </xf>
    <xf numFmtId="0" fontId="28" fillId="2" borderId="0" xfId="0" applyFont="1" applyFill="1" applyBorder="1" applyAlignment="1">
      <alignment vertical="center" wrapText="1"/>
    </xf>
    <xf numFmtId="170" fontId="37" fillId="29" borderId="0" xfId="31" applyNumberFormat="1" applyFont="1" applyFill="1" applyProtection="1"/>
    <xf numFmtId="43" fontId="37" fillId="13" borderId="0" xfId="17" applyFont="1" applyFill="1" applyBorder="1" applyAlignment="1">
      <alignment vertical="center"/>
    </xf>
    <xf numFmtId="173" fontId="37" fillId="13" borderId="0" xfId="24" applyNumberFormat="1" applyFont="1" applyFill="1" applyProtection="1"/>
    <xf numFmtId="0" fontId="2" fillId="13" borderId="17" xfId="22" applyFill="1" applyBorder="1"/>
    <xf numFmtId="0" fontId="2" fillId="13" borderId="15" xfId="22" applyFill="1" applyBorder="1"/>
    <xf numFmtId="0" fontId="2" fillId="13" borderId="11" xfId="22" applyFill="1" applyBorder="1"/>
    <xf numFmtId="0" fontId="2" fillId="13" borderId="37" xfId="22" applyFill="1" applyBorder="1"/>
    <xf numFmtId="165" fontId="39" fillId="13" borderId="17" xfId="0" applyNumberFormat="1" applyFont="1" applyFill="1" applyBorder="1"/>
    <xf numFmtId="165" fontId="39" fillId="13" borderId="0" xfId="0" applyNumberFormat="1" applyFont="1" applyFill="1"/>
    <xf numFmtId="177" fontId="37" fillId="28" borderId="0" xfId="17" applyNumberFormat="1" applyFont="1" applyFill="1" applyBorder="1" applyAlignment="1">
      <alignment vertical="center"/>
    </xf>
    <xf numFmtId="177" fontId="37" fillId="0" borderId="0" xfId="17" applyNumberFormat="1" applyFont="1" applyFill="1" applyBorder="1" applyAlignment="1">
      <alignment vertical="center"/>
    </xf>
    <xf numFmtId="179" fontId="40" fillId="22" borderId="35" xfId="20" applyNumberFormat="1" applyFont="1" applyFill="1" applyBorder="1" applyAlignment="1">
      <alignment vertical="center"/>
    </xf>
    <xf numFmtId="167" fontId="2" fillId="0" borderId="22" xfId="24" applyNumberFormat="1" applyFont="1" applyFill="1" applyBorder="1" applyProtection="1"/>
    <xf numFmtId="0" fontId="0" fillId="0" borderId="0" xfId="0"/>
    <xf numFmtId="180" fontId="40" fillId="22" borderId="35" xfId="20" applyNumberFormat="1" applyFont="1" applyFill="1" applyBorder="1" applyAlignment="1">
      <alignment vertical="center"/>
    </xf>
    <xf numFmtId="166" fontId="0" fillId="0" borderId="0" xfId="25" applyNumberFormat="1" applyFont="1" applyFill="1"/>
    <xf numFmtId="181" fontId="37" fillId="23" borderId="0" xfId="24" applyNumberFormat="1" applyFont="1" applyFill="1" applyBorder="1" applyProtection="1"/>
    <xf numFmtId="182" fontId="37" fillId="23" borderId="0" xfId="24" applyNumberFormat="1" applyFont="1" applyFill="1" applyProtection="1"/>
    <xf numFmtId="180" fontId="40" fillId="22" borderId="33" xfId="20" applyNumberFormat="1" applyFont="1" applyFill="1" applyBorder="1" applyAlignment="1">
      <alignment vertical="center"/>
    </xf>
    <xf numFmtId="165" fontId="0" fillId="0" borderId="0" xfId="0" applyNumberFormat="1"/>
    <xf numFmtId="41" fontId="63" fillId="0" borderId="0" xfId="0" applyNumberFormat="1" applyFont="1" applyProtection="1">
      <protection locked="0"/>
    </xf>
    <xf numFmtId="0" fontId="29" fillId="0" borderId="0" xfId="0" applyFont="1" applyFill="1" applyBorder="1" applyAlignment="1">
      <alignment horizontal="center" vertical="center"/>
    </xf>
    <xf numFmtId="166" fontId="29" fillId="0" borderId="0" xfId="25" applyNumberFormat="1" applyFont="1"/>
    <xf numFmtId="0" fontId="0" fillId="0" borderId="0" xfId="0"/>
    <xf numFmtId="0" fontId="43" fillId="25" borderId="43" xfId="0" applyFont="1" applyFill="1" applyBorder="1" applyAlignment="1">
      <alignment horizontal="left" wrapText="1"/>
    </xf>
    <xf numFmtId="0" fontId="43" fillId="25" borderId="44" xfId="0" applyFont="1" applyFill="1" applyBorder="1" applyAlignment="1">
      <alignment horizontal="left" wrapText="1"/>
    </xf>
    <xf numFmtId="0" fontId="19" fillId="20" borderId="0" xfId="0" applyFont="1" applyFill="1" applyAlignment="1" applyProtection="1">
      <alignment horizontal="center" wrapText="1"/>
      <protection locked="0"/>
    </xf>
    <xf numFmtId="0" fontId="30" fillId="17" borderId="0" xfId="0" applyFont="1" applyFill="1" applyAlignment="1" applyProtection="1">
      <alignment horizontal="center"/>
      <protection locked="0"/>
    </xf>
    <xf numFmtId="0" fontId="43" fillId="25" borderId="24" xfId="0" applyFont="1" applyFill="1" applyBorder="1" applyAlignment="1">
      <alignment horizontal="left" vertical="center" wrapText="1"/>
    </xf>
    <xf numFmtId="0" fontId="43" fillId="25" borderId="25" xfId="0" applyFont="1" applyFill="1" applyBorder="1" applyAlignment="1">
      <alignment horizontal="left" vertical="center" wrapText="1"/>
    </xf>
    <xf numFmtId="0" fontId="43" fillId="25" borderId="26" xfId="0" applyFont="1" applyFill="1" applyBorder="1" applyAlignment="1">
      <alignment horizontal="left" vertical="center" wrapText="1"/>
    </xf>
    <xf numFmtId="0" fontId="45" fillId="25" borderId="18" xfId="0" applyFont="1" applyFill="1" applyBorder="1" applyAlignment="1">
      <alignment horizontal="left" vertical="center" wrapText="1"/>
    </xf>
    <xf numFmtId="0" fontId="45" fillId="25" borderId="19" xfId="0" applyFont="1" applyFill="1" applyBorder="1" applyAlignment="1">
      <alignment horizontal="left" vertical="center" wrapText="1"/>
    </xf>
    <xf numFmtId="0" fontId="45" fillId="25" borderId="20" xfId="0" applyFont="1" applyFill="1" applyBorder="1" applyAlignment="1">
      <alignment horizontal="left" vertical="center" wrapText="1"/>
    </xf>
    <xf numFmtId="0" fontId="2" fillId="25" borderId="42" xfId="22" applyFill="1" applyBorder="1" applyAlignment="1">
      <alignment horizontal="center" vertical="center" wrapText="1"/>
    </xf>
    <xf numFmtId="0" fontId="2" fillId="25" borderId="43" xfId="22" applyFill="1" applyBorder="1" applyAlignment="1">
      <alignment horizontal="center" vertical="center" wrapText="1"/>
    </xf>
    <xf numFmtId="0" fontId="2" fillId="25" borderId="44" xfId="22" applyFill="1" applyBorder="1" applyAlignment="1">
      <alignment horizontal="center" vertical="center" wrapText="1"/>
    </xf>
    <xf numFmtId="0" fontId="2" fillId="25" borderId="45" xfId="22" applyFill="1" applyBorder="1" applyAlignment="1">
      <alignment horizontal="center" vertical="center" wrapText="1"/>
    </xf>
    <xf numFmtId="0" fontId="2" fillId="25" borderId="0" xfId="22" applyFill="1" applyBorder="1" applyAlignment="1">
      <alignment horizontal="center" vertical="center" wrapText="1"/>
    </xf>
    <xf numFmtId="0" fontId="2" fillId="25" borderId="46" xfId="22" applyFill="1" applyBorder="1" applyAlignment="1">
      <alignment horizontal="center" vertical="center" wrapText="1"/>
    </xf>
    <xf numFmtId="0" fontId="2" fillId="25" borderId="47" xfId="22" applyFill="1" applyBorder="1" applyAlignment="1">
      <alignment horizontal="center" vertical="center" wrapText="1"/>
    </xf>
    <xf numFmtId="0" fontId="2" fillId="25" borderId="48" xfId="22" applyFill="1" applyBorder="1" applyAlignment="1">
      <alignment horizontal="center" vertical="center" wrapText="1"/>
    </xf>
    <xf numFmtId="0" fontId="2" fillId="25" borderId="49" xfId="22" applyFill="1" applyBorder="1" applyAlignment="1">
      <alignment horizontal="center" vertical="center" wrapText="1"/>
    </xf>
    <xf numFmtId="0" fontId="45" fillId="25" borderId="50" xfId="0" applyFont="1" applyFill="1" applyBorder="1" applyAlignment="1">
      <alignment horizontal="center" vertical="top" wrapText="1"/>
    </xf>
    <xf numFmtId="0" fontId="45" fillId="25" borderId="51" xfId="0" applyFont="1" applyFill="1" applyBorder="1" applyAlignment="1">
      <alignment horizontal="center" vertical="top" wrapText="1"/>
    </xf>
    <xf numFmtId="0" fontId="45" fillId="25" borderId="52" xfId="0" applyFont="1" applyFill="1" applyBorder="1" applyAlignment="1">
      <alignment horizontal="center" vertical="top" wrapText="1"/>
    </xf>
    <xf numFmtId="0" fontId="30" fillId="17" borderId="0" xfId="27" applyFont="1" applyFill="1" applyAlignment="1">
      <alignment horizontal="center" vertical="center"/>
    </xf>
    <xf numFmtId="0" fontId="45" fillId="25" borderId="50" xfId="0" applyFont="1" applyFill="1" applyBorder="1" applyAlignment="1">
      <alignment horizontal="left" vertical="center" wrapText="1"/>
    </xf>
    <xf numFmtId="0" fontId="45" fillId="25" borderId="51" xfId="0" applyFont="1" applyFill="1" applyBorder="1" applyAlignment="1">
      <alignment horizontal="left" vertical="center" wrapText="1"/>
    </xf>
    <xf numFmtId="0" fontId="45" fillId="25" borderId="52" xfId="0" applyFont="1" applyFill="1" applyBorder="1" applyAlignment="1">
      <alignment horizontal="left" vertical="center" wrapText="1"/>
    </xf>
    <xf numFmtId="0" fontId="24" fillId="0" borderId="14" xfId="0" applyFont="1" applyBorder="1" applyAlignment="1">
      <alignment horizontal="center" vertical="top"/>
    </xf>
    <xf numFmtId="0" fontId="24" fillId="0" borderId="65" xfId="0" applyFont="1" applyBorder="1" applyAlignment="1">
      <alignment horizontal="center" vertical="center"/>
    </xf>
    <xf numFmtId="0" fontId="24" fillId="0" borderId="66" xfId="0" applyFont="1" applyBorder="1" applyAlignment="1">
      <alignment horizontal="center" vertical="center"/>
    </xf>
    <xf numFmtId="0" fontId="24" fillId="0" borderId="68" xfId="0" applyFont="1" applyBorder="1" applyAlignment="1">
      <alignment horizontal="center" vertical="top"/>
    </xf>
    <xf numFmtId="0" fontId="43" fillId="25" borderId="57" xfId="0" applyFont="1" applyFill="1" applyBorder="1" applyAlignment="1">
      <alignment horizontal="center" vertical="center" wrapText="1"/>
    </xf>
    <xf numFmtId="0" fontId="43" fillId="25" borderId="58" xfId="0" applyFont="1" applyFill="1" applyBorder="1" applyAlignment="1">
      <alignment horizontal="center" vertical="center" wrapText="1"/>
    </xf>
    <xf numFmtId="0" fontId="43" fillId="25" borderId="59" xfId="0" applyFont="1" applyFill="1" applyBorder="1" applyAlignment="1">
      <alignment horizontal="center" vertical="center" wrapText="1"/>
    </xf>
    <xf numFmtId="0" fontId="43" fillId="25" borderId="60" xfId="0" applyFont="1" applyFill="1" applyBorder="1" applyAlignment="1">
      <alignment horizontal="center" vertical="center" wrapText="1"/>
    </xf>
    <xf numFmtId="0" fontId="43" fillId="25" borderId="0" xfId="0" applyFont="1" applyFill="1" applyBorder="1" applyAlignment="1">
      <alignment horizontal="center" vertical="center" wrapText="1"/>
    </xf>
    <xf numFmtId="0" fontId="43" fillId="25" borderId="61" xfId="0" applyFont="1" applyFill="1" applyBorder="1" applyAlignment="1">
      <alignment horizontal="center" vertical="center" wrapText="1"/>
    </xf>
    <xf numFmtId="0" fontId="43" fillId="25" borderId="62" xfId="0" applyFont="1" applyFill="1" applyBorder="1" applyAlignment="1">
      <alignment horizontal="center" vertical="center" wrapText="1"/>
    </xf>
    <xf numFmtId="0" fontId="43" fillId="25" borderId="63" xfId="0" applyFont="1" applyFill="1" applyBorder="1" applyAlignment="1">
      <alignment horizontal="center" vertical="center" wrapText="1"/>
    </xf>
    <xf numFmtId="0" fontId="43" fillId="25" borderId="64" xfId="0" applyFont="1" applyFill="1" applyBorder="1" applyAlignment="1">
      <alignment horizontal="center" vertical="center" wrapText="1"/>
    </xf>
    <xf numFmtId="0" fontId="34" fillId="25" borderId="54" xfId="0" applyFont="1" applyFill="1" applyBorder="1" applyAlignment="1">
      <alignment horizontal="left" vertical="center"/>
    </xf>
    <xf numFmtId="0" fontId="34" fillId="25" borderId="55" xfId="0" applyFont="1" applyFill="1" applyBorder="1" applyAlignment="1">
      <alignment horizontal="left" vertical="center"/>
    </xf>
    <xf numFmtId="0" fontId="34" fillId="25" borderId="56" xfId="0" applyFont="1" applyFill="1" applyBorder="1" applyAlignment="1">
      <alignment horizontal="left" vertical="center"/>
    </xf>
    <xf numFmtId="0" fontId="28" fillId="2" borderId="0" xfId="0" applyFont="1" applyFill="1" applyAlignment="1">
      <alignment horizontal="center" vertical="center" wrapText="1"/>
    </xf>
    <xf numFmtId="0" fontId="28" fillId="2" borderId="17" xfId="0" applyFont="1" applyFill="1" applyBorder="1" applyAlignment="1">
      <alignment horizontal="center" vertical="center" wrapText="1"/>
    </xf>
    <xf numFmtId="0" fontId="28" fillId="2" borderId="0" xfId="0" applyFont="1" applyFill="1" applyBorder="1" applyAlignment="1">
      <alignment horizontal="center" vertical="center" wrapText="1"/>
    </xf>
    <xf numFmtId="0" fontId="28" fillId="2" borderId="15" xfId="0" applyFont="1" applyFill="1" applyBorder="1" applyAlignment="1">
      <alignment horizontal="center" vertical="center" wrapText="1"/>
    </xf>
    <xf numFmtId="0" fontId="45" fillId="25" borderId="12" xfId="0" applyFont="1" applyFill="1" applyBorder="1" applyAlignment="1">
      <alignment horizontal="center" vertical="center" wrapText="1"/>
    </xf>
    <xf numFmtId="0" fontId="45" fillId="25" borderId="53" xfId="0" applyFont="1" applyFill="1" applyBorder="1" applyAlignment="1">
      <alignment horizontal="center" vertical="center" wrapText="1"/>
    </xf>
    <xf numFmtId="0" fontId="45" fillId="25" borderId="13" xfId="0" applyFont="1" applyFill="1" applyBorder="1" applyAlignment="1">
      <alignment horizontal="center" vertical="center" wrapText="1"/>
    </xf>
    <xf numFmtId="0" fontId="45" fillId="25" borderId="42" xfId="0" applyFont="1" applyFill="1" applyBorder="1" applyAlignment="1">
      <alignment horizontal="center" vertical="center" wrapText="1"/>
    </xf>
    <xf numFmtId="0" fontId="45" fillId="25" borderId="43" xfId="0" applyFont="1" applyFill="1" applyBorder="1" applyAlignment="1">
      <alignment horizontal="center" vertical="center" wrapText="1"/>
    </xf>
    <xf numFmtId="0" fontId="45" fillId="25" borderId="44" xfId="0" applyFont="1" applyFill="1" applyBorder="1" applyAlignment="1">
      <alignment horizontal="center" vertical="center" wrapText="1"/>
    </xf>
    <xf numFmtId="0" fontId="45" fillId="25" borderId="47" xfId="0" applyFont="1" applyFill="1" applyBorder="1" applyAlignment="1">
      <alignment horizontal="center" vertical="center" wrapText="1"/>
    </xf>
    <xf numFmtId="0" fontId="45" fillId="25" borderId="48" xfId="0" applyFont="1" applyFill="1" applyBorder="1" applyAlignment="1">
      <alignment horizontal="center" vertical="center" wrapText="1"/>
    </xf>
    <xf numFmtId="0" fontId="45" fillId="25" borderId="49" xfId="0" applyFont="1" applyFill="1" applyBorder="1" applyAlignment="1">
      <alignment horizontal="center" vertical="center" wrapText="1"/>
    </xf>
    <xf numFmtId="0" fontId="35" fillId="15" borderId="0" xfId="27" applyFont="1" applyFill="1" applyAlignment="1">
      <alignment horizontal="center" vertical="center"/>
    </xf>
    <xf numFmtId="0" fontId="35" fillId="15" borderId="0" xfId="0" applyFont="1" applyFill="1" applyAlignment="1">
      <alignment horizontal="center"/>
    </xf>
    <xf numFmtId="0" fontId="53" fillId="0" borderId="0" xfId="0" applyFont="1" applyFill="1" applyAlignment="1">
      <alignment horizontal="center" wrapText="1"/>
    </xf>
    <xf numFmtId="0" fontId="45" fillId="25" borderId="12" xfId="0" applyFont="1" applyFill="1" applyBorder="1" applyAlignment="1">
      <alignment horizontal="center" vertical="top"/>
    </xf>
    <xf numFmtId="0" fontId="45" fillId="25" borderId="53" xfId="0" applyFont="1" applyFill="1" applyBorder="1" applyAlignment="1">
      <alignment horizontal="center" vertical="top"/>
    </xf>
    <xf numFmtId="0" fontId="45" fillId="25" borderId="13" xfId="0" applyFont="1" applyFill="1" applyBorder="1" applyAlignment="1">
      <alignment horizontal="center" vertical="top"/>
    </xf>
    <xf numFmtId="0" fontId="24" fillId="25" borderId="71" xfId="0" applyFont="1" applyFill="1" applyBorder="1" applyAlignment="1">
      <alignment horizontal="center" vertical="center"/>
    </xf>
    <xf numFmtId="0" fontId="24" fillId="25" borderId="0" xfId="0" applyFont="1" applyFill="1" applyBorder="1" applyAlignment="1">
      <alignment horizontal="center" vertical="center"/>
    </xf>
    <xf numFmtId="0" fontId="24" fillId="25" borderId="71" xfId="0" applyFont="1" applyFill="1" applyBorder="1" applyAlignment="1">
      <alignment horizontal="center" vertical="center" wrapText="1"/>
    </xf>
    <xf numFmtId="0" fontId="24" fillId="25" borderId="0" xfId="0" applyFont="1" applyFill="1" applyBorder="1" applyAlignment="1">
      <alignment horizontal="center" vertical="center" wrapText="1"/>
    </xf>
    <xf numFmtId="0" fontId="20" fillId="0" borderId="41" xfId="0" applyFont="1" applyFill="1" applyBorder="1" applyAlignment="1">
      <alignment horizontal="center" vertical="top" wrapText="1"/>
    </xf>
    <xf numFmtId="0" fontId="20" fillId="0" borderId="21" xfId="0" applyFont="1" applyFill="1" applyBorder="1" applyAlignment="1">
      <alignment horizontal="center" vertical="top" wrapText="1"/>
    </xf>
    <xf numFmtId="0" fontId="35" fillId="0" borderId="41" xfId="0" applyFont="1" applyBorder="1" applyAlignment="1">
      <alignment horizontal="center" vertical="center" wrapText="1"/>
    </xf>
    <xf numFmtId="0" fontId="35" fillId="0" borderId="21" xfId="0" applyFont="1" applyBorder="1" applyAlignment="1">
      <alignment horizontal="center" vertical="center" wrapText="1"/>
    </xf>
    <xf numFmtId="0" fontId="30" fillId="17" borderId="0" xfId="0" applyFont="1" applyFill="1" applyAlignment="1">
      <alignment horizontal="center" vertical="center"/>
    </xf>
    <xf numFmtId="0" fontId="43" fillId="25" borderId="12" xfId="0" applyFont="1" applyFill="1" applyBorder="1" applyAlignment="1">
      <alignment horizontal="center"/>
    </xf>
    <xf numFmtId="0" fontId="43" fillId="25" borderId="53" xfId="0" applyFont="1" applyFill="1" applyBorder="1" applyAlignment="1">
      <alignment horizontal="center"/>
    </xf>
    <xf numFmtId="0" fontId="43" fillId="25" borderId="13" xfId="0" applyFont="1" applyFill="1" applyBorder="1" applyAlignment="1">
      <alignment horizontal="center"/>
    </xf>
    <xf numFmtId="0" fontId="45" fillId="25" borderId="57" xfId="0" applyFont="1" applyFill="1" applyBorder="1" applyAlignment="1">
      <alignment horizontal="center" vertical="center" wrapText="1"/>
    </xf>
    <xf numFmtId="0" fontId="45" fillId="25" borderId="58" xfId="0" applyFont="1" applyFill="1" applyBorder="1" applyAlignment="1">
      <alignment horizontal="center" vertical="center" wrapText="1"/>
    </xf>
    <xf numFmtId="0" fontId="45" fillId="25" borderId="59" xfId="0" applyFont="1" applyFill="1" applyBorder="1" applyAlignment="1">
      <alignment horizontal="center" vertical="center" wrapText="1"/>
    </xf>
    <xf numFmtId="0" fontId="45" fillId="25" borderId="60" xfId="0" applyFont="1" applyFill="1" applyBorder="1" applyAlignment="1">
      <alignment horizontal="center" vertical="center" wrapText="1"/>
    </xf>
    <xf numFmtId="0" fontId="45" fillId="25" borderId="0" xfId="0" applyFont="1" applyFill="1" applyBorder="1" applyAlignment="1">
      <alignment horizontal="center" vertical="center" wrapText="1"/>
    </xf>
    <xf numFmtId="0" fontId="45" fillId="25" borderId="61" xfId="0" applyFont="1" applyFill="1" applyBorder="1" applyAlignment="1">
      <alignment horizontal="center" vertical="center" wrapText="1"/>
    </xf>
    <xf numFmtId="0" fontId="45" fillId="25" borderId="62" xfId="0" applyFont="1" applyFill="1" applyBorder="1" applyAlignment="1">
      <alignment horizontal="center" vertical="center" wrapText="1"/>
    </xf>
    <xf numFmtId="0" fontId="45" fillId="25" borderId="63" xfId="0" applyFont="1" applyFill="1" applyBorder="1" applyAlignment="1">
      <alignment horizontal="center" vertical="center" wrapText="1"/>
    </xf>
    <xf numFmtId="0" fontId="45" fillId="25" borderId="64" xfId="0" applyFont="1" applyFill="1" applyBorder="1" applyAlignment="1">
      <alignment horizontal="center" vertical="center" wrapText="1"/>
    </xf>
  </cellXfs>
  <cellStyles count="32">
    <cellStyle name="Bueno" xfId="6" builtinId="26" hidden="1"/>
    <cellStyle name="Calculation cell" xfId="20" xr:uid="{00000000-0005-0000-0000-000002000000}"/>
    <cellStyle name="Cálculo" xfId="11" builtinId="22" hidden="1"/>
    <cellStyle name="Celda de comprobación" xfId="13" builtinId="23" hidden="1"/>
    <cellStyle name="Celda vinculada" xfId="12" builtinId="24" hidden="1"/>
    <cellStyle name="Comma 2" xfId="24" xr:uid="{788B44F2-6344-4DA1-BDA6-AA34BFAECAEC}"/>
    <cellStyle name="Encabezado 1" xfId="2" builtinId="16" customBuiltin="1"/>
    <cellStyle name="Encabezado 4" xfId="5" builtinId="19" customBuiltin="1"/>
    <cellStyle name="Énfasis3" xfId="27" builtinId="37"/>
    <cellStyle name="Entrada" xfId="9" builtinId="20" hidden="1"/>
    <cellStyle name="Heading 1 2" xfId="29" xr:uid="{13A5942C-6980-48A3-ADC9-20A0B932FB91}"/>
    <cellStyle name="Help cell" xfId="19" xr:uid="{00000000-0005-0000-0000-00000C000000}"/>
    <cellStyle name="Hipervínculo" xfId="28" builtinId="8"/>
    <cellStyle name="Incorrecto" xfId="7" builtinId="27" hidden="1"/>
    <cellStyle name="Input cell" xfId="21" xr:uid="{00000000-0005-0000-0000-00000E000000}"/>
    <cellStyle name="Millares" xfId="31" builtinId="3"/>
    <cellStyle name="Neutral" xfId="8" builtinId="28" hidden="1"/>
    <cellStyle name="Normal" xfId="0" builtinId="0"/>
    <cellStyle name="Normal 2" xfId="22" xr:uid="{AD4F9D2D-E020-4F40-843C-76897C6E9B28}"/>
    <cellStyle name="Normal 3" xfId="26" xr:uid="{10C4DCD8-B325-4ACE-9A9F-74A36B2CC953}"/>
    <cellStyle name="Normal 4" xfId="30" xr:uid="{464AEECF-43C8-436F-8DDD-24894D65A66A}"/>
    <cellStyle name="Notas" xfId="15" builtinId="10" hidden="1"/>
    <cellStyle name="Percent 2" xfId="23" xr:uid="{DBEF1583-EBE4-4932-8930-733997E127BE}"/>
    <cellStyle name="Porcentaje" xfId="25" builtinId="5"/>
    <cellStyle name="Result" xfId="18" xr:uid="{00000000-0005-0000-0000-000014000000}"/>
    <cellStyle name="Salida" xfId="10" builtinId="21" hidden="1"/>
    <cellStyle name="Texto de advertencia" xfId="14" builtinId="11" hidden="1"/>
    <cellStyle name="Texto explicativo" xfId="16" builtinId="53" hidden="1"/>
    <cellStyle name="Título" xfId="1" builtinId="15" customBuiltin="1"/>
    <cellStyle name="Título 2" xfId="3" builtinId="17" customBuiltin="1"/>
    <cellStyle name="Título 3" xfId="4" builtinId="18" customBuiltin="1"/>
    <cellStyle name="User input" xfId="17" xr:uid="{00000000-0005-0000-0000-000016000000}"/>
  </cellStyles>
  <dxfs count="127">
    <dxf>
      <font>
        <color rgb="FF006100"/>
      </font>
      <fill>
        <patternFill>
          <bgColor rgb="FFC6EFCE"/>
        </patternFill>
      </fill>
    </dxf>
    <dxf>
      <font>
        <color rgb="FF006100"/>
      </font>
      <fill>
        <patternFill>
          <bgColor rgb="FFC6EFCE"/>
        </patternFill>
      </fill>
    </dxf>
    <dxf>
      <font>
        <color rgb="FF0000FF"/>
      </font>
      <fill>
        <patternFill>
          <bgColor theme="5" tint="0.79998168889431442"/>
        </patternFill>
      </fill>
    </dxf>
    <dxf>
      <font>
        <color rgb="FF006100"/>
      </font>
      <fill>
        <patternFill>
          <bgColor rgb="FFC6EFCE"/>
        </patternFill>
      </fill>
    </dxf>
    <dxf>
      <font>
        <color rgb="FF0000FF"/>
      </font>
      <fill>
        <patternFill>
          <bgColor theme="5" tint="0.79998168889431442"/>
        </patternFill>
      </fill>
    </dxf>
    <dxf>
      <fill>
        <patternFill>
          <bgColor theme="5" tint="0.79998168889431442"/>
        </patternFill>
      </fill>
    </dxf>
    <dxf>
      <fill>
        <patternFill>
          <bgColor theme="5" tint="0.79998168889431442"/>
        </patternFill>
      </fill>
    </dxf>
    <dxf>
      <font>
        <color rgb="FF0000FF"/>
      </font>
      <fill>
        <patternFill>
          <bgColor theme="5" tint="0.79998168889431442"/>
        </patternFill>
      </fill>
    </dxf>
    <dxf>
      <font>
        <color rgb="FF0000FF"/>
      </font>
      <fill>
        <patternFill>
          <bgColor theme="5" tint="0.79998168889431442"/>
        </patternFill>
      </fill>
    </dxf>
    <dxf>
      <font>
        <color theme="0"/>
      </font>
      <fill>
        <patternFill>
          <bgColor theme="6"/>
        </patternFill>
      </fill>
    </dxf>
    <dxf>
      <font>
        <color rgb="FF0000FF"/>
      </font>
      <fill>
        <patternFill>
          <bgColor theme="5" tint="0.79998168889431442"/>
        </patternFill>
      </fill>
    </dxf>
    <dxf>
      <font>
        <color rgb="FF0000FF"/>
      </font>
      <fill>
        <patternFill>
          <bgColor theme="5" tint="0.79998168889431442"/>
        </patternFill>
      </fill>
    </dxf>
    <dxf>
      <font>
        <color rgb="FF0000FF"/>
      </font>
      <fill>
        <patternFill>
          <bgColor theme="5" tint="0.79998168889431442"/>
        </patternFill>
      </fill>
    </dxf>
    <dxf>
      <font>
        <color rgb="FF0000FF"/>
      </font>
      <fill>
        <patternFill>
          <bgColor theme="5" tint="0.79998168889431442"/>
        </patternFill>
      </fill>
    </dxf>
    <dxf>
      <font>
        <color rgb="FF0000FF"/>
      </font>
      <fill>
        <patternFill>
          <bgColor theme="5" tint="0.79998168889431442"/>
        </patternFill>
      </fill>
    </dxf>
    <dxf>
      <font>
        <color rgb="FF0000FF"/>
      </font>
      <fill>
        <patternFill>
          <bgColor theme="5" tint="0.79998168889431442"/>
        </patternFill>
      </fill>
    </dxf>
    <dxf>
      <font>
        <color rgb="FF0000FF"/>
      </font>
      <fill>
        <patternFill>
          <bgColor theme="5" tint="0.79998168889431442"/>
        </patternFill>
      </fill>
    </dxf>
    <dxf>
      <font>
        <color rgb="FF0000FF"/>
      </font>
      <fill>
        <patternFill>
          <bgColor theme="5" tint="0.79998168889431442"/>
        </patternFill>
      </fill>
    </dxf>
    <dxf>
      <font>
        <color rgb="FF006100"/>
      </font>
      <fill>
        <patternFill>
          <bgColor rgb="FFC6EF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0"/>
      </font>
      <fill>
        <patternFill>
          <bgColor theme="6"/>
        </patternFill>
      </fill>
    </dxf>
    <dxf>
      <font>
        <color theme="0"/>
      </font>
      <fill>
        <patternFill>
          <bgColor theme="6"/>
        </patternFill>
      </fill>
    </dxf>
    <dxf>
      <font>
        <color theme="0"/>
      </font>
      <fill>
        <patternFill>
          <bgColor theme="6"/>
        </patternFill>
      </fill>
    </dxf>
    <dxf>
      <font>
        <color theme="0"/>
      </font>
      <fill>
        <patternFill>
          <bgColor theme="6"/>
        </patternFill>
      </fill>
    </dxf>
    <dxf>
      <font>
        <color theme="0"/>
      </font>
      <fill>
        <patternFill>
          <bgColor theme="6"/>
        </patternFill>
      </fill>
    </dxf>
    <dxf>
      <font>
        <color theme="0"/>
      </font>
      <fill>
        <patternFill>
          <bgColor theme="6"/>
        </patternFill>
      </fill>
    </dxf>
    <dxf>
      <font>
        <color theme="0"/>
      </font>
      <fill>
        <patternFill>
          <bgColor theme="6"/>
        </patternFill>
      </fill>
    </dxf>
    <dxf>
      <font>
        <color theme="0"/>
      </font>
      <fill>
        <patternFill>
          <bgColor theme="6"/>
        </patternFill>
      </fill>
    </dxf>
    <dxf>
      <font>
        <color rgb="FFE83F35"/>
      </font>
    </dxf>
    <dxf>
      <font>
        <color rgb="FFE83F35"/>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E83F35"/>
      <rgbColor rgb="0099BFC2"/>
      <rgbColor rgb="00156570"/>
      <rgbColor rgb="00B4A76C"/>
      <rgbColor rgb="00782327"/>
      <rgbColor rgb="00A5ACAF"/>
      <rgbColor rgb="0037424A"/>
      <rgbColor rgb="00E83F35"/>
      <rgbColor rgb="00E83F35"/>
      <rgbColor rgb="0099BFC2"/>
      <rgbColor rgb="00156570"/>
      <rgbColor rgb="00B4A76C"/>
      <rgbColor rgb="00782327"/>
      <rgbColor rgb="00A5ACAF"/>
      <rgbColor rgb="0037424A"/>
      <rgbColor rgb="00E83F35"/>
      <rgbColor rgb="0000CCFF"/>
      <rgbColor rgb="00CCFFFF"/>
      <rgbColor rgb="00CCFFCC"/>
      <rgbColor rgb="00FFFF99"/>
      <rgbColor rgb="0099CCFF"/>
      <rgbColor rgb="00E83F35"/>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color rgb="FFE83F3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7.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6.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5.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1.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4.xml"/><Relationship Id="rId27" Type="http://schemas.openxmlformats.org/officeDocument/2006/relationships/styles" Target="styles.xml"/><Relationship Id="rId30" Type="http://schemas.openxmlformats.org/officeDocument/2006/relationships/calcChain" Target="calcChain.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05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clustered"/>
        <c:varyColors val="0"/>
        <c:ser>
          <c:idx val="0"/>
          <c:order val="0"/>
          <c:tx>
            <c:strRef>
              <c:f>'Hoja auxiliar gráficos'!$D$9</c:f>
              <c:strCache>
                <c:ptCount val="1"/>
                <c:pt idx="0">
                  <c:v>Todos los segmentos 
(% ingresos)</c:v>
                </c:pt>
              </c:strCache>
            </c:strRef>
          </c:tx>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2-8BBE-4638-9EB6-40D353198355}"/>
              </c:ext>
            </c:extLst>
          </c:dPt>
          <c:dPt>
            <c:idx val="1"/>
            <c:invertIfNegative val="0"/>
            <c:bubble3D val="0"/>
            <c:spPr>
              <a:solidFill>
                <a:schemeClr val="accent2"/>
              </a:solidFill>
              <a:ln>
                <a:noFill/>
              </a:ln>
              <a:effectLst/>
            </c:spPr>
            <c:extLst>
              <c:ext xmlns:c16="http://schemas.microsoft.com/office/drawing/2014/chart" uri="{C3380CC4-5D6E-409C-BE32-E72D297353CC}">
                <c16:uniqueId val="{00000003-8BBE-4638-9EB6-40D353198355}"/>
              </c:ext>
            </c:extLst>
          </c:dPt>
          <c:dPt>
            <c:idx val="2"/>
            <c:invertIfNegative val="0"/>
            <c:bubble3D val="0"/>
            <c:spPr>
              <a:solidFill>
                <a:schemeClr val="bg2">
                  <a:lumMod val="90000"/>
                </a:schemeClr>
              </a:solidFill>
              <a:ln>
                <a:noFill/>
              </a:ln>
              <a:effectLst/>
            </c:spPr>
            <c:extLst>
              <c:ext xmlns:c16="http://schemas.microsoft.com/office/drawing/2014/chart" uri="{C3380CC4-5D6E-409C-BE32-E72D297353CC}">
                <c16:uniqueId val="{00000004-8BBE-4638-9EB6-40D353198355}"/>
              </c:ext>
            </c:extLst>
          </c:dPt>
          <c:dPt>
            <c:idx val="3"/>
            <c:invertIfNegative val="0"/>
            <c:bubble3D val="0"/>
            <c:spPr>
              <a:solidFill>
                <a:schemeClr val="bg2">
                  <a:lumMod val="90000"/>
                </a:schemeClr>
              </a:solidFill>
              <a:ln>
                <a:noFill/>
              </a:ln>
              <a:effectLst/>
            </c:spPr>
            <c:extLst>
              <c:ext xmlns:c16="http://schemas.microsoft.com/office/drawing/2014/chart" uri="{C3380CC4-5D6E-409C-BE32-E72D297353CC}">
                <c16:uniqueId val="{00000005-8BBE-4638-9EB6-40D353198355}"/>
              </c:ext>
            </c:extLst>
          </c:dPt>
          <c:dPt>
            <c:idx val="4"/>
            <c:invertIfNegative val="0"/>
            <c:bubble3D val="0"/>
            <c:spPr>
              <a:solidFill>
                <a:schemeClr val="bg2">
                  <a:lumMod val="90000"/>
                </a:schemeClr>
              </a:solidFill>
              <a:ln>
                <a:noFill/>
              </a:ln>
              <a:effectLst/>
            </c:spPr>
            <c:extLst>
              <c:ext xmlns:c16="http://schemas.microsoft.com/office/drawing/2014/chart" uri="{C3380CC4-5D6E-409C-BE32-E72D297353CC}">
                <c16:uniqueId val="{00000006-8BBE-4638-9EB6-40D353198355}"/>
              </c:ext>
            </c:extLst>
          </c:dPt>
          <c:cat>
            <c:strRef>
              <c:f>'Hoja auxiliar gráficos'!$B$10:$B$14</c:f>
              <c:strCache>
                <c:ptCount val="5"/>
                <c:pt idx="0">
                  <c:v>Margen</c:v>
                </c:pt>
                <c:pt idx="1">
                  <c:v>Ingresos minoristas</c:v>
                </c:pt>
                <c:pt idx="2">
                  <c:v>Costos</c:v>
                </c:pt>
                <c:pt idx="3">
                  <c:v>Pagos mayoristas</c:v>
                </c:pt>
                <c:pt idx="4">
                  <c:v>Costos totales ajustados </c:v>
                </c:pt>
              </c:strCache>
            </c:strRef>
          </c:cat>
          <c:val>
            <c:numRef>
              <c:f>'Hoja auxiliar gráficos'!$D$10:$D$14</c:f>
              <c:numCache>
                <c:formatCode>0.00%</c:formatCode>
                <c:ptCount val="5"/>
                <c:pt idx="0">
                  <c:v>1.6337641137123771E-2</c:v>
                </c:pt>
                <c:pt idx="1">
                  <c:v>1</c:v>
                </c:pt>
                <c:pt idx="2">
                  <c:v>0.98366235886287623</c:v>
                </c:pt>
                <c:pt idx="3">
                  <c:v>0.35784061973244147</c:v>
                </c:pt>
                <c:pt idx="4">
                  <c:v>0.63621600795408206</c:v>
                </c:pt>
              </c:numCache>
            </c:numRef>
          </c:val>
          <c:extLst>
            <c:ext xmlns:c16="http://schemas.microsoft.com/office/drawing/2014/chart" uri="{C3380CC4-5D6E-409C-BE32-E72D297353CC}">
              <c16:uniqueId val="{00000000-8BBE-4638-9EB6-40D353198355}"/>
            </c:ext>
          </c:extLst>
        </c:ser>
        <c:dLbls>
          <c:showLegendKey val="0"/>
          <c:showVal val="0"/>
          <c:showCatName val="0"/>
          <c:showSerName val="0"/>
          <c:showPercent val="0"/>
          <c:showBubbleSize val="0"/>
        </c:dLbls>
        <c:gapWidth val="219"/>
        <c:overlap val="-27"/>
        <c:axId val="179565935"/>
        <c:axId val="179551791"/>
      </c:barChart>
      <c:catAx>
        <c:axId val="179565935"/>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s-MX"/>
          </a:p>
        </c:txPr>
        <c:crossAx val="179551791"/>
        <c:crosses val="autoZero"/>
        <c:auto val="1"/>
        <c:lblAlgn val="ctr"/>
        <c:lblOffset val="100"/>
        <c:noMultiLvlLbl val="0"/>
      </c:catAx>
      <c:valAx>
        <c:axId val="179551791"/>
        <c:scaling>
          <c:orientation val="minMax"/>
        </c:scaling>
        <c:delete val="0"/>
        <c:axPos val="l"/>
        <c:majorGridlines>
          <c:spPr>
            <a:ln w="9525" cap="flat" cmpd="sng" algn="ctr">
              <a:no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s-MX"/>
          </a:p>
        </c:txPr>
        <c:crossAx val="17956593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0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clustered"/>
        <c:varyColors val="0"/>
        <c:ser>
          <c:idx val="0"/>
          <c:order val="0"/>
          <c:tx>
            <c:strRef>
              <c:f>'Hoja auxiliar gráficos'!$E$9</c:f>
              <c:strCache>
                <c:ptCount val="1"/>
                <c:pt idx="0">
                  <c:v>Segmento Prepago
(% ingresos)</c:v>
                </c:pt>
              </c:strCache>
            </c:strRef>
          </c:tx>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DE55-4D3D-896B-1014775F6C50}"/>
              </c:ext>
            </c:extLst>
          </c:dPt>
          <c:dPt>
            <c:idx val="1"/>
            <c:invertIfNegative val="0"/>
            <c:bubble3D val="0"/>
            <c:spPr>
              <a:solidFill>
                <a:schemeClr val="accent2"/>
              </a:solidFill>
              <a:ln>
                <a:noFill/>
              </a:ln>
              <a:effectLst/>
            </c:spPr>
            <c:extLst>
              <c:ext xmlns:c16="http://schemas.microsoft.com/office/drawing/2014/chart" uri="{C3380CC4-5D6E-409C-BE32-E72D297353CC}">
                <c16:uniqueId val="{00000003-DE55-4D3D-896B-1014775F6C50}"/>
              </c:ext>
            </c:extLst>
          </c:dPt>
          <c:dPt>
            <c:idx val="2"/>
            <c:invertIfNegative val="0"/>
            <c:bubble3D val="0"/>
            <c:spPr>
              <a:solidFill>
                <a:schemeClr val="bg2">
                  <a:lumMod val="90000"/>
                </a:schemeClr>
              </a:solidFill>
              <a:ln>
                <a:noFill/>
              </a:ln>
              <a:effectLst/>
            </c:spPr>
            <c:extLst>
              <c:ext xmlns:c16="http://schemas.microsoft.com/office/drawing/2014/chart" uri="{C3380CC4-5D6E-409C-BE32-E72D297353CC}">
                <c16:uniqueId val="{00000005-DE55-4D3D-896B-1014775F6C50}"/>
              </c:ext>
            </c:extLst>
          </c:dPt>
          <c:dPt>
            <c:idx val="3"/>
            <c:invertIfNegative val="0"/>
            <c:bubble3D val="0"/>
            <c:spPr>
              <a:solidFill>
                <a:schemeClr val="bg2">
                  <a:lumMod val="90000"/>
                </a:schemeClr>
              </a:solidFill>
              <a:ln>
                <a:noFill/>
              </a:ln>
              <a:effectLst/>
            </c:spPr>
            <c:extLst>
              <c:ext xmlns:c16="http://schemas.microsoft.com/office/drawing/2014/chart" uri="{C3380CC4-5D6E-409C-BE32-E72D297353CC}">
                <c16:uniqueId val="{00000007-DE55-4D3D-896B-1014775F6C50}"/>
              </c:ext>
            </c:extLst>
          </c:dPt>
          <c:dPt>
            <c:idx val="4"/>
            <c:invertIfNegative val="0"/>
            <c:bubble3D val="0"/>
            <c:spPr>
              <a:solidFill>
                <a:schemeClr val="bg2">
                  <a:lumMod val="90000"/>
                </a:schemeClr>
              </a:solidFill>
              <a:ln>
                <a:noFill/>
              </a:ln>
              <a:effectLst/>
            </c:spPr>
            <c:extLst>
              <c:ext xmlns:c16="http://schemas.microsoft.com/office/drawing/2014/chart" uri="{C3380CC4-5D6E-409C-BE32-E72D297353CC}">
                <c16:uniqueId val="{00000009-DE55-4D3D-896B-1014775F6C50}"/>
              </c:ext>
            </c:extLst>
          </c:dPt>
          <c:cat>
            <c:strRef>
              <c:f>'Hoja auxiliar gráficos'!$B$10:$B$14</c:f>
              <c:strCache>
                <c:ptCount val="5"/>
                <c:pt idx="0">
                  <c:v>Margen</c:v>
                </c:pt>
                <c:pt idx="1">
                  <c:v>Ingresos minoristas</c:v>
                </c:pt>
                <c:pt idx="2">
                  <c:v>Costos</c:v>
                </c:pt>
                <c:pt idx="3">
                  <c:v>Pagos mayoristas</c:v>
                </c:pt>
                <c:pt idx="4">
                  <c:v>Costos totales ajustados </c:v>
                </c:pt>
              </c:strCache>
            </c:strRef>
          </c:cat>
          <c:val>
            <c:numRef>
              <c:f>'Hoja auxiliar gráficos'!$E$10:$E$14</c:f>
              <c:numCache>
                <c:formatCode>0.00%</c:formatCode>
                <c:ptCount val="5"/>
                <c:pt idx="0">
                  <c:v>0.19181438998232037</c:v>
                </c:pt>
                <c:pt idx="1">
                  <c:v>1</c:v>
                </c:pt>
                <c:pt idx="2">
                  <c:v>0.80818561001767963</c:v>
                </c:pt>
                <c:pt idx="3">
                  <c:v>0.16767382550589507</c:v>
                </c:pt>
                <c:pt idx="4">
                  <c:v>0.79253054814694468</c:v>
                </c:pt>
              </c:numCache>
            </c:numRef>
          </c:val>
          <c:extLst>
            <c:ext xmlns:c16="http://schemas.microsoft.com/office/drawing/2014/chart" uri="{C3380CC4-5D6E-409C-BE32-E72D297353CC}">
              <c16:uniqueId val="{0000000A-DE55-4D3D-896B-1014775F6C50}"/>
            </c:ext>
          </c:extLst>
        </c:ser>
        <c:dLbls>
          <c:showLegendKey val="0"/>
          <c:showVal val="0"/>
          <c:showCatName val="0"/>
          <c:showSerName val="0"/>
          <c:showPercent val="0"/>
          <c:showBubbleSize val="0"/>
        </c:dLbls>
        <c:gapWidth val="219"/>
        <c:overlap val="-27"/>
        <c:axId val="179565935"/>
        <c:axId val="179551791"/>
      </c:barChart>
      <c:catAx>
        <c:axId val="179565935"/>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s-MX"/>
          </a:p>
        </c:txPr>
        <c:crossAx val="179551791"/>
        <c:crosses val="autoZero"/>
        <c:auto val="1"/>
        <c:lblAlgn val="ctr"/>
        <c:lblOffset val="100"/>
        <c:noMultiLvlLbl val="0"/>
      </c:catAx>
      <c:valAx>
        <c:axId val="179551791"/>
        <c:scaling>
          <c:orientation val="minMax"/>
        </c:scaling>
        <c:delete val="0"/>
        <c:axPos val="l"/>
        <c:majorGridlines>
          <c:spPr>
            <a:ln w="9525" cap="flat" cmpd="sng" algn="ctr">
              <a:no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s-MX"/>
          </a:p>
        </c:txPr>
        <c:crossAx val="17956593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0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clustered"/>
        <c:varyColors val="0"/>
        <c:ser>
          <c:idx val="0"/>
          <c:order val="0"/>
          <c:tx>
            <c:strRef>
              <c:f>'Hoja auxiliar gráficos'!$F$9</c:f>
              <c:strCache>
                <c:ptCount val="1"/>
                <c:pt idx="0">
                  <c:v>Segmento Pospago
(% ingresos)</c:v>
                </c:pt>
              </c:strCache>
            </c:strRef>
          </c:tx>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8E98-432A-91AA-D19CBB714733}"/>
              </c:ext>
            </c:extLst>
          </c:dPt>
          <c:dPt>
            <c:idx val="1"/>
            <c:invertIfNegative val="0"/>
            <c:bubble3D val="0"/>
            <c:spPr>
              <a:solidFill>
                <a:schemeClr val="accent2"/>
              </a:solidFill>
              <a:ln>
                <a:noFill/>
              </a:ln>
              <a:effectLst/>
            </c:spPr>
            <c:extLst>
              <c:ext xmlns:c16="http://schemas.microsoft.com/office/drawing/2014/chart" uri="{C3380CC4-5D6E-409C-BE32-E72D297353CC}">
                <c16:uniqueId val="{00000003-8E98-432A-91AA-D19CBB714733}"/>
              </c:ext>
            </c:extLst>
          </c:dPt>
          <c:dPt>
            <c:idx val="2"/>
            <c:invertIfNegative val="0"/>
            <c:bubble3D val="0"/>
            <c:spPr>
              <a:solidFill>
                <a:schemeClr val="bg2">
                  <a:lumMod val="90000"/>
                </a:schemeClr>
              </a:solidFill>
              <a:ln>
                <a:noFill/>
              </a:ln>
              <a:effectLst/>
            </c:spPr>
            <c:extLst>
              <c:ext xmlns:c16="http://schemas.microsoft.com/office/drawing/2014/chart" uri="{C3380CC4-5D6E-409C-BE32-E72D297353CC}">
                <c16:uniqueId val="{00000005-8E98-432A-91AA-D19CBB714733}"/>
              </c:ext>
            </c:extLst>
          </c:dPt>
          <c:dPt>
            <c:idx val="3"/>
            <c:invertIfNegative val="0"/>
            <c:bubble3D val="0"/>
            <c:spPr>
              <a:solidFill>
                <a:schemeClr val="bg2">
                  <a:lumMod val="90000"/>
                </a:schemeClr>
              </a:solidFill>
              <a:ln>
                <a:noFill/>
              </a:ln>
              <a:effectLst/>
            </c:spPr>
            <c:extLst>
              <c:ext xmlns:c16="http://schemas.microsoft.com/office/drawing/2014/chart" uri="{C3380CC4-5D6E-409C-BE32-E72D297353CC}">
                <c16:uniqueId val="{00000007-8E98-432A-91AA-D19CBB714733}"/>
              </c:ext>
            </c:extLst>
          </c:dPt>
          <c:dPt>
            <c:idx val="4"/>
            <c:invertIfNegative val="0"/>
            <c:bubble3D val="0"/>
            <c:spPr>
              <a:solidFill>
                <a:schemeClr val="bg2">
                  <a:lumMod val="90000"/>
                </a:schemeClr>
              </a:solidFill>
              <a:ln>
                <a:noFill/>
              </a:ln>
              <a:effectLst/>
            </c:spPr>
            <c:extLst>
              <c:ext xmlns:c16="http://schemas.microsoft.com/office/drawing/2014/chart" uri="{C3380CC4-5D6E-409C-BE32-E72D297353CC}">
                <c16:uniqueId val="{00000009-8E98-432A-91AA-D19CBB714733}"/>
              </c:ext>
            </c:extLst>
          </c:dPt>
          <c:cat>
            <c:strRef>
              <c:f>'Hoja auxiliar gráficos'!$B$10:$B$14</c:f>
              <c:strCache>
                <c:ptCount val="5"/>
                <c:pt idx="0">
                  <c:v>Margen</c:v>
                </c:pt>
                <c:pt idx="1">
                  <c:v>Ingresos minoristas</c:v>
                </c:pt>
                <c:pt idx="2">
                  <c:v>Costos</c:v>
                </c:pt>
                <c:pt idx="3">
                  <c:v>Pagos mayoristas</c:v>
                </c:pt>
                <c:pt idx="4">
                  <c:v>Costos totales ajustados </c:v>
                </c:pt>
              </c:strCache>
            </c:strRef>
          </c:cat>
          <c:val>
            <c:numRef>
              <c:f>'Hoja auxiliar gráficos'!$F$10:$F$14</c:f>
              <c:numCache>
                <c:formatCode>0.00%</c:formatCode>
                <c:ptCount val="5"/>
                <c:pt idx="0">
                  <c:v>-0.30319974786301995</c:v>
                </c:pt>
                <c:pt idx="1">
                  <c:v>1</c:v>
                </c:pt>
                <c:pt idx="2">
                  <c:v>1.30319974786302</c:v>
                </c:pt>
                <c:pt idx="3">
                  <c:v>0.70414453313909353</c:v>
                </c:pt>
                <c:pt idx="4">
                  <c:v>0.45968027211964546</c:v>
                </c:pt>
              </c:numCache>
            </c:numRef>
          </c:val>
          <c:extLst>
            <c:ext xmlns:c16="http://schemas.microsoft.com/office/drawing/2014/chart" uri="{C3380CC4-5D6E-409C-BE32-E72D297353CC}">
              <c16:uniqueId val="{0000000A-8E98-432A-91AA-D19CBB714733}"/>
            </c:ext>
          </c:extLst>
        </c:ser>
        <c:dLbls>
          <c:showLegendKey val="0"/>
          <c:showVal val="0"/>
          <c:showCatName val="0"/>
          <c:showSerName val="0"/>
          <c:showPercent val="0"/>
          <c:showBubbleSize val="0"/>
        </c:dLbls>
        <c:gapWidth val="219"/>
        <c:overlap val="-27"/>
        <c:axId val="179565935"/>
        <c:axId val="179551791"/>
      </c:barChart>
      <c:catAx>
        <c:axId val="179565935"/>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s-MX"/>
          </a:p>
        </c:txPr>
        <c:crossAx val="179551791"/>
        <c:crosses val="autoZero"/>
        <c:auto val="1"/>
        <c:lblAlgn val="ctr"/>
        <c:lblOffset val="100"/>
        <c:noMultiLvlLbl val="0"/>
      </c:catAx>
      <c:valAx>
        <c:axId val="179551791"/>
        <c:scaling>
          <c:orientation val="minMax"/>
        </c:scaling>
        <c:delete val="0"/>
        <c:axPos val="l"/>
        <c:majorGridlines>
          <c:spPr>
            <a:ln w="9525" cap="flat" cmpd="sng" algn="ctr">
              <a:no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s-MX"/>
          </a:p>
        </c:txPr>
        <c:crossAx val="17956593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207962</xdr:colOff>
      <xdr:row>27</xdr:row>
      <xdr:rowOff>0</xdr:rowOff>
    </xdr:from>
    <xdr:to>
      <xdr:col>4</xdr:col>
      <xdr:colOff>950912</xdr:colOff>
      <xdr:row>43</xdr:row>
      <xdr:rowOff>120650</xdr:rowOff>
    </xdr:to>
    <xdr:graphicFrame macro="">
      <xdr:nvGraphicFramePr>
        <xdr:cNvPr id="3" name="Chart 2">
          <a:extLst>
            <a:ext uri="{FF2B5EF4-FFF2-40B4-BE49-F238E27FC236}">
              <a16:creationId xmlns:a16="http://schemas.microsoft.com/office/drawing/2014/main" id="{253D0449-49FA-4564-9A97-8D6B28763B3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394758</xdr:colOff>
      <xdr:row>27</xdr:row>
      <xdr:rowOff>31749</xdr:rowOff>
    </xdr:from>
    <xdr:to>
      <xdr:col>17</xdr:col>
      <xdr:colOff>358775</xdr:colOff>
      <xdr:row>43</xdr:row>
      <xdr:rowOff>120649</xdr:rowOff>
    </xdr:to>
    <xdr:graphicFrame macro="">
      <xdr:nvGraphicFramePr>
        <xdr:cNvPr id="5" name="Chart 4">
          <a:extLst>
            <a:ext uri="{FF2B5EF4-FFF2-40B4-BE49-F238E27FC236}">
              <a16:creationId xmlns:a16="http://schemas.microsoft.com/office/drawing/2014/main" id="{7BD10E98-65E9-4309-B85C-4BD0E79307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138641</xdr:colOff>
      <xdr:row>27</xdr:row>
      <xdr:rowOff>56091</xdr:rowOff>
    </xdr:from>
    <xdr:to>
      <xdr:col>11</xdr:col>
      <xdr:colOff>86783</xdr:colOff>
      <xdr:row>43</xdr:row>
      <xdr:rowOff>113241</xdr:rowOff>
    </xdr:to>
    <xdr:graphicFrame macro="">
      <xdr:nvGraphicFramePr>
        <xdr:cNvPr id="6" name="Chart 5">
          <a:extLst>
            <a:ext uri="{FF2B5EF4-FFF2-40B4-BE49-F238E27FC236}">
              <a16:creationId xmlns:a16="http://schemas.microsoft.com/office/drawing/2014/main" id="{652C647B-9928-4D9A-9A3B-4C24AAB489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frontiereconomics-my.sharepoint.com/personal/maria_guijon_frontier-economics_com/Documents/Documents/Telecoms%20practice/1%20Projects/2021/IFT%20Replicabilidad/5%20Analysis/Ejemplo%20de%20modelos/0%20Examples/Portsmouth%20-%20Water%20Tariff%20Model%20v2%200%206%20-%2020%2011%202019.xlsm?03CADBDF" TargetMode="External"/><Relationship Id="rId1" Type="http://schemas.openxmlformats.org/officeDocument/2006/relationships/externalLinkPath" Target="file:///\\03CADBDF\Portsmouth%20-%20Water%20Tariff%20Model%20v2%200%206%20-%2020%2011%202019.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asisdata7\homedirs\Program%20Files\FileNET\IDM\Cache\2003012410152300001\all%20the%20chart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frontiereconomics-my.sharepoint.com/Users/maria.guijon/Documents/Public%20Policy%20practice/1%20Projects/2020/Accenture_Limits/5%20Analysis/AI%20model/Impact%20analysis_08.06.20.xlsx" TargetMode="External"/></Relationships>
</file>

<file path=xl/externalLinks/_rels/externalLink4.xml.rels><?xml version="1.0" encoding="UTF-8" standalone="yes"?>
<Relationships xmlns="http://schemas.openxmlformats.org/package/2006/relationships"><Relationship Id="rId2" Type="http://schemas.microsoft.com/office/2019/04/relationships/externalLinkLongPath" Target="https://frontiereconomics-my.sharepoint.com/personal/maria_guijon_frontier-economics_com/Documents/Documents/Telecoms%20practice/1%20Projects/2021/IFT%20Replicabilidad/5%20Analysis/Ejemplo%20de%20modelos/spd%20-%20NeuConnect%20-%20ICF%20model_11%2006%2021%20draft%20-%20with%20macro%20-%20300621.xlsm?A9118B8D" TargetMode="External"/><Relationship Id="rId1" Type="http://schemas.openxmlformats.org/officeDocument/2006/relationships/externalLinkPath" Target="file:///\\A9118B8D\spd%20-%20NeuConnect%20-%20ICF%20model_11%2006%2021%20draft%20-%20with%20macro%20-%20300621.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P:\rkyv\CheckOut\Long-term%20model%202009%7bdb5-doc3966101-ma1-mi14%7d.xls"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UK99"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rontier.local\home\Projects\Projects-22\P22-4838\Work\Modelos%20actualizados\Banda%20ancha\spd%20-%20Prueba%20Replicablidad%20Banda%20Ancha%202021%20ex%20ante%20-%20281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 sheet"/>
      <sheetName val="Navigation"/>
      <sheetName val="Error checks"/>
      <sheetName val="Dashboard"/>
      <sheetName val="Incidence chart"/>
      <sheetName val="Model Set Up &gt;&gt;"/>
      <sheetName val="Charging rules"/>
      <sheetName val="Ofwat determination"/>
      <sheetName val="Tariff Structure"/>
      <sheetName val="Charge multipliers"/>
      <sheetName val="Inflation"/>
      <sheetName val="Incidence effects inputs"/>
      <sheetName val="Differential inputs"/>
      <sheetName val="Actuals inputs"/>
      <sheetName val="Outputs &gt;&gt;"/>
      <sheetName val="Total Charges"/>
      <sheetName val="Tariff output"/>
      <sheetName val="Compliance"/>
      <sheetName val="Incidence effects"/>
      <sheetName val="Differentials"/>
      <sheetName val="Average bills"/>
      <sheetName val="Calculations &gt;&gt;"/>
      <sheetName val="Tariff Calculations"/>
      <sheetName val="Incidence calculations"/>
      <sheetName val="Differential calculations"/>
      <sheetName val="Average bills calculation"/>
      <sheetName val="Lookup"/>
    </sheetNames>
    <sheetDataSet>
      <sheetData sheetId="0"/>
      <sheetData sheetId="1"/>
      <sheetData sheetId="2"/>
      <sheetData sheetId="3">
        <row r="10">
          <cell r="D10" t="str">
            <v>2018/19</v>
          </cell>
        </row>
        <row r="11">
          <cell r="D11" t="str">
            <v>2019/20</v>
          </cell>
        </row>
        <row r="12">
          <cell r="D12" t="str">
            <v>2020/21</v>
          </cell>
        </row>
      </sheetData>
      <sheetData sheetId="4"/>
      <sheetData sheetId="5"/>
      <sheetData sheetId="6"/>
      <sheetData sheetId="7"/>
      <sheetData sheetId="8">
        <row r="8">
          <cell r="G8">
            <v>194182</v>
          </cell>
        </row>
        <row r="9">
          <cell r="G9">
            <v>102961</v>
          </cell>
        </row>
        <row r="18">
          <cell r="B18" t="str">
            <v>HMSaR</v>
          </cell>
        </row>
        <row r="19">
          <cell r="B19" t="str">
            <v>HMSaWN</v>
          </cell>
        </row>
        <row r="20">
          <cell r="B20" t="str">
            <v>HMSbR</v>
          </cell>
        </row>
        <row r="21">
          <cell r="B21" t="str">
            <v>HMSbWN</v>
          </cell>
        </row>
        <row r="22">
          <cell r="B22" t="str">
            <v>HMScR</v>
          </cell>
        </row>
        <row r="23">
          <cell r="B23" t="str">
            <v>HMScWN</v>
          </cell>
        </row>
        <row r="24">
          <cell r="B24" t="str">
            <v>HMSdR</v>
          </cell>
        </row>
        <row r="25">
          <cell r="B25" t="str">
            <v>HMSdWN</v>
          </cell>
        </row>
        <row r="26">
          <cell r="B26" t="str">
            <v>HMSeR</v>
          </cell>
        </row>
        <row r="27">
          <cell r="B27" t="str">
            <v>HMSeWN</v>
          </cell>
        </row>
        <row r="28">
          <cell r="B28" t="str">
            <v>HMSfR</v>
          </cell>
        </row>
        <row r="29">
          <cell r="B29" t="str">
            <v>HMSfWN</v>
          </cell>
        </row>
        <row r="30">
          <cell r="B30" t="str">
            <v>HMSgR</v>
          </cell>
        </row>
        <row r="31">
          <cell r="B31" t="str">
            <v>HMSgWN</v>
          </cell>
        </row>
        <row r="32">
          <cell r="B32" t="str">
            <v>HMShR</v>
          </cell>
        </row>
        <row r="33">
          <cell r="B33" t="str">
            <v>HMShWN</v>
          </cell>
        </row>
        <row r="34">
          <cell r="B34" t="str">
            <v>HMVNWN</v>
          </cell>
        </row>
        <row r="35">
          <cell r="B35" t="str">
            <v>HMVNWR</v>
          </cell>
        </row>
        <row r="36">
          <cell r="B36" t="str">
            <v>HMVR</v>
          </cell>
        </row>
        <row r="37">
          <cell r="B37" t="str">
            <v>HMVWN</v>
          </cell>
        </row>
        <row r="38">
          <cell r="B38" t="str">
            <v>HMVWR</v>
          </cell>
        </row>
        <row r="39">
          <cell r="B39" t="str">
            <v>HMWR</v>
          </cell>
        </row>
        <row r="40">
          <cell r="B40" t="str">
            <v>HMWWN</v>
          </cell>
        </row>
        <row r="41">
          <cell r="B41" t="str">
            <v>HMWWR</v>
          </cell>
        </row>
        <row r="42">
          <cell r="B42" t="str">
            <v>HUA1R</v>
          </cell>
        </row>
        <row r="43">
          <cell r="B43" t="str">
            <v>HUA1WN</v>
          </cell>
        </row>
        <row r="44">
          <cell r="B44" t="str">
            <v>HUA1WR</v>
          </cell>
        </row>
        <row r="45">
          <cell r="B45" t="str">
            <v>HUA2R</v>
          </cell>
        </row>
        <row r="46">
          <cell r="B46" t="str">
            <v>HUA2WN</v>
          </cell>
        </row>
        <row r="47">
          <cell r="B47" t="str">
            <v>HUA2WR</v>
          </cell>
        </row>
        <row r="48">
          <cell r="B48" t="str">
            <v>HULR</v>
          </cell>
        </row>
        <row r="49">
          <cell r="B49" t="str">
            <v>HULWN</v>
          </cell>
        </row>
        <row r="50">
          <cell r="B50" t="str">
            <v>HULWR</v>
          </cell>
        </row>
        <row r="51">
          <cell r="B51" t="str">
            <v>HUMR</v>
          </cell>
        </row>
        <row r="52">
          <cell r="B52" t="str">
            <v>HUMWN</v>
          </cell>
        </row>
        <row r="53">
          <cell r="B53" t="str">
            <v>HUMWR</v>
          </cell>
        </row>
        <row r="54">
          <cell r="B54" t="str">
            <v>HURR</v>
          </cell>
        </row>
        <row r="55">
          <cell r="B55" t="str">
            <v>HURWN</v>
          </cell>
        </row>
        <row r="56">
          <cell r="B56" t="str">
            <v>HURWR</v>
          </cell>
        </row>
        <row r="57">
          <cell r="B57" t="str">
            <v>HUSOR</v>
          </cell>
        </row>
        <row r="58">
          <cell r="B58" t="str">
            <v>HUSOWN</v>
          </cell>
        </row>
        <row r="59">
          <cell r="B59" t="str">
            <v>HUSOWR</v>
          </cell>
        </row>
        <row r="60">
          <cell r="B60" t="str">
            <v>HUSR</v>
          </cell>
        </row>
        <row r="61">
          <cell r="B61" t="str">
            <v>HUSWN</v>
          </cell>
        </row>
        <row r="62">
          <cell r="B62" t="str">
            <v>NMSFIWN</v>
          </cell>
        </row>
        <row r="63">
          <cell r="B63" t="str">
            <v>NMSFIWR</v>
          </cell>
        </row>
        <row r="64">
          <cell r="B64" t="str">
            <v>NMSFLWN</v>
          </cell>
        </row>
        <row r="65">
          <cell r="B65" t="str">
            <v>NMSFLWR</v>
          </cell>
        </row>
        <row r="66">
          <cell r="B66" t="str">
            <v>NMSIaWN</v>
          </cell>
        </row>
        <row r="67">
          <cell r="B67" t="str">
            <v>NMSIbWN</v>
          </cell>
        </row>
        <row r="68">
          <cell r="B68" t="str">
            <v>NMSIcWN</v>
          </cell>
        </row>
        <row r="69">
          <cell r="B69" t="str">
            <v>NMSIdWN</v>
          </cell>
        </row>
        <row r="70">
          <cell r="B70" t="str">
            <v>NMSIeWN</v>
          </cell>
        </row>
        <row r="71">
          <cell r="B71" t="str">
            <v>NMSIfWN</v>
          </cell>
        </row>
        <row r="72">
          <cell r="B72" t="str">
            <v>NMSIgWN</v>
          </cell>
        </row>
        <row r="73">
          <cell r="B73" t="str">
            <v>NMSIhWN</v>
          </cell>
        </row>
        <row r="74">
          <cell r="B74" t="str">
            <v>NMSLaWN</v>
          </cell>
        </row>
        <row r="75">
          <cell r="B75" t="str">
            <v>NMSLbWN</v>
          </cell>
        </row>
        <row r="76">
          <cell r="B76" t="str">
            <v>NMSLcWN</v>
          </cell>
        </row>
        <row r="77">
          <cell r="B77" t="str">
            <v>NMSLdWN</v>
          </cell>
        </row>
        <row r="78">
          <cell r="B78" t="str">
            <v>NMSLeWN</v>
          </cell>
        </row>
        <row r="79">
          <cell r="B79" t="str">
            <v>NMSLfWN</v>
          </cell>
        </row>
        <row r="80">
          <cell r="B80" t="str">
            <v>NMSLgWN</v>
          </cell>
        </row>
        <row r="81">
          <cell r="B81" t="str">
            <v>NMSLhWN</v>
          </cell>
        </row>
        <row r="82">
          <cell r="B82" t="str">
            <v>NMSLiWN</v>
          </cell>
        </row>
        <row r="83">
          <cell r="B83" t="str">
            <v>NMSLjWN</v>
          </cell>
        </row>
        <row r="84">
          <cell r="B84" t="str">
            <v>NMSSaWN</v>
          </cell>
        </row>
        <row r="85">
          <cell r="B85" t="str">
            <v>NMSSbWN</v>
          </cell>
        </row>
        <row r="86">
          <cell r="B86" t="str">
            <v>NMSScWN</v>
          </cell>
        </row>
        <row r="87">
          <cell r="B87" t="str">
            <v>NMSSdWN</v>
          </cell>
        </row>
        <row r="88">
          <cell r="B88" t="str">
            <v>NMSSeWN</v>
          </cell>
        </row>
        <row r="89">
          <cell r="B89" t="str">
            <v>NMSSfWN</v>
          </cell>
        </row>
        <row r="90">
          <cell r="B90" t="str">
            <v>NMSSgWN</v>
          </cell>
        </row>
        <row r="91">
          <cell r="B91" t="str">
            <v>NMSShWN</v>
          </cell>
        </row>
        <row r="92">
          <cell r="B92" t="str">
            <v>NMVIWN</v>
          </cell>
        </row>
        <row r="93">
          <cell r="B93" t="str">
            <v>NMVIWR</v>
          </cell>
        </row>
        <row r="94">
          <cell r="B94" t="str">
            <v>NMVLWN</v>
          </cell>
        </row>
        <row r="95">
          <cell r="B95" t="str">
            <v>NMVLWR</v>
          </cell>
        </row>
        <row r="96">
          <cell r="B96" t="str">
            <v>NMVSWN</v>
          </cell>
        </row>
        <row r="97">
          <cell r="B97" t="str">
            <v>NMVSWR</v>
          </cell>
        </row>
        <row r="98">
          <cell r="B98" t="str">
            <v>NULWN</v>
          </cell>
        </row>
        <row r="99">
          <cell r="B99" t="str">
            <v>NULWR</v>
          </cell>
        </row>
        <row r="100">
          <cell r="B100" t="str">
            <v>NUMWN</v>
          </cell>
        </row>
        <row r="101">
          <cell r="B101" t="str">
            <v>NUMWR</v>
          </cell>
        </row>
        <row r="102">
          <cell r="B102" t="str">
            <v>NURWN</v>
          </cell>
        </row>
        <row r="103">
          <cell r="B103" t="str">
            <v>NURWR</v>
          </cell>
        </row>
        <row r="104">
          <cell r="B104" t="str">
            <v>NUSWN</v>
          </cell>
        </row>
      </sheetData>
      <sheetData sheetId="9"/>
      <sheetData sheetId="10"/>
      <sheetData sheetId="11"/>
      <sheetData sheetId="12"/>
      <sheetData sheetId="13"/>
      <sheetData sheetId="14"/>
      <sheetData sheetId="15"/>
      <sheetData sheetId="16"/>
      <sheetData sheetId="17"/>
      <sheetData sheetId="18">
        <row r="10">
          <cell r="AI10">
            <v>15.18</v>
          </cell>
          <cell r="AR10" t="str">
            <v>Unmeasured HH 150</v>
          </cell>
          <cell r="AS10">
            <v>-8.7061281163352267E-2</v>
          </cell>
          <cell r="AT10">
            <v>0.13994580615756286</v>
          </cell>
        </row>
        <row r="11">
          <cell r="AI11">
            <v>15.446</v>
          </cell>
          <cell r="AS11">
            <v>-9.6412802531316399E-2</v>
          </cell>
          <cell r="AT11">
            <v>0.13994580615756272</v>
          </cell>
        </row>
        <row r="12">
          <cell r="AI12">
            <v>15.75</v>
          </cell>
          <cell r="AS12">
            <v>-0.10269894235178899</v>
          </cell>
          <cell r="AT12">
            <v>0.13994580615756277</v>
          </cell>
        </row>
        <row r="13">
          <cell r="AI13">
            <v>14.6</v>
          </cell>
          <cell r="AS13">
            <v>-0.12659345379232273</v>
          </cell>
          <cell r="AT13">
            <v>0.1375269875383171</v>
          </cell>
        </row>
        <row r="14">
          <cell r="AI14">
            <v>51.693000000000005</v>
          </cell>
          <cell r="AS14">
            <v>-8.5685983255306311E-2</v>
          </cell>
          <cell r="AT14">
            <v>0.14049670066146913</v>
          </cell>
        </row>
        <row r="15">
          <cell r="AI15">
            <v>15.122999999999999</v>
          </cell>
          <cell r="AS15">
            <v>-0.12806147644194474</v>
          </cell>
          <cell r="AT15">
            <v>-0.19236436000092791</v>
          </cell>
        </row>
        <row r="16">
          <cell r="AI16">
            <v>54.78</v>
          </cell>
          <cell r="AS16">
            <v>-0.12335402689582604</v>
          </cell>
          <cell r="AT16">
            <v>-0.10227485545118371</v>
          </cell>
        </row>
        <row r="17">
          <cell r="AI17">
            <v>96.15</v>
          </cell>
          <cell r="AS17">
            <v>-0.12301602692415048</v>
          </cell>
          <cell r="AT17">
            <v>-0.1443794327040902</v>
          </cell>
        </row>
        <row r="18">
          <cell r="AI18">
            <v>54.932000000000002</v>
          </cell>
          <cell r="AS18">
            <v>-0.12604297314681448</v>
          </cell>
          <cell r="AT18">
            <v>-0.10227485545118381</v>
          </cell>
        </row>
        <row r="19">
          <cell r="AI19">
            <v>0</v>
          </cell>
          <cell r="AS19">
            <v>-0.12775546235633264</v>
          </cell>
          <cell r="AT19">
            <v>-0.19249195253085852</v>
          </cell>
        </row>
        <row r="20">
          <cell r="AI20">
            <v>127.78</v>
          </cell>
          <cell r="AS20">
            <v>1.1166436763294639E-2</v>
          </cell>
          <cell r="AT20">
            <v>-0.10227485545118384</v>
          </cell>
        </row>
        <row r="21">
          <cell r="AI21">
            <v>-5.8959999999999999</v>
          </cell>
          <cell r="AS21">
            <v>-0.13716345708762931</v>
          </cell>
          <cell r="AT21">
            <v>-0.19797671129670874</v>
          </cell>
        </row>
        <row r="22">
          <cell r="AI22">
            <v>18.260000000000002</v>
          </cell>
          <cell r="AS22">
            <v>-0.12891701194422375</v>
          </cell>
          <cell r="AT22">
            <v>-0.10227485545118378</v>
          </cell>
        </row>
        <row r="23">
          <cell r="AI23">
            <v>73</v>
          </cell>
          <cell r="AS23">
            <v>-0.11714367160112263</v>
          </cell>
          <cell r="AT23">
            <v>-0.19255562731816223</v>
          </cell>
        </row>
        <row r="24">
          <cell r="AI24">
            <v>32.890000000000008</v>
          </cell>
          <cell r="AS24">
            <v>-0.12123827538843901</v>
          </cell>
          <cell r="AT24">
            <v>-0.10227485545118371</v>
          </cell>
        </row>
        <row r="25">
          <cell r="AI25">
            <v>0</v>
          </cell>
          <cell r="AS25">
            <v>-0.13466537888774077</v>
          </cell>
          <cell r="AT25">
            <v>-0.17860315203969565</v>
          </cell>
        </row>
        <row r="26">
          <cell r="AI26">
            <v>73.02</v>
          </cell>
          <cell r="AS26">
            <v>-0.12446467349389295</v>
          </cell>
          <cell r="AT26">
            <v>-0.16141058310745651</v>
          </cell>
        </row>
        <row r="27">
          <cell r="AI27">
            <v>0</v>
          </cell>
          <cell r="AS27">
            <v>-0.12630819344015073</v>
          </cell>
          <cell r="AT27">
            <v>-0.30924619162617695</v>
          </cell>
        </row>
        <row r="28">
          <cell r="AI28">
            <v>0.01</v>
          </cell>
          <cell r="AS28">
            <v>-0.12864911034122187</v>
          </cell>
          <cell r="AT28">
            <v>-0.11980361800591324</v>
          </cell>
        </row>
        <row r="29">
          <cell r="AI29">
            <v>38.46</v>
          </cell>
          <cell r="AS29">
            <v>-0.12930876720918433</v>
          </cell>
          <cell r="AT29">
            <v>-0.16147610785532132</v>
          </cell>
        </row>
        <row r="30">
          <cell r="AI30">
            <v>0</v>
          </cell>
          <cell r="AS30">
            <v>-0.1266141635474286</v>
          </cell>
          <cell r="AT30">
            <v>-0.31002425568627434</v>
          </cell>
        </row>
        <row r="31">
          <cell r="AI31">
            <v>19.23</v>
          </cell>
          <cell r="AS31">
            <v>-0.12526361499143493</v>
          </cell>
          <cell r="AT31">
            <v>-0.12037130694182181</v>
          </cell>
        </row>
        <row r="32">
          <cell r="AI32">
            <v>29.2</v>
          </cell>
          <cell r="AS32">
            <v>-9.6136934545039618E-2</v>
          </cell>
          <cell r="AT32">
            <v>-0.1611768560580838</v>
          </cell>
        </row>
        <row r="33">
          <cell r="AI33">
            <v>0</v>
          </cell>
          <cell r="AS33">
            <v>-0.12711786033974826</v>
          </cell>
          <cell r="AT33">
            <v>-0.30934430908906352</v>
          </cell>
        </row>
        <row r="34">
          <cell r="AI34">
            <v>14.619</v>
          </cell>
          <cell r="AS34">
            <v>-0.11433759701469119</v>
          </cell>
          <cell r="AT34">
            <v>0.1375269875383171</v>
          </cell>
        </row>
        <row r="35">
          <cell r="AI35">
            <v>29.2</v>
          </cell>
          <cell r="AS35">
            <v>-0.1080032442091852</v>
          </cell>
          <cell r="AT35">
            <v>-0.15135115284536158</v>
          </cell>
        </row>
        <row r="36">
          <cell r="AI36">
            <v>0</v>
          </cell>
          <cell r="AS36">
            <v>-0.12602626242623044</v>
          </cell>
          <cell r="AT36">
            <v>-0.29258199973646393</v>
          </cell>
        </row>
        <row r="37">
          <cell r="AI37">
            <v>-14.88</v>
          </cell>
          <cell r="AS37">
            <v>-0.12707767244749238</v>
          </cell>
          <cell r="AT37">
            <v>0.1375269875383171</v>
          </cell>
        </row>
        <row r="38">
          <cell r="AI38">
            <v>0</v>
          </cell>
          <cell r="AS38">
            <v>-0.12540120673705538</v>
          </cell>
          <cell r="AT38">
            <v>0.42597835011390534</v>
          </cell>
        </row>
        <row r="39">
          <cell r="AI39">
            <v>3.8E-3</v>
          </cell>
          <cell r="AS39">
            <v>-0.12530779286758514</v>
          </cell>
          <cell r="AT39">
            <v>0.21582591322589134</v>
          </cell>
        </row>
        <row r="40">
          <cell r="AI40">
            <v>14.6</v>
          </cell>
          <cell r="AS40">
            <v>-0.12512998485486404</v>
          </cell>
          <cell r="AT40">
            <v>0.1375269875383171</v>
          </cell>
        </row>
        <row r="41">
          <cell r="AI41">
            <v>0</v>
          </cell>
          <cell r="AS41">
            <v>-0.12539444000706856</v>
          </cell>
          <cell r="AT41">
            <v>-0.15176633665603312</v>
          </cell>
        </row>
        <row r="42">
          <cell r="AI42">
            <v>-35.375999999999998</v>
          </cell>
          <cell r="AS42">
            <v>-0.12591829562221984</v>
          </cell>
          <cell r="AT42">
            <v>-0.29295008756576224</v>
          </cell>
        </row>
        <row r="43">
          <cell r="AI43">
            <v>0</v>
          </cell>
          <cell r="AS43" t="str">
            <v/>
          </cell>
          <cell r="AT43" t="str">
            <v/>
          </cell>
        </row>
        <row r="44">
          <cell r="AI44">
            <v>0</v>
          </cell>
          <cell r="AS44" t="str">
            <v/>
          </cell>
          <cell r="AT44" t="str">
            <v/>
          </cell>
        </row>
        <row r="45">
          <cell r="AI45">
            <v>0</v>
          </cell>
          <cell r="AS45" t="str">
            <v/>
          </cell>
          <cell r="AT45" t="str">
            <v/>
          </cell>
        </row>
        <row r="46">
          <cell r="AI46">
            <v>0</v>
          </cell>
          <cell r="AS46" t="str">
            <v/>
          </cell>
          <cell r="AT46" t="str">
            <v/>
          </cell>
        </row>
        <row r="47">
          <cell r="AI47">
            <v>0</v>
          </cell>
          <cell r="AS47" t="str">
            <v/>
          </cell>
          <cell r="AT47" t="str">
            <v/>
          </cell>
        </row>
        <row r="48">
          <cell r="AI48">
            <v>0</v>
          </cell>
          <cell r="AS48" t="str">
            <v/>
          </cell>
          <cell r="AT48" t="str">
            <v/>
          </cell>
        </row>
        <row r="49">
          <cell r="AI49">
            <v>0</v>
          </cell>
          <cell r="AS49" t="str">
            <v/>
          </cell>
          <cell r="AT49" t="str">
            <v/>
          </cell>
        </row>
        <row r="50">
          <cell r="AI50">
            <v>0</v>
          </cell>
          <cell r="AS50" t="str">
            <v/>
          </cell>
          <cell r="AT50" t="str">
            <v/>
          </cell>
        </row>
        <row r="51">
          <cell r="AI51">
            <v>0</v>
          </cell>
          <cell r="AS51" t="str">
            <v/>
          </cell>
          <cell r="AT51" t="str">
            <v/>
          </cell>
        </row>
        <row r="52">
          <cell r="AI52">
            <v>0</v>
          </cell>
          <cell r="AS52" t="str">
            <v/>
          </cell>
          <cell r="AT52" t="str">
            <v/>
          </cell>
        </row>
        <row r="53">
          <cell r="AI53">
            <v>0</v>
          </cell>
          <cell r="AS53" t="str">
            <v/>
          </cell>
          <cell r="AT53" t="str">
            <v/>
          </cell>
        </row>
        <row r="54">
          <cell r="AI54">
            <v>0</v>
          </cell>
          <cell r="AS54" t="str">
            <v/>
          </cell>
          <cell r="AT54" t="str">
            <v/>
          </cell>
        </row>
      </sheetData>
      <sheetData sheetId="19">
        <row r="14">
          <cell r="U14" t="str">
            <v>Differential A</v>
          </cell>
        </row>
        <row r="15">
          <cell r="U15" t="str">
            <v>Differential B</v>
          </cell>
        </row>
        <row r="16">
          <cell r="U16" t="str">
            <v/>
          </cell>
        </row>
        <row r="17">
          <cell r="U17" t="str">
            <v/>
          </cell>
        </row>
        <row r="18">
          <cell r="U18" t="str">
            <v/>
          </cell>
        </row>
        <row r="19">
          <cell r="U19" t="str">
            <v/>
          </cell>
        </row>
      </sheetData>
      <sheetData sheetId="20"/>
      <sheetData sheetId="21"/>
      <sheetData sheetId="22"/>
      <sheetData sheetId="23"/>
      <sheetData sheetId="24"/>
      <sheetData sheetId="25"/>
      <sheetData sheetId="26">
        <row r="13">
          <cell r="B13" t="str">
            <v>2020/21</v>
          </cell>
        </row>
        <row r="14">
          <cell r="B14" t="str">
            <v>2021/22</v>
          </cell>
        </row>
        <row r="15">
          <cell r="B15" t="str">
            <v>2022/23</v>
          </cell>
        </row>
        <row r="16">
          <cell r="B16" t="str">
            <v>2023/24</v>
          </cell>
        </row>
        <row r="17">
          <cell r="B17" t="str">
            <v>2024/25</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 1.1"/>
      <sheetName val="Frameworks comparison 2.1 2.2"/>
      <sheetName val="Figures 3.1 3.2"/>
      <sheetName val="Table 3.1"/>
      <sheetName val="3.1 Inflation expectations"/>
      <sheetName val="3.2 Taylor rules"/>
      <sheetName val="3.3 UK Taylor rule"/>
      <sheetName val="Chart 3.4"/>
      <sheetName val="3.5 10 years ahead"/>
      <sheetName val="3.6 M3 growth"/>
      <sheetName val="Box D Red triangle"/>
      <sheetName val="Figure 4.1 UK fiscal fwork"/>
      <sheetName val="Table 4.1"/>
      <sheetName val="Box D table"/>
      <sheetName val="4.1 UK"/>
      <sheetName val="4.3.and 4.4"/>
      <sheetName val="4.5 deficit and interest rate"/>
      <sheetName val="4.6 ten year bonds"/>
      <sheetName val="5.1 share of gdp"/>
      <sheetName val="Sheet1"/>
      <sheetName val="Figure 6.1"/>
      <sheetName val="Table 6.1 Bank Supervisors"/>
      <sheetName val="Figure_1_1"/>
      <sheetName val="Frameworks_comparison_2_1_2_2"/>
      <sheetName val="Figures_3_1_3_2"/>
      <sheetName val="Table_3_1"/>
      <sheetName val="3_1_Inflation_expectations"/>
      <sheetName val="3_2_Taylor_rules"/>
      <sheetName val="3_3_UK_Taylor_rule"/>
      <sheetName val="Chart_3_4"/>
      <sheetName val="3_5_10_years_ahead"/>
      <sheetName val="3_6_M3_growth"/>
      <sheetName val="Box_D_Red_triangle"/>
      <sheetName val="Figure_4_1_UK_fiscal_fwork"/>
      <sheetName val="Table_4_1"/>
      <sheetName val="Box_D_table"/>
      <sheetName val="4_1_UK"/>
      <sheetName val="4_3_and_4_4"/>
      <sheetName val="4_5_deficit_and_interest_rate"/>
      <sheetName val="4_6_ten_year_bonds"/>
      <sheetName val="5_1_share_of_gdp"/>
      <sheetName val="Figure_6_1"/>
      <sheetName val="Table_6_1_Bank_Supervisors"/>
      <sheetName val="Figure_1_11"/>
      <sheetName val="Frameworks_comparison_2_1_2_21"/>
      <sheetName val="Figures_3_1_3_21"/>
      <sheetName val="Table_3_11"/>
      <sheetName val="3_1_Inflation_expectations1"/>
      <sheetName val="3_2_Taylor_rules1"/>
      <sheetName val="3_3_UK_Taylor_rule1"/>
      <sheetName val="Chart_3_41"/>
      <sheetName val="3_5_10_years_ahead1"/>
      <sheetName val="3_6_M3_growth1"/>
      <sheetName val="Box_D_Red_triangle1"/>
      <sheetName val="Figure_4_1_UK_fiscal_fwork1"/>
      <sheetName val="Table_4_11"/>
      <sheetName val="Box_D_table1"/>
      <sheetName val="4_1_UK1"/>
      <sheetName val="4_3_and_4_41"/>
      <sheetName val="4_5_deficit_and_interest_rate1"/>
      <sheetName val="4_6_ten_year_bonds1"/>
      <sheetName val="5_1_share_of_gdp1"/>
      <sheetName val="Figure_6_11"/>
      <sheetName val="Table_6_1_Bank_Supervisors1"/>
      <sheetName val="Figure_1_12"/>
      <sheetName val="Frameworks_comparison_2_1_2_22"/>
      <sheetName val="Figures_3_1_3_22"/>
      <sheetName val="Table_3_12"/>
      <sheetName val="3_1_Inflation_expectations2"/>
      <sheetName val="3_2_Taylor_rules2"/>
      <sheetName val="3_3_UK_Taylor_rule2"/>
      <sheetName val="Chart_3_42"/>
      <sheetName val="3_5_10_years_ahead2"/>
      <sheetName val="3_6_M3_growth2"/>
      <sheetName val="Box_D_Red_triangle2"/>
      <sheetName val="Figure_4_1_UK_fiscal_fwork2"/>
      <sheetName val="Table_4_12"/>
      <sheetName val="Box_D_table2"/>
      <sheetName val="4_1_UK2"/>
      <sheetName val="4_3_and_4_42"/>
      <sheetName val="4_5_deficit_and_interest_rate2"/>
      <sheetName val="4_6_ten_year_bonds2"/>
      <sheetName val="5_1_share_of_gdp2"/>
      <sheetName val="Figure_6_12"/>
      <sheetName val="Table_6_1_Bank_Supervisors2"/>
      <sheetName val="USGC"/>
      <sheetName val="Carbon Price Floor"/>
      <sheetName val="Baseline results"/>
      <sheetName val="DECC Summary"/>
      <sheetName val="Figure_1_13"/>
      <sheetName val="Frameworks_comparison_2_1_2_23"/>
      <sheetName val="Figures_3_1_3_23"/>
      <sheetName val="Table_3_13"/>
      <sheetName val="3_1_Inflation_expectations3"/>
      <sheetName val="3_2_Taylor_rules3"/>
      <sheetName val="3_3_UK_Taylor_rule3"/>
      <sheetName val="Chart_3_43"/>
      <sheetName val="3_5_10_years_ahead3"/>
      <sheetName val="3_6_M3_growth3"/>
      <sheetName val="Box_D_Red_triangle3"/>
      <sheetName val="Figure_4_1_UK_fiscal_fwork3"/>
      <sheetName val="Table_4_13"/>
      <sheetName val="Box_D_table3"/>
      <sheetName val="4_1_UK3"/>
      <sheetName val="4_3_and_4_43"/>
      <sheetName val="4_5_deficit_and_interest_rate3"/>
      <sheetName val="4_6_ten_year_bonds3"/>
      <sheetName val="5_1_share_of_gdp3"/>
      <sheetName val="Figure_6_13"/>
      <sheetName val="Table_6_1_Bank_Supervisors3"/>
      <sheetName val="Carbon_Price_Floor"/>
      <sheetName val="Baseline_results"/>
      <sheetName val="DECC_Summary"/>
      <sheetName val="Figure_1_14"/>
      <sheetName val="Frameworks_comparison_2_1_2_24"/>
      <sheetName val="Figures_3_1_3_24"/>
      <sheetName val="Table_3_14"/>
      <sheetName val="3_1_Inflation_expectations4"/>
      <sheetName val="3_2_Taylor_rules4"/>
      <sheetName val="3_3_UK_Taylor_rule4"/>
      <sheetName val="Chart_3_44"/>
      <sheetName val="3_5_10_years_ahead4"/>
      <sheetName val="3_6_M3_growth4"/>
      <sheetName val="Box_D_Red_triangle4"/>
      <sheetName val="Figure_4_1_UK_fiscal_fwork4"/>
      <sheetName val="Table_4_14"/>
      <sheetName val="Box_D_table4"/>
      <sheetName val="4_1_UK4"/>
      <sheetName val="4_3_and_4_44"/>
      <sheetName val="4_5_deficit_and_interest_rate4"/>
      <sheetName val="4_6_ten_year_bonds4"/>
      <sheetName val="5_1_share_of_gdp4"/>
      <sheetName val="Figure_6_14"/>
      <sheetName val="Table_6_1_Bank_Supervisors4"/>
      <sheetName val="Carbon_Price_Floor1"/>
      <sheetName val="Baseline_results1"/>
      <sheetName val="DECC_Summary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row r="4">
          <cell r="A4">
            <v>35877</v>
          </cell>
          <cell r="D4">
            <v>33091</v>
          </cell>
          <cell r="G4">
            <v>33092</v>
          </cell>
          <cell r="J4">
            <v>33973</v>
          </cell>
          <cell r="M4">
            <v>34096</v>
          </cell>
        </row>
      </sheetData>
      <sheetData sheetId="18" refreshError="1"/>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ow r="4">
          <cell r="A4">
            <v>35877</v>
          </cell>
        </row>
      </sheetData>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ow r="4">
          <cell r="A4">
            <v>35877</v>
          </cell>
        </row>
      </sheetData>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row r="4">
          <cell r="A4">
            <v>35877</v>
          </cell>
        </row>
      </sheetData>
      <sheetData sheetId="82"/>
      <sheetData sheetId="83"/>
      <sheetData sheetId="84"/>
      <sheetData sheetId="85" refreshError="1"/>
      <sheetData sheetId="86" refreshError="1"/>
      <sheetData sheetId="87" refreshError="1"/>
      <sheetData sheetId="88" refreshError="1"/>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row r="4">
          <cell r="A4">
            <v>35877</v>
          </cell>
        </row>
      </sheetData>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row r="4">
          <cell r="A4">
            <v>35877</v>
          </cell>
        </row>
      </sheetData>
      <sheetData sheetId="131"/>
      <sheetData sheetId="132"/>
      <sheetData sheetId="133"/>
      <sheetData sheetId="134"/>
      <sheetData sheetId="135"/>
      <sheetData sheetId="13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panel"/>
      <sheetName val="Outcomes &gt;&gt;&gt;"/>
      <sheetName val="Post-2030"/>
      <sheetName val="Summary outcomes"/>
      <sheetName val="Macro outcomes &gt;&gt;&gt;"/>
      <sheetName val="Total GVA breakdown"/>
      <sheetName val="Growth by country"/>
      <sheetName val="Growth by industry"/>
      <sheetName val="GVA by country"/>
      <sheetName val="GVA by industry"/>
      <sheetName val="Additional GVA breakdown"/>
      <sheetName val="GVA breakdown over time"/>
      <sheetName val="Comparison to ICT"/>
      <sheetName val="Micro outcomes &gt;&gt;&gt;"/>
      <sheetName val="Profitability increase"/>
      <sheetName val="Profitability"/>
      <sheetName val="Pre-tax pre-dep by country"/>
      <sheetName val="Pre-tax pre-dep by industry"/>
      <sheetName val="% increases pre-tax pre-dep"/>
      <sheetName val="Calculations &gt;&gt;&gt;"/>
      <sheetName val="Breakdown"/>
      <sheetName val="AI calc"/>
      <sheetName val="TFP calc"/>
      <sheetName val="New TFP calculation"/>
      <sheetName val="IDC investment"/>
      <sheetName val="Growth 2025 TFP"/>
      <sheetName val="Baseline"/>
      <sheetName val="Growth 2030 TFP"/>
      <sheetName val="Growth 2025 no TFP"/>
      <sheetName val="Growth 2030 no TFP"/>
      <sheetName val="Labour over time"/>
      <sheetName val="Capital over time"/>
      <sheetName val="AI over time"/>
      <sheetName val="Augmentable labour"/>
      <sheetName val="Additional growth"/>
      <sheetName val="TFP over time"/>
      <sheetName val="Profit calc"/>
      <sheetName val="TFP growth"/>
      <sheetName val="VA shares"/>
      <sheetName val="Data inputs &gt;&gt;&gt;"/>
      <sheetName val="Historical_growth"/>
      <sheetName val="KLEMS"/>
      <sheetName val="TED"/>
      <sheetName val="Oxford_GDP_forecasts_2015"/>
      <sheetName val="Oxford_GDP_forecasts_2019"/>
      <sheetName val="Tech absorption"/>
      <sheetName val="Estimates - productivity"/>
      <sheetName val="firm_sizes"/>
      <sheetName val="deflator post tax"/>
      <sheetName val="deflator pre tax"/>
      <sheetName val="US GDP deflator"/>
      <sheetName val="Enhanced labour"/>
      <sheetName val="GVA deflators"/>
      <sheetName val="Oxford_GDP_new countries"/>
      <sheetName val="equation"/>
      <sheetName val="drop_down"/>
    </sheetNames>
    <sheetDataSet>
      <sheetData sheetId="0"/>
      <sheetData sheetId="1"/>
      <sheetData sheetId="2"/>
      <sheetData sheetId="3"/>
      <sheetData sheetId="4"/>
      <sheetData sheetId="5"/>
      <sheetData sheetId="6" refreshError="1"/>
      <sheetData sheetId="7" refreshError="1"/>
      <sheetData sheetId="8" refreshError="1"/>
      <sheetData sheetId="9" refreshError="1"/>
      <sheetData sheetId="10"/>
      <sheetData sheetId="11"/>
      <sheetData sheetId="12" refreshError="1"/>
      <sheetData sheetId="13"/>
      <sheetData sheetId="14" refreshError="1"/>
      <sheetData sheetId="15"/>
      <sheetData sheetId="16" refreshError="1"/>
      <sheetData sheetId="17" refreshError="1"/>
      <sheetData sheetId="18" refreshError="1"/>
      <sheetData sheetId="19"/>
      <sheetData sheetId="20">
        <row r="4">
          <cell r="B4" t="str">
            <v>France</v>
          </cell>
        </row>
        <row r="5">
          <cell r="B5" t="str">
            <v>Germany</v>
          </cell>
        </row>
        <row r="6">
          <cell r="B6" t="str">
            <v>Japan</v>
          </cell>
        </row>
        <row r="7">
          <cell r="B7" t="str">
            <v>Spain</v>
          </cell>
        </row>
        <row r="8">
          <cell r="B8" t="str">
            <v>United Kingdom</v>
          </cell>
        </row>
        <row r="9">
          <cell r="B9" t="str">
            <v>United States</v>
          </cell>
        </row>
        <row r="10">
          <cell r="B10" t="str">
            <v>Australia</v>
          </cell>
        </row>
        <row r="11">
          <cell r="B11" t="str">
            <v>China</v>
          </cell>
        </row>
        <row r="12">
          <cell r="B12" t="str">
            <v>India</v>
          </cell>
        </row>
        <row r="13">
          <cell r="B13" t="str">
            <v>Indonesia</v>
          </cell>
        </row>
        <row r="14">
          <cell r="B14" t="str">
            <v>Singapore</v>
          </cell>
        </row>
        <row r="15">
          <cell r="B15" t="str">
            <v>Switzerland</v>
          </cell>
        </row>
      </sheetData>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ow r="4">
          <cell r="B4" t="str">
            <v>A. Agriculture, forestry and fishing</v>
          </cell>
        </row>
        <row r="5">
          <cell r="B5" t="str">
            <v>C. Manufacturing</v>
          </cell>
        </row>
        <row r="6">
          <cell r="B6" t="str">
            <v>D-E. Utilities</v>
          </cell>
        </row>
        <row r="7">
          <cell r="B7" t="str">
            <v>F. Construction</v>
          </cell>
        </row>
        <row r="8">
          <cell r="B8" t="str">
            <v>G. Wholesale and retail trade; repair of motor vehicles and motorcycles</v>
          </cell>
        </row>
        <row r="9">
          <cell r="B9" t="str">
            <v>H. Transportation and storage</v>
          </cell>
        </row>
        <row r="10">
          <cell r="B10" t="str">
            <v>I. Accommodation and food service activities</v>
          </cell>
        </row>
        <row r="11">
          <cell r="B11" t="str">
            <v>J. Information and communication</v>
          </cell>
        </row>
        <row r="12">
          <cell r="B12" t="str">
            <v>K. Financial and insurance activities</v>
          </cell>
        </row>
        <row r="13">
          <cell r="B13" t="str">
            <v>M-N. Professional and administrative activities</v>
          </cell>
        </row>
        <row r="14">
          <cell r="B14" t="str">
            <v>O. Public administration and defence; compulsory social security</v>
          </cell>
        </row>
        <row r="15">
          <cell r="B15" t="str">
            <v>P. Education</v>
          </cell>
        </row>
        <row r="16">
          <cell r="B16" t="str">
            <v>Q. Human health and social work activities</v>
          </cell>
        </row>
        <row r="17">
          <cell r="B17" t="str">
            <v>R. Arts, entertainment and recreation</v>
          </cell>
        </row>
        <row r="18">
          <cell r="B18" t="str">
            <v>S. Other service activities</v>
          </cell>
        </row>
      </sheetData>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row r="11">
          <cell r="C11" t="str">
            <v>Yes</v>
          </cell>
        </row>
        <row r="12">
          <cell r="C12" t="str">
            <v>No</v>
          </cell>
        </row>
        <row r="16">
          <cell r="C16">
            <v>2025</v>
          </cell>
        </row>
        <row r="17">
          <cell r="C17">
            <v>2030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 sheet"/>
      <sheetName val="Model content"/>
      <sheetName val="User manual"/>
      <sheetName val="User inputs &gt;&gt;"/>
      <sheetName val="Parameters from Ofgem"/>
      <sheetName val="Parameters from NC"/>
      <sheetName val="Raw data update by user &gt;&gt; "/>
      <sheetName val=" RPI"/>
      <sheetName val="Actual SONIA"/>
      <sheetName val="Forecast SONIA"/>
      <sheetName val="Outputs &gt;&gt;"/>
      <sheetName val="Key terms"/>
      <sheetName val=" ICF &amp; OTSEBED calcs &gt;&gt;"/>
      <sheetName val="ICF"/>
      <sheetName val="OTSEBED"/>
      <sheetName val="CAFN or CAFA "/>
      <sheetName val="PTA"/>
      <sheetName val="RTSN or RTSA"/>
      <sheetName val="TRU"/>
      <sheetName val="Intermediate calcs &gt;&gt;"/>
      <sheetName val="Assessed Revenue"/>
      <sheetName val="Cap and Floor"/>
      <sheetName val="AIC&amp;AIF"/>
      <sheetName val="PYC&amp;PYF"/>
      <sheetName val="CAPOTSN&amp;CAPOTSA"/>
      <sheetName val="RPI consolidated"/>
      <sheetName val="SONIA adjustments"/>
      <sheetName val="Raw data &gt;&gt;"/>
      <sheetName val="Historical_RPI"/>
      <sheetName val="Historical_SONIA"/>
      <sheetName val="Historical_forecast_SONIA"/>
      <sheetName val="Historical_past performance"/>
      <sheetName val="Help cells"/>
      <sheetName val="Performance log"/>
    </sheetNames>
    <sheetDataSet>
      <sheetData sheetId="0"/>
      <sheetData sheetId="1"/>
      <sheetData sheetId="2"/>
      <sheetData sheetId="3"/>
      <sheetData sheetId="4"/>
      <sheetData sheetId="5">
        <row r="5">
          <cell r="C5" t="str">
            <v>2026/2027</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T 09"/>
      <sheetName val="Charts"/>
      <sheetName val="Scenarios"/>
      <sheetName val="Projections"/>
      <sheetName val="Calculation"/>
      <sheetName val="Latest"/>
      <sheetName val="Latest check"/>
      <sheetName val="PSF"/>
      <sheetName val="Nom. Input"/>
      <sheetName val="Profiles"/>
      <sheetName val="Population"/>
      <sheetName val="Social sec &amp; TC"/>
      <sheetName val="Pub.sec.pensions"/>
      <sheetName val="Health"/>
      <sheetName val="Death"/>
      <sheetName val="Education"/>
      <sheetName val="TREND"/>
      <sheetName val="RESULT 10"/>
      <sheetName val="Determinants"/>
      <sheetName val="AYLs re-forecast benefits +CPS "/>
      <sheetName val="Re-forecast benefits"/>
      <sheetName val="4.6 ten year bonds"/>
      <sheetName val="RESULT_09"/>
      <sheetName val="Latest_check"/>
      <sheetName val="Nom__Input"/>
      <sheetName val="Social_sec_&amp;_TC"/>
      <sheetName val="Pub_sec_pensions"/>
      <sheetName val="RESULT_10"/>
      <sheetName val="AYLs_re-forecast_benefits_+CPS_"/>
      <sheetName val="Re-forecast_benefits"/>
      <sheetName val="4_6_ten_year_bond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K99"/>
      <sheetName val="PSF"/>
      <sheetName val="QsYs"/>
      <sheetName val="Dis master"/>
      <sheetName val="Ranges"/>
      <sheetName val="Dis_master1"/>
      <sheetName val="Population"/>
      <sheetName val="A2_Log"/>
      <sheetName val="headroom"/>
      <sheetName val="Price x Volume Calcs"/>
      <sheetName val="C_TOC Capex"/>
      <sheetName val="C_Working Cap"/>
      <sheetName val="C_Funding"/>
      <sheetName val="I_Calcs"/>
      <sheetName val="Financial Calcs"/>
      <sheetName val="Indices &amp; Rates"/>
      <sheetName val="D8_Lockup_calc"/>
      <sheetName val="A5_User Manual &amp; Ass"/>
      <sheetName val="Template Control"/>
      <sheetName val="B3 _Ass Yr-Yr"/>
      <sheetName val="Price &amp; Volume Tabl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átula"/>
      <sheetName val="Descripción"/>
      <sheetName val="Resultados &gt;&gt;"/>
      <sheetName val="Prueba Banda Ancha"/>
      <sheetName val="Costo incremental promociones"/>
      <sheetName val="Resultados intermedios &gt;&gt;"/>
      <sheetName val="Ingresos minoristas"/>
      <sheetName val="Pagos mayoristas"/>
      <sheetName val="Costos aguas abajo"/>
      <sheetName val="Cálculos intermedios &gt;&gt;"/>
      <sheetName val="Ingresos&gt;&gt;&gt;"/>
      <sheetName val="Ingresos"/>
      <sheetName val="Costos servicios mayoristas &gt;&gt;"/>
      <sheetName val="Dim. costos Desagregacion"/>
      <sheetName val="Costos Entrega SAIB"/>
      <sheetName val="Dim. MSAN-cobre"/>
      <sheetName val="Costos aguas abajo &gt;&gt;"/>
      <sheetName val="Costos aguas abajo mensuales"/>
      <sheetName val="Dim. costos SAIB"/>
      <sheetName val="Costos aguas abajo de la oferta"/>
      <sheetName val="Costos mensualizados ajustados"/>
      <sheetName val="Costos aguas abajo - Bottom-up"/>
      <sheetName val="Requerimiento de información &gt;&gt;"/>
      <sheetName val="Información del AEP"/>
      <sheetName val="Información de costos del AEP"/>
      <sheetName val="Información de la oferta"/>
      <sheetName val="Usuarios con promoción"/>
      <sheetName val="Cargos de terminación"/>
      <sheetName val="OREDA"/>
      <sheetName val="Supuestos &gt;&gt; "/>
      <sheetName val="Supuestos"/>
      <sheetName val="Servicios mayoristas"/>
      <sheetName val="Modelo bottom-up &gt;&gt;  "/>
      <sheetName val="SCyD - LRAIC+"/>
      <sheetName val="SCyD LRAIC+ por Mbps"/>
      <sheetName val="Matriz de asignación de costos"/>
      <sheetName val="S"/>
      <sheetName val="SCyD Distribución"/>
      <sheetName val="SAIB IntegradoCaso I"/>
      <sheetName val="SAIB Caso II recurrentes"/>
      <sheetName val="Insumos prueba agregada&gt;&gt;&gt;"/>
      <sheetName val="Resultados (Agregad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2">
          <cell r="K12">
            <v>378080.27090487629</v>
          </cell>
        </row>
        <row r="13">
          <cell r="K13">
            <v>198219.22245414183</v>
          </cell>
        </row>
      </sheetData>
      <sheetData sheetId="34"/>
      <sheetData sheetId="35"/>
      <sheetData sheetId="36"/>
      <sheetData sheetId="37"/>
      <sheetData sheetId="38"/>
      <sheetData sheetId="39"/>
      <sheetData sheetId="40"/>
      <sheetData sheetId="41"/>
    </sheetDataSet>
  </externalBook>
</externalLink>
</file>

<file path=xl/theme/theme1.xml><?xml version="1.0" encoding="utf-8"?>
<a:theme xmlns:a="http://schemas.openxmlformats.org/drawingml/2006/main" name="Office Theme">
  <a:themeElements>
    <a:clrScheme name="Frontier">
      <a:dk1>
        <a:srgbClr val="37424A"/>
      </a:dk1>
      <a:lt1>
        <a:sysClr val="window" lastClr="FFFFFF"/>
      </a:lt1>
      <a:dk2>
        <a:srgbClr val="707276"/>
      </a:dk2>
      <a:lt2>
        <a:srgbClr val="D1DBD2"/>
      </a:lt2>
      <a:accent1>
        <a:srgbClr val="E83F35"/>
      </a:accent1>
      <a:accent2>
        <a:srgbClr val="8DD0D2"/>
      </a:accent2>
      <a:accent3>
        <a:srgbClr val="007B87"/>
      </a:accent3>
      <a:accent4>
        <a:srgbClr val="EBC000"/>
      </a:accent4>
      <a:accent5>
        <a:srgbClr val="683C5B"/>
      </a:accent5>
      <a:accent6>
        <a:srgbClr val="8BB96A"/>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dof.gob.mx/nota_detalle.php?codigo=5605085&amp;fecha=17/11/2020"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2BADC-D042-4055-B314-3785C46456C4}">
  <sheetPr codeName="Sheet3">
    <tabColor theme="3"/>
  </sheetPr>
  <dimension ref="A1:H57"/>
  <sheetViews>
    <sheetView showGridLines="0" tabSelected="1" zoomScaleNormal="100" workbookViewId="0"/>
  </sheetViews>
  <sheetFormatPr baseColWidth="10" defaultColWidth="8.7109375" defaultRowHeight="12.75" x14ac:dyDescent="0.2"/>
  <cols>
    <col min="1" max="1" width="5.7109375" customWidth="1"/>
    <col min="3" max="3" width="34.42578125" customWidth="1"/>
    <col min="4" max="4" width="82" customWidth="1"/>
    <col min="5" max="5" width="22" customWidth="1"/>
  </cols>
  <sheetData>
    <row r="1" spans="1:8" s="1" customFormat="1" ht="20.25" x14ac:dyDescent="0.3">
      <c r="B1" s="1" t="s">
        <v>4</v>
      </c>
    </row>
    <row r="3" spans="1:8" ht="31.15" customHeight="1" x14ac:dyDescent="0.2">
      <c r="C3" s="488"/>
      <c r="D3" s="488"/>
      <c r="E3" s="39"/>
      <c r="F3" s="39"/>
      <c r="G3" s="39"/>
      <c r="H3" s="39"/>
    </row>
    <row r="5" spans="1:8" s="2" customFormat="1" ht="15" customHeight="1" thickBot="1" x14ac:dyDescent="0.3">
      <c r="A5" s="2">
        <v>1</v>
      </c>
      <c r="B5" s="2" t="s">
        <v>45</v>
      </c>
    </row>
    <row r="6" spans="1:8" ht="13.5" thickTop="1" x14ac:dyDescent="0.2"/>
    <row r="7" spans="1:8" ht="13.15" customHeight="1" x14ac:dyDescent="0.2">
      <c r="C7" s="29" t="s">
        <v>5</v>
      </c>
      <c r="D7" s="29" t="s">
        <v>6</v>
      </c>
    </row>
    <row r="9" spans="1:8" ht="20.100000000000001" customHeight="1" x14ac:dyDescent="0.2">
      <c r="C9" s="323" t="s">
        <v>11</v>
      </c>
    </row>
    <row r="10" spans="1:8" ht="20.100000000000001" customHeight="1" x14ac:dyDescent="0.2">
      <c r="C10" s="324" t="s">
        <v>132</v>
      </c>
      <c r="D10" s="32" t="s">
        <v>17</v>
      </c>
    </row>
    <row r="11" spans="1:8" ht="20.100000000000001" customHeight="1" x14ac:dyDescent="0.2">
      <c r="C11" s="325" t="s">
        <v>134</v>
      </c>
      <c r="D11" s="32"/>
    </row>
    <row r="12" spans="1:8" ht="20.100000000000001" customHeight="1" x14ac:dyDescent="0.2">
      <c r="C12" s="326" t="s">
        <v>130</v>
      </c>
      <c r="D12" s="32" t="s">
        <v>22</v>
      </c>
    </row>
    <row r="13" spans="1:8" ht="20.100000000000001" customHeight="1" x14ac:dyDescent="0.2">
      <c r="C13" s="326" t="s">
        <v>16</v>
      </c>
      <c r="D13" s="32" t="s">
        <v>133</v>
      </c>
    </row>
    <row r="14" spans="1:8" ht="20.100000000000001" customHeight="1" x14ac:dyDescent="0.2">
      <c r="C14" s="327" t="s">
        <v>12</v>
      </c>
      <c r="D14" s="32"/>
    </row>
    <row r="15" spans="1:8" ht="20.100000000000001" customHeight="1" x14ac:dyDescent="0.2">
      <c r="C15" s="328" t="s">
        <v>2</v>
      </c>
      <c r="D15" s="32" t="s">
        <v>21</v>
      </c>
    </row>
    <row r="16" spans="1:8" ht="20.100000000000001" customHeight="1" x14ac:dyDescent="0.2">
      <c r="C16" s="328" t="s">
        <v>3</v>
      </c>
      <c r="D16" s="32" t="s">
        <v>23</v>
      </c>
    </row>
    <row r="17" spans="1:5" ht="20.100000000000001" customHeight="1" x14ac:dyDescent="0.2">
      <c r="C17" s="329" t="s">
        <v>13</v>
      </c>
      <c r="D17" s="32"/>
    </row>
    <row r="18" spans="1:5" ht="20.100000000000001" customHeight="1" x14ac:dyDescent="0.2">
      <c r="C18" s="330" t="s">
        <v>18</v>
      </c>
      <c r="D18" s="32" t="s">
        <v>19</v>
      </c>
    </row>
    <row r="19" spans="1:5" ht="20.100000000000001" customHeight="1" x14ac:dyDescent="0.2">
      <c r="C19" s="330" t="s">
        <v>155</v>
      </c>
      <c r="D19" s="32" t="s">
        <v>248</v>
      </c>
    </row>
    <row r="20" spans="1:5" ht="20.100000000000001" customHeight="1" x14ac:dyDescent="0.2">
      <c r="C20" s="331" t="s">
        <v>245</v>
      </c>
      <c r="D20" s="32"/>
    </row>
    <row r="21" spans="1:5" ht="27" customHeight="1" x14ac:dyDescent="0.2">
      <c r="C21" s="332" t="s">
        <v>110</v>
      </c>
      <c r="D21" s="32" t="s">
        <v>247</v>
      </c>
    </row>
    <row r="22" spans="1:5" ht="41.25" customHeight="1" x14ac:dyDescent="0.2">
      <c r="C22" s="332" t="s">
        <v>272</v>
      </c>
      <c r="D22" s="32" t="s">
        <v>273</v>
      </c>
    </row>
    <row r="23" spans="1:5" ht="27" customHeight="1" x14ac:dyDescent="0.2">
      <c r="C23" s="332" t="s">
        <v>257</v>
      </c>
      <c r="D23" s="32" t="s">
        <v>244</v>
      </c>
    </row>
    <row r="24" spans="1:5" ht="20.100000000000001" customHeight="1" x14ac:dyDescent="0.2">
      <c r="C24" s="334" t="s">
        <v>14</v>
      </c>
      <c r="D24" s="32" t="s">
        <v>20</v>
      </c>
    </row>
    <row r="25" spans="1:5" x14ac:dyDescent="0.2">
      <c r="C25" s="333" t="s">
        <v>193</v>
      </c>
      <c r="D25" s="322" t="s">
        <v>246</v>
      </c>
    </row>
    <row r="27" spans="1:5" s="2" customFormat="1" ht="15" customHeight="1" thickBot="1" x14ac:dyDescent="0.3">
      <c r="A27" s="2">
        <v>2</v>
      </c>
      <c r="B27" s="2" t="s">
        <v>44</v>
      </c>
    </row>
    <row r="28" spans="1:5" ht="13.5" thickTop="1" x14ac:dyDescent="0.2"/>
    <row r="30" spans="1:5" ht="17.100000000000001" customHeight="1" x14ac:dyDescent="0.2">
      <c r="C30" s="33" t="s">
        <v>47</v>
      </c>
      <c r="D30" s="318" t="s">
        <v>51</v>
      </c>
      <c r="E30" s="30"/>
    </row>
    <row r="31" spans="1:5" ht="17.100000000000001" customHeight="1" x14ac:dyDescent="0.2">
      <c r="C31" s="34" t="s">
        <v>46</v>
      </c>
      <c r="D31" s="43" t="s">
        <v>53</v>
      </c>
      <c r="E31" s="30"/>
    </row>
    <row r="32" spans="1:5" ht="17.100000000000001" customHeight="1" x14ac:dyDescent="0.2">
      <c r="C32" s="158" t="s">
        <v>49</v>
      </c>
      <c r="D32" s="42" t="s">
        <v>55</v>
      </c>
      <c r="E32" s="30"/>
    </row>
    <row r="33" spans="1:5" ht="17.100000000000001" customHeight="1" x14ac:dyDescent="0.2">
      <c r="C33" s="35" t="s">
        <v>48</v>
      </c>
      <c r="D33" s="42" t="s">
        <v>56</v>
      </c>
      <c r="E33" s="30"/>
    </row>
    <row r="34" spans="1:5" ht="17.100000000000001" customHeight="1" x14ac:dyDescent="0.2">
      <c r="C34" s="38" t="s">
        <v>52</v>
      </c>
      <c r="D34" s="42" t="s">
        <v>57</v>
      </c>
      <c r="E34" s="30"/>
    </row>
    <row r="35" spans="1:5" ht="17.100000000000001" customHeight="1" x14ac:dyDescent="0.2">
      <c r="C35" s="36" t="s">
        <v>14</v>
      </c>
      <c r="D35" s="42" t="s">
        <v>54</v>
      </c>
      <c r="E35" s="30"/>
    </row>
    <row r="36" spans="1:5" ht="17.100000000000001" customHeight="1" x14ac:dyDescent="0.2">
      <c r="C36" s="37" t="s">
        <v>50</v>
      </c>
      <c r="D36" s="42" t="s">
        <v>58</v>
      </c>
      <c r="E36" s="30"/>
    </row>
    <row r="37" spans="1:5" ht="17.100000000000001" customHeight="1" x14ac:dyDescent="0.2">
      <c r="C37" s="112" t="s">
        <v>11</v>
      </c>
      <c r="D37" s="42" t="s">
        <v>59</v>
      </c>
      <c r="E37" s="31"/>
    </row>
    <row r="39" spans="1:5" s="2" customFormat="1" ht="15" customHeight="1" thickBot="1" x14ac:dyDescent="0.3">
      <c r="A39" s="2">
        <v>3</v>
      </c>
      <c r="B39" s="2" t="s">
        <v>135</v>
      </c>
    </row>
    <row r="40" spans="1:5" ht="13.5" thickTop="1" x14ac:dyDescent="0.2"/>
    <row r="41" spans="1:5" s="19" customFormat="1" x14ac:dyDescent="0.2">
      <c r="A41" s="19">
        <v>3.1</v>
      </c>
      <c r="B41" s="19" t="s">
        <v>148</v>
      </c>
    </row>
    <row r="43" spans="1:5" ht="20.100000000000001" customHeight="1" x14ac:dyDescent="0.2">
      <c r="C43" s="103" t="s">
        <v>137</v>
      </c>
    </row>
    <row r="45" spans="1:5" x14ac:dyDescent="0.2">
      <c r="A45" s="19">
        <v>3.2</v>
      </c>
      <c r="B45" s="19" t="s">
        <v>103</v>
      </c>
    </row>
    <row r="46" spans="1:5" x14ac:dyDescent="0.2">
      <c r="B46" s="18"/>
    </row>
    <row r="47" spans="1:5" ht="20.100000000000001" customHeight="1" x14ac:dyDescent="0.2">
      <c r="C47" s="335" t="s">
        <v>104</v>
      </c>
    </row>
    <row r="48" spans="1:5" s="73" customFormat="1" x14ac:dyDescent="0.2">
      <c r="B48" s="74"/>
    </row>
    <row r="49" spans="1:6" ht="15.6" customHeight="1" x14ac:dyDescent="0.2">
      <c r="B49" s="336" t="s">
        <v>136</v>
      </c>
      <c r="C49" s="337" t="s">
        <v>105</v>
      </c>
      <c r="D49" s="337"/>
      <c r="E49" s="337"/>
      <c r="F49" s="338"/>
    </row>
    <row r="50" spans="1:6" x14ac:dyDescent="0.2">
      <c r="B50" s="339" t="s">
        <v>136</v>
      </c>
      <c r="C50" s="340" t="s">
        <v>106</v>
      </c>
      <c r="D50" s="340"/>
      <c r="E50" s="340"/>
      <c r="F50" s="341"/>
    </row>
    <row r="51" spans="1:6" x14ac:dyDescent="0.2">
      <c r="B51" s="339" t="s">
        <v>136</v>
      </c>
      <c r="C51" s="340" t="s">
        <v>107</v>
      </c>
      <c r="D51" s="340"/>
      <c r="E51" s="340"/>
      <c r="F51" s="341"/>
    </row>
    <row r="52" spans="1:6" x14ac:dyDescent="0.2">
      <c r="B52" s="342" t="s">
        <v>136</v>
      </c>
      <c r="C52" s="343" t="s">
        <v>252</v>
      </c>
      <c r="D52" s="343"/>
      <c r="E52" s="343"/>
      <c r="F52" s="344"/>
    </row>
    <row r="54" spans="1:6" s="2" customFormat="1" ht="15" customHeight="1" thickBot="1" x14ac:dyDescent="0.3">
      <c r="A54" s="2">
        <v>4</v>
      </c>
      <c r="B54" s="2" t="s">
        <v>1</v>
      </c>
    </row>
    <row r="55" spans="1:6" ht="13.5" thickTop="1" x14ac:dyDescent="0.2"/>
    <row r="56" spans="1:6" ht="28.5" customHeight="1" x14ac:dyDescent="0.2">
      <c r="B56" s="345">
        <v>1</v>
      </c>
      <c r="C56" s="489" t="s">
        <v>328</v>
      </c>
      <c r="D56" s="490"/>
    </row>
    <row r="57" spans="1:6" ht="15" customHeight="1" x14ac:dyDescent="0.2">
      <c r="B57" s="346">
        <v>2</v>
      </c>
      <c r="C57" s="347" t="s">
        <v>60</v>
      </c>
      <c r="D57" s="344"/>
    </row>
  </sheetData>
  <mergeCells count="2">
    <mergeCell ref="C3:D3"/>
    <mergeCell ref="C56:D56"/>
  </mergeCells>
  <hyperlinks>
    <hyperlink ref="C9" location="'Resultados &gt;&gt;'!A1" display="Resultados" xr:uid="{B5054F0C-D202-4CEB-AE5E-4E32D2D52DC1}"/>
    <hyperlink ref="C12" location="Descripción!A1" display="Ingresos minoristas" xr:uid="{516587DA-E975-4C3A-B7DE-978D203F5D0C}"/>
    <hyperlink ref="C13" location="Costos!A1" display="Costos" xr:uid="{608F3E45-7D6F-4C1D-A958-0DBC0FDF7F14}"/>
    <hyperlink ref="C14" location="'Cálculos intermedios &gt;&gt;'!A1" display="Cálculos intermedios" xr:uid="{D6C78D7B-6733-4ED4-B5EA-3F2F5BA00B83}"/>
    <hyperlink ref="C15" location="'Pagos mayoristas'!A1" display="Pagos mayoristas" xr:uid="{C7CCA713-E704-4824-8C94-861A02BF2387}"/>
    <hyperlink ref="C16" location="'Costos aguas abajo'!A1" display="Costos aguas abajo" xr:uid="{811D96C6-1DFA-4B5D-8F8C-2D0278A6F921}"/>
    <hyperlink ref="C17" location="'Requerimiento de información &gt;&gt;'!A1" display="Requerimientos de información" xr:uid="{10DB1D14-9604-4B5C-9893-967DF68BDA96}"/>
    <hyperlink ref="C24" location="Supuestos!A1" display="Supuestos" xr:uid="{98CCED35-C217-4403-AFF6-DE9327B71EA6}"/>
    <hyperlink ref="C18" location="'Informacion del AEP'!A1" display="Informacion del AEP" xr:uid="{DCC4D93B-3AF5-486A-B715-E13CC3111488}"/>
    <hyperlink ref="C47" location="'Precio Mayorista'!A1" display="Ir a Precios mayoristas &gt;&gt;" xr:uid="{B23DCBE7-ACBC-414B-81EC-608F04B38789}"/>
    <hyperlink ref="C11" location="Descripción!A1" display="Resultados intermedios" xr:uid="{F2AF85C7-411D-48E2-96DF-197F4ACB868F}"/>
    <hyperlink ref="C43" location="Supuestos!A1" display="Ir a Supuestos &gt;&gt;" xr:uid="{53356266-7D7A-4988-A79F-0A7C8ADD3FE9}"/>
    <hyperlink ref="C19" location="'Ofertas insignia'!A1" display="Ofertas insignia" xr:uid="{9FF0C3C2-DED0-4DB1-95B9-79D6C834743F}"/>
    <hyperlink ref="C20" location="'Oferta de Referencia &gt;&gt;'!A1" display="Ofertas de referencia" xr:uid="{51DB1525-3E02-4A1F-8543-AB5BA41100EB}"/>
    <hyperlink ref="C21" location="'Precio Mayorista'!A1" display="Precio mayorista" xr:uid="{8EF34A3B-3624-494A-97D5-25096AAFC2FB}"/>
    <hyperlink ref="C25" location="'Hoja auxiliar gráficos'!A1" display="Hoja auxiliar gráficos" xr:uid="{B809B624-7B93-4B5F-9F32-89EB8A84154A}"/>
    <hyperlink ref="C23" location="'Hoja Auxiliar'!A1" display="Hoja Auxiliar" xr:uid="{FD20F188-1AB0-4B0B-894F-E4D8D21A64BF}"/>
    <hyperlink ref="C22" location="'Precios mayoristas efectivos'!A1" display="Precios mayoristas efectivos" xr:uid="{6ABAD528-80D7-4C80-A1E3-8B18831FC00C}"/>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86AEF-5132-44D8-BB3F-22CD7C9F80AD}">
  <sheetPr codeName="Sheet12">
    <tabColor theme="7"/>
  </sheetPr>
  <dimension ref="C1:C13"/>
  <sheetViews>
    <sheetView showGridLines="0" workbookViewId="0"/>
  </sheetViews>
  <sheetFormatPr baseColWidth="10" defaultColWidth="9.28515625" defaultRowHeight="12.75" x14ac:dyDescent="0.2"/>
  <cols>
    <col min="1" max="1" width="1.7109375" style="13" customWidth="1"/>
    <col min="2" max="16384" width="9.28515625" style="13"/>
  </cols>
  <sheetData>
    <row r="1" spans="3:3" s="11" customFormat="1" ht="20.25" x14ac:dyDescent="0.3"/>
    <row r="13" spans="3:3" ht="27.75" x14ac:dyDescent="0.4">
      <c r="C13" s="12" t="s">
        <v>10</v>
      </c>
    </row>
  </sheetData>
  <pageMargins left="0.75" right="0.75" top="1" bottom="1" header="0.5" footer="0.5"/>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74405-342E-410C-B2FB-72B072480299}">
  <sheetPr codeName="Sheet15">
    <tabColor theme="7" tint="0.79998168889431442"/>
  </sheetPr>
  <dimension ref="B1:AF77"/>
  <sheetViews>
    <sheetView showGridLines="0" zoomScaleNormal="100" workbookViewId="0"/>
  </sheetViews>
  <sheetFormatPr baseColWidth="10" defaultColWidth="8.7109375" defaultRowHeight="12.75" x14ac:dyDescent="0.2"/>
  <cols>
    <col min="1" max="1" width="1.7109375" customWidth="1"/>
    <col min="2" max="2" width="31.28515625" customWidth="1"/>
    <col min="3" max="3" width="18.7109375" customWidth="1"/>
    <col min="4" max="4" width="30.28515625" customWidth="1"/>
    <col min="5" max="5" width="20.5703125" customWidth="1"/>
    <col min="6" max="6" width="15.28515625" customWidth="1"/>
    <col min="7" max="7" width="28.5703125" customWidth="1"/>
    <col min="8" max="8" width="31.7109375" customWidth="1"/>
    <col min="9" max="9" width="35.28515625" customWidth="1"/>
    <col min="10" max="10" width="16" customWidth="1"/>
    <col min="11" max="11" width="28.5703125" customWidth="1"/>
    <col min="12" max="12" width="18.85546875" customWidth="1"/>
    <col min="13" max="13" width="18.5703125" customWidth="1"/>
    <col min="14" max="14" width="27.28515625" customWidth="1"/>
    <col min="15" max="15" width="17.7109375" customWidth="1"/>
    <col min="16" max="16" width="18.7109375" bestFit="1" customWidth="1"/>
    <col min="17" max="17" width="17.7109375" bestFit="1" customWidth="1"/>
    <col min="18" max="18" width="18.5703125" bestFit="1" customWidth="1"/>
    <col min="19" max="21" width="18.7109375" bestFit="1" customWidth="1"/>
    <col min="22" max="22" width="13.28515625" customWidth="1"/>
    <col min="23" max="23" width="17.7109375" customWidth="1"/>
    <col min="25" max="25" width="2.28515625" customWidth="1"/>
    <col min="26" max="26" width="14.7109375" hidden="1" customWidth="1"/>
    <col min="27" max="27" width="4.42578125" customWidth="1"/>
    <col min="28" max="28" width="16.42578125" customWidth="1"/>
    <col min="29" max="29" width="17.7109375" customWidth="1"/>
  </cols>
  <sheetData>
    <row r="1" spans="2:32" s="1" customFormat="1" ht="20.25" x14ac:dyDescent="0.3">
      <c r="B1" s="1" t="s">
        <v>150</v>
      </c>
    </row>
    <row r="3" spans="2:32" ht="15.75" x14ac:dyDescent="0.25">
      <c r="B3" s="19" t="s">
        <v>25</v>
      </c>
      <c r="C3" s="105" t="s">
        <v>26</v>
      </c>
      <c r="D3" s="105" t="s">
        <v>27</v>
      </c>
      <c r="G3" s="144"/>
    </row>
    <row r="4" spans="2:32" x14ac:dyDescent="0.2">
      <c r="C4" s="101">
        <f>Supuestos!$C$5</f>
        <v>44652</v>
      </c>
      <c r="D4" s="101">
        <f>Supuestos!$C$6</f>
        <v>44742</v>
      </c>
      <c r="T4" s="73"/>
    </row>
    <row r="5" spans="2:32" x14ac:dyDescent="0.2">
      <c r="T5" s="73"/>
    </row>
    <row r="6" spans="2:32" ht="34.9" customHeight="1" x14ac:dyDescent="0.2">
      <c r="B6" s="512" t="s">
        <v>329</v>
      </c>
      <c r="C6" s="513"/>
      <c r="D6" s="513"/>
      <c r="E6" s="513"/>
      <c r="F6" s="514"/>
      <c r="T6" s="73"/>
    </row>
    <row r="7" spans="2:32" x14ac:dyDescent="0.2">
      <c r="T7" s="73"/>
    </row>
    <row r="8" spans="2:32" s="148" customFormat="1" ht="15.4" customHeight="1" x14ac:dyDescent="0.2">
      <c r="B8" s="511" t="s">
        <v>152</v>
      </c>
      <c r="C8" s="511"/>
      <c r="D8" s="511"/>
      <c r="E8" s="511"/>
      <c r="F8" s="511"/>
      <c r="G8" s="511"/>
      <c r="H8" s="511"/>
      <c r="I8" s="232"/>
      <c r="K8" s="511" t="s">
        <v>15</v>
      </c>
      <c r="L8" s="511"/>
      <c r="M8" s="511"/>
      <c r="N8" s="511"/>
      <c r="O8" s="511"/>
      <c r="P8" s="511"/>
      <c r="Q8" s="511"/>
      <c r="R8" s="511"/>
      <c r="S8" s="511"/>
      <c r="T8" s="511"/>
      <c r="U8"/>
      <c r="V8" s="511" t="s">
        <v>212</v>
      </c>
      <c r="W8" s="511"/>
      <c r="X8" s="511"/>
      <c r="Z8" s="383"/>
      <c r="AA8"/>
    </row>
    <row r="9" spans="2:32" x14ac:dyDescent="0.2">
      <c r="T9" s="73"/>
    </row>
    <row r="10" spans="2:32" ht="19.149999999999999" customHeight="1" x14ac:dyDescent="0.2">
      <c r="C10" s="80" t="str">
        <f>TEXT(C4,"mmm-aa")</f>
        <v>abr-22</v>
      </c>
      <c r="D10" s="120" t="str">
        <f>TEXT(C10+31,"mmm-aa")</f>
        <v>may-22</v>
      </c>
      <c r="E10" s="120" t="str">
        <f>TEXT(D10+32,"mmm-yy")</f>
        <v>jun-yy</v>
      </c>
      <c r="F10" s="81" t="s">
        <v>61</v>
      </c>
      <c r="G10" s="120"/>
      <c r="H10" s="120"/>
      <c r="J10" s="81"/>
      <c r="K10" s="81"/>
      <c r="L10" s="80" t="str">
        <f>TEXT(C4,"mmm-yy")</f>
        <v>abr-yy</v>
      </c>
      <c r="M10" s="80" t="str">
        <f>TEXT(C10+32,"mmm-yy")</f>
        <v>may-yy</v>
      </c>
      <c r="N10" s="80" t="str">
        <f>TEXT(D10+32,"mmm-yy")</f>
        <v>jun-yy</v>
      </c>
      <c r="O10" s="81" t="s">
        <v>61</v>
      </c>
      <c r="P10" s="80"/>
      <c r="Q10" s="80"/>
      <c r="AF10" s="73"/>
    </row>
    <row r="11" spans="2:32" x14ac:dyDescent="0.2">
      <c r="B11" s="40" t="s">
        <v>41</v>
      </c>
      <c r="C11" s="53">
        <f>SUM(C12:C14)</f>
        <v>81083924.16816397</v>
      </c>
      <c r="D11" s="53">
        <f t="shared" ref="D11:E11" si="0">SUM(D12:D14)</f>
        <v>81235110.16816397</v>
      </c>
      <c r="E11" s="53">
        <f t="shared" si="0"/>
        <v>81364292.16816397</v>
      </c>
      <c r="F11" s="53">
        <f>AVERAGE(C11:E11)</f>
        <v>81227775.501497313</v>
      </c>
      <c r="G11" s="124"/>
      <c r="H11" s="124"/>
      <c r="I11" s="88"/>
      <c r="J11" s="124"/>
      <c r="K11" s="40" t="s">
        <v>153</v>
      </c>
      <c r="L11" s="53">
        <f>SUM(L12:L13)</f>
        <v>57440454274.269997</v>
      </c>
      <c r="M11" s="53">
        <f t="shared" ref="M11:O11" si="1">SUM(M12:M13)</f>
        <v>57440454274.269997</v>
      </c>
      <c r="N11" s="53">
        <f t="shared" si="1"/>
        <v>57440454274.269997</v>
      </c>
      <c r="O11" s="53">
        <f t="shared" si="1"/>
        <v>57440454274.270004</v>
      </c>
      <c r="X11" s="88"/>
      <c r="Z11" s="73"/>
    </row>
    <row r="12" spans="2:32" x14ac:dyDescent="0.2">
      <c r="B12" s="119" t="s">
        <v>39</v>
      </c>
      <c r="C12" s="50">
        <v>66564915.16816397</v>
      </c>
      <c r="D12" s="50">
        <v>66703869.16816397</v>
      </c>
      <c r="E12" s="50">
        <v>66823544.16816397</v>
      </c>
      <c r="F12" s="52">
        <f>AVERAGE(C12:E12)</f>
        <v>66697442.834830642</v>
      </c>
      <c r="G12" s="126"/>
      <c r="H12" s="126"/>
      <c r="I12" s="45"/>
      <c r="J12" s="126"/>
      <c r="K12" s="119" t="s">
        <v>39</v>
      </c>
      <c r="L12" s="50">
        <v>34162639061.835182</v>
      </c>
      <c r="M12" s="50">
        <v>34162639061.835182</v>
      </c>
      <c r="N12" s="50">
        <v>34162639061.835182</v>
      </c>
      <c r="O12" s="52">
        <f>O16</f>
        <v>34162639061.835186</v>
      </c>
      <c r="X12" s="45"/>
      <c r="Z12" s="73"/>
    </row>
    <row r="13" spans="2:32" x14ac:dyDescent="0.2">
      <c r="B13" s="119" t="s">
        <v>40</v>
      </c>
      <c r="C13" s="50">
        <v>10337184.04620984</v>
      </c>
      <c r="D13" s="50">
        <v>10347582.738671197</v>
      </c>
      <c r="E13" s="50">
        <v>10352953.342878245</v>
      </c>
      <c r="F13" s="52">
        <f>AVERAGE(C13:E13)</f>
        <v>10345906.709253093</v>
      </c>
      <c r="G13" s="126"/>
      <c r="H13" s="126"/>
      <c r="I13" s="126"/>
      <c r="J13" s="126"/>
      <c r="K13" s="119" t="s">
        <v>239</v>
      </c>
      <c r="L13" s="50">
        <v>23277815212.434814</v>
      </c>
      <c r="M13" s="50">
        <v>23277815212.434814</v>
      </c>
      <c r="N13" s="50">
        <v>23277815212.434814</v>
      </c>
      <c r="O13" s="52">
        <f>O28</f>
        <v>23277815212.434814</v>
      </c>
    </row>
    <row r="14" spans="2:32" x14ac:dyDescent="0.2">
      <c r="B14" s="119" t="s">
        <v>234</v>
      </c>
      <c r="C14" s="50">
        <v>4181824.9537901585</v>
      </c>
      <c r="D14" s="50">
        <v>4183658.2613288048</v>
      </c>
      <c r="E14" s="50">
        <v>4187794.6571217556</v>
      </c>
      <c r="F14" s="52">
        <f>AVERAGE(C14:E14)</f>
        <v>4184425.9574135728</v>
      </c>
      <c r="G14" s="52"/>
      <c r="H14" s="52"/>
      <c r="I14" s="52"/>
      <c r="J14" s="52"/>
      <c r="L14" s="50"/>
      <c r="M14" s="50"/>
      <c r="N14" s="50"/>
      <c r="O14" s="52"/>
    </row>
    <row r="15" spans="2:32" ht="27" customHeight="1" x14ac:dyDescent="0.2">
      <c r="B15" s="24"/>
      <c r="G15" s="129" t="s">
        <v>235</v>
      </c>
      <c r="H15" s="129" t="s">
        <v>99</v>
      </c>
      <c r="I15" s="150" t="s">
        <v>160</v>
      </c>
      <c r="J15" s="129"/>
      <c r="Q15" s="129" t="s">
        <v>236</v>
      </c>
      <c r="R15" s="129" t="s">
        <v>99</v>
      </c>
      <c r="S15" s="129"/>
      <c r="T15" s="129" t="s">
        <v>160</v>
      </c>
      <c r="U15" s="129"/>
      <c r="V15" s="129" t="s">
        <v>161</v>
      </c>
      <c r="W15" s="129" t="s">
        <v>237</v>
      </c>
      <c r="X15" s="88" t="s">
        <v>52</v>
      </c>
    </row>
    <row r="16" spans="2:32" x14ac:dyDescent="0.2">
      <c r="B16" s="40" t="s">
        <v>39</v>
      </c>
      <c r="C16" s="455">
        <f>C12</f>
        <v>66564915.16816397</v>
      </c>
      <c r="D16" s="455">
        <f t="shared" ref="D16:E16" si="2">D12</f>
        <v>66703869.16816397</v>
      </c>
      <c r="E16" s="455">
        <f t="shared" si="2"/>
        <v>66823544.16816397</v>
      </c>
      <c r="F16" s="53">
        <f>AVERAGE(C16:E16)</f>
        <v>66697442.834830642</v>
      </c>
      <c r="G16" s="130"/>
      <c r="H16" s="130"/>
      <c r="I16" s="151"/>
      <c r="J16" s="130"/>
      <c r="K16" s="40" t="s">
        <v>39</v>
      </c>
      <c r="L16" s="121">
        <f>L12</f>
        <v>34162639061.835182</v>
      </c>
      <c r="M16" s="121">
        <f>M12</f>
        <v>34162639061.835182</v>
      </c>
      <c r="N16" s="121">
        <f>N12</f>
        <v>34162639061.835182</v>
      </c>
      <c r="O16" s="123">
        <f>AVERAGE(L16:N16)</f>
        <v>34162639061.835186</v>
      </c>
      <c r="Q16" s="133"/>
      <c r="R16" s="133"/>
      <c r="S16" s="133"/>
      <c r="T16" s="125"/>
      <c r="U16" s="125"/>
      <c r="V16" s="18"/>
      <c r="W16" s="18"/>
      <c r="X16" s="157"/>
    </row>
    <row r="17" spans="2:24" x14ac:dyDescent="0.2">
      <c r="B17" s="119" t="s">
        <v>347</v>
      </c>
      <c r="C17" s="50">
        <v>60359523</v>
      </c>
      <c r="D17" s="50">
        <v>60566779</v>
      </c>
      <c r="E17" s="50">
        <v>60433201</v>
      </c>
      <c r="F17" s="52">
        <f t="shared" ref="F17:F22" si="3">IF(B17="","",AVERAGE(C17:E17))</f>
        <v>60453167.666666664</v>
      </c>
      <c r="G17" s="128">
        <f t="shared" ref="G17:G22" si="4">IFERROR(RANK($F17,$F$17:$F$22),"")</f>
        <v>1</v>
      </c>
      <c r="H17" s="147">
        <f t="shared" ref="H17:H22" si="5">IF(F17="","",F17/$F$16)</f>
        <v>0.90637909186972454</v>
      </c>
      <c r="I17" s="154">
        <f>IF(F17="","",SUM($F$17:$F17)/$F$16)</f>
        <v>0.90637909186972454</v>
      </c>
      <c r="J17" s="127"/>
      <c r="K17" s="119" t="s">
        <v>347</v>
      </c>
      <c r="L17" s="311">
        <v>30448250676.379093</v>
      </c>
      <c r="M17" s="311">
        <v>30448250676.379093</v>
      </c>
      <c r="N17" s="311">
        <v>30448250676.379093</v>
      </c>
      <c r="O17" s="52">
        <f t="shared" ref="O17:O22" si="6">IF(K17="","",AVERAGE(L17:N17))</f>
        <v>30448250676.379093</v>
      </c>
      <c r="Q17" s="128">
        <f t="shared" ref="Q17:Q22" si="7">IFERROR(RANK($O17,$O$17:$O$22),"")</f>
        <v>1</v>
      </c>
      <c r="R17" s="147">
        <f t="shared" ref="R17:R22" si="8">IF(O17="","",O17/$O$16)</f>
        <v>0.89127337678061225</v>
      </c>
      <c r="S17" s="147"/>
      <c r="T17" s="127">
        <f>IF(O17="","",SUM($O$17:$O17)/$O$16)</f>
        <v>0.89127337678061225</v>
      </c>
      <c r="U17" s="127"/>
      <c r="V17" s="127">
        <f t="shared" ref="V17:V22" si="9">IF(K17="","",MAX(H17,R17))</f>
        <v>0.90637909186972454</v>
      </c>
      <c r="W17" s="128">
        <f t="shared" ref="W17:W22" si="10">IFERROR(RANK($V17,$V$17:$V$22),"")</f>
        <v>1</v>
      </c>
      <c r="X17" s="157" t="str">
        <f t="shared" ref="X17:X22" si="11">IF(K17=B17,"Ok","Error")</f>
        <v>Ok</v>
      </c>
    </row>
    <row r="18" spans="2:24" x14ac:dyDescent="0.2">
      <c r="B18" s="119" t="s">
        <v>348</v>
      </c>
      <c r="C18" s="50">
        <v>3604864.0371565837</v>
      </c>
      <c r="D18" s="50">
        <v>3563410.8671565838</v>
      </c>
      <c r="E18" s="50">
        <v>3777365.921683142</v>
      </c>
      <c r="F18" s="52">
        <f t="shared" si="3"/>
        <v>3648546.94199877</v>
      </c>
      <c r="G18" s="128">
        <f t="shared" si="4"/>
        <v>2</v>
      </c>
      <c r="H18" s="147">
        <f t="shared" si="5"/>
        <v>5.4702950921732059E-2</v>
      </c>
      <c r="I18" s="154">
        <f>IF(F18="","",SUM($F$17:$F18)/$F$16)</f>
        <v>0.9610820427914567</v>
      </c>
      <c r="J18" s="127"/>
      <c r="K18" s="119" t="s">
        <v>348</v>
      </c>
      <c r="L18" s="311">
        <v>1760176638.7700572</v>
      </c>
      <c r="M18" s="311">
        <v>1760176638.7700572</v>
      </c>
      <c r="N18" s="311">
        <v>1760176638.7700572</v>
      </c>
      <c r="O18" s="52">
        <f t="shared" si="6"/>
        <v>1760176638.770057</v>
      </c>
      <c r="Q18" s="128">
        <f t="shared" si="7"/>
        <v>2</v>
      </c>
      <c r="R18" s="147">
        <f t="shared" si="8"/>
        <v>5.1523438677676378E-2</v>
      </c>
      <c r="S18" s="147"/>
      <c r="T18" s="127">
        <f>IF(O18="","",SUM($O$17:$O18)/$O$16)</f>
        <v>0.94279681545828864</v>
      </c>
      <c r="U18" s="127"/>
      <c r="V18" s="127">
        <f t="shared" si="9"/>
        <v>5.4702950921732059E-2</v>
      </c>
      <c r="W18" s="128">
        <f t="shared" si="10"/>
        <v>2</v>
      </c>
      <c r="X18" s="157" t="str">
        <f t="shared" si="11"/>
        <v>Ok</v>
      </c>
    </row>
    <row r="19" spans="2:24" x14ac:dyDescent="0.2">
      <c r="B19" s="119" t="s">
        <v>349</v>
      </c>
      <c r="C19" s="50">
        <v>700257.74855935341</v>
      </c>
      <c r="D19" s="50">
        <v>692773.05855935335</v>
      </c>
      <c r="E19" s="50">
        <v>747883.99403279438</v>
      </c>
      <c r="F19" s="52">
        <f t="shared" si="3"/>
        <v>713638.26705050038</v>
      </c>
      <c r="G19" s="128">
        <f t="shared" si="4"/>
        <v>3</v>
      </c>
      <c r="H19" s="147">
        <f t="shared" si="5"/>
        <v>1.0699634599451618E-2</v>
      </c>
      <c r="I19" s="154">
        <f>IF(F19="","",SUM($F$17:$F19)/$F$16)</f>
        <v>0.97178167739090826</v>
      </c>
      <c r="J19" s="127"/>
      <c r="K19" s="119" t="s">
        <v>349</v>
      </c>
      <c r="L19" s="311">
        <v>378145115.02106005</v>
      </c>
      <c r="M19" s="311">
        <v>378145115.02106005</v>
      </c>
      <c r="N19" s="311">
        <v>378145115.02106005</v>
      </c>
      <c r="O19" s="52">
        <f t="shared" si="6"/>
        <v>378145115.02106005</v>
      </c>
      <c r="Q19" s="128">
        <f t="shared" si="7"/>
        <v>3</v>
      </c>
      <c r="R19" s="147">
        <f t="shared" si="8"/>
        <v>1.106896672521723E-2</v>
      </c>
      <c r="S19" s="147"/>
      <c r="T19" s="127">
        <f>IF(O19="","",SUM($O$17:$O19)/$O$16)</f>
        <v>0.95386578218350593</v>
      </c>
      <c r="U19" s="127"/>
      <c r="V19" s="127">
        <f t="shared" si="9"/>
        <v>1.106896672521723E-2</v>
      </c>
      <c r="W19" s="128">
        <f t="shared" si="10"/>
        <v>3</v>
      </c>
      <c r="X19" s="157" t="str">
        <f t="shared" si="11"/>
        <v>Ok</v>
      </c>
    </row>
    <row r="20" spans="2:24" x14ac:dyDescent="0.2">
      <c r="B20" s="119"/>
      <c r="C20" s="50"/>
      <c r="D20" s="50"/>
      <c r="E20" s="50"/>
      <c r="F20" s="52" t="str">
        <f t="shared" si="3"/>
        <v/>
      </c>
      <c r="G20" s="152" t="str">
        <f t="shared" si="4"/>
        <v/>
      </c>
      <c r="H20" s="153" t="str">
        <f t="shared" si="5"/>
        <v/>
      </c>
      <c r="I20" s="127" t="str">
        <f>IF(F20="","",SUM($F$17:$F20)/$F$16)</f>
        <v/>
      </c>
      <c r="J20" s="127"/>
      <c r="K20" s="119"/>
      <c r="L20" s="50"/>
      <c r="M20" s="50"/>
      <c r="N20" s="50"/>
      <c r="O20" s="52" t="str">
        <f t="shared" si="6"/>
        <v/>
      </c>
      <c r="Q20" s="128" t="str">
        <f t="shared" si="7"/>
        <v/>
      </c>
      <c r="R20" s="147" t="str">
        <f t="shared" si="8"/>
        <v/>
      </c>
      <c r="S20" s="147"/>
      <c r="T20" s="127" t="str">
        <f>IF(O20="","",SUM($O$17:$O20)/$O$16)</f>
        <v/>
      </c>
      <c r="U20" s="127"/>
      <c r="V20" s="127" t="str">
        <f t="shared" si="9"/>
        <v/>
      </c>
      <c r="W20" s="128" t="str">
        <f t="shared" si="10"/>
        <v/>
      </c>
      <c r="X20" s="157" t="str">
        <f t="shared" si="11"/>
        <v>Ok</v>
      </c>
    </row>
    <row r="21" spans="2:24" x14ac:dyDescent="0.2">
      <c r="B21" s="119"/>
      <c r="C21" s="50"/>
      <c r="D21" s="50"/>
      <c r="E21" s="50"/>
      <c r="F21" s="52" t="str">
        <f t="shared" si="3"/>
        <v/>
      </c>
      <c r="G21" s="152" t="str">
        <f t="shared" si="4"/>
        <v/>
      </c>
      <c r="H21" s="153" t="str">
        <f t="shared" si="5"/>
        <v/>
      </c>
      <c r="I21" s="127" t="str">
        <f>IF(F21="","",SUM($F$17:$F21)/$F$16)</f>
        <v/>
      </c>
      <c r="J21" s="127"/>
      <c r="K21" s="119"/>
      <c r="L21" s="50"/>
      <c r="M21" s="50"/>
      <c r="N21" s="50"/>
      <c r="O21" s="52" t="str">
        <f t="shared" si="6"/>
        <v/>
      </c>
      <c r="Q21" s="128" t="str">
        <f t="shared" si="7"/>
        <v/>
      </c>
      <c r="R21" s="153" t="str">
        <f t="shared" si="8"/>
        <v/>
      </c>
      <c r="S21" s="153"/>
      <c r="T21" s="154" t="str">
        <f>IF(O21="","",SUM($O$17:$O21)/$O$16)</f>
        <v/>
      </c>
      <c r="U21" s="154"/>
      <c r="V21" s="154" t="str">
        <f t="shared" si="9"/>
        <v/>
      </c>
      <c r="W21" s="128" t="str">
        <f t="shared" si="10"/>
        <v/>
      </c>
      <c r="X21" s="157" t="str">
        <f t="shared" si="11"/>
        <v>Ok</v>
      </c>
    </row>
    <row r="22" spans="2:24" x14ac:dyDescent="0.2">
      <c r="B22" s="119"/>
      <c r="C22" s="50"/>
      <c r="D22" s="50"/>
      <c r="E22" s="50"/>
      <c r="F22" s="52" t="str">
        <f t="shared" si="3"/>
        <v/>
      </c>
      <c r="G22" s="152" t="str">
        <f t="shared" si="4"/>
        <v/>
      </c>
      <c r="H22" s="153" t="str">
        <f t="shared" si="5"/>
        <v/>
      </c>
      <c r="I22" s="127" t="str">
        <f>IF(F22="","",SUM($F$17:$F22)/$F$16)</f>
        <v/>
      </c>
      <c r="K22" s="119"/>
      <c r="L22" s="50"/>
      <c r="M22" s="50"/>
      <c r="N22" s="50"/>
      <c r="O22" s="52" t="str">
        <f t="shared" si="6"/>
        <v/>
      </c>
      <c r="Q22" s="128" t="str">
        <f t="shared" si="7"/>
        <v/>
      </c>
      <c r="R22" s="153" t="str">
        <f t="shared" si="8"/>
        <v/>
      </c>
      <c r="S22" s="153"/>
      <c r="T22" s="154" t="str">
        <f>IF(O22="","",SUM($O$17:$O22)/$O$16)</f>
        <v/>
      </c>
      <c r="U22" s="154"/>
      <c r="V22" s="154" t="str">
        <f t="shared" si="9"/>
        <v/>
      </c>
      <c r="W22" s="128" t="str">
        <f t="shared" si="10"/>
        <v/>
      </c>
      <c r="X22" s="157" t="str">
        <f t="shared" si="11"/>
        <v>Ok</v>
      </c>
    </row>
    <row r="23" spans="2:24" x14ac:dyDescent="0.2">
      <c r="B23" s="40" t="s">
        <v>151</v>
      </c>
      <c r="C23" s="53">
        <f>SUM(C17:C22)</f>
        <v>64664644.785715938</v>
      </c>
      <c r="D23" s="53">
        <f>SUM(D17:D19)</f>
        <v>64822962.925715931</v>
      </c>
      <c r="E23" s="53">
        <f>SUM(E17:E19)</f>
        <v>64958450.915715933</v>
      </c>
      <c r="F23" s="53">
        <f>AVERAGE(C23:E23)</f>
        <v>64815352.875715934</v>
      </c>
      <c r="G23" s="152"/>
      <c r="H23" s="152"/>
      <c r="J23" s="131"/>
      <c r="K23" s="40" t="s">
        <v>151</v>
      </c>
      <c r="L23" s="53">
        <f>SUM(L17:L22)</f>
        <v>32586572430.170212</v>
      </c>
      <c r="M23" s="53">
        <f>SUM(M17:M19)</f>
        <v>32586572430.170212</v>
      </c>
      <c r="N23" s="53">
        <f>SUM(N17:N19)</f>
        <v>32586572430.170212</v>
      </c>
      <c r="O23" s="53">
        <f>AVERAGE(L23:N23)</f>
        <v>32586572430.170212</v>
      </c>
      <c r="Q23" s="124"/>
      <c r="R23" s="128"/>
      <c r="S23" s="128"/>
    </row>
    <row r="24" spans="2:24" x14ac:dyDescent="0.2">
      <c r="B24" s="24"/>
      <c r="C24" s="122">
        <f t="shared" ref="C24:F24" si="12">C23/C16</f>
        <v>0.9714523728055936</v>
      </c>
      <c r="D24" s="122">
        <f t="shared" si="12"/>
        <v>0.9718021418261934</v>
      </c>
      <c r="E24" s="122">
        <f t="shared" si="12"/>
        <v>0.97208927967432468</v>
      </c>
      <c r="F24" s="122">
        <f t="shared" si="12"/>
        <v>0.97178167739090826</v>
      </c>
      <c r="G24" s="154"/>
      <c r="H24" s="127">
        <f>SUM(H17:H23)</f>
        <v>0.97178167739090826</v>
      </c>
      <c r="J24" s="127"/>
      <c r="L24" s="122">
        <f t="shared" ref="L24:O24" si="13">L23/L16</f>
        <v>0.95386578218350604</v>
      </c>
      <c r="M24" s="122">
        <f t="shared" si="13"/>
        <v>0.95386578218350604</v>
      </c>
      <c r="N24" s="122">
        <f t="shared" si="13"/>
        <v>0.95386578218350604</v>
      </c>
      <c r="O24" s="122">
        <f t="shared" si="13"/>
        <v>0.95386578218350593</v>
      </c>
      <c r="Q24" s="127"/>
      <c r="R24" s="127">
        <f>SUM(R17:R23)</f>
        <v>0.95386578218350582</v>
      </c>
      <c r="S24" s="127"/>
    </row>
    <row r="25" spans="2:24" x14ac:dyDescent="0.2">
      <c r="B25" s="24"/>
      <c r="G25" s="155"/>
      <c r="H25" s="88" t="s">
        <v>52</v>
      </c>
      <c r="J25" s="132"/>
      <c r="Q25" s="31"/>
      <c r="R25" s="88" t="s">
        <v>52</v>
      </c>
      <c r="S25" s="88"/>
    </row>
    <row r="26" spans="2:24" x14ac:dyDescent="0.2">
      <c r="B26" s="24"/>
      <c r="D26" s="456"/>
      <c r="G26" s="155"/>
      <c r="H26" s="45" t="str">
        <f>IF($H$24=$F$24,"Ok","Error")</f>
        <v>Ok</v>
      </c>
      <c r="I26" s="155"/>
      <c r="J26" s="132"/>
      <c r="Q26" s="31"/>
      <c r="R26" s="45" t="str">
        <f>IF($R$24=$O$24,"Ok","Error")</f>
        <v>Ok</v>
      </c>
      <c r="S26" s="45"/>
    </row>
    <row r="27" spans="2:24" x14ac:dyDescent="0.2">
      <c r="B27" s="24"/>
      <c r="G27" s="155"/>
      <c r="H27" s="155"/>
      <c r="I27" s="155"/>
      <c r="J27" s="132"/>
      <c r="Q27" s="31"/>
    </row>
    <row r="28" spans="2:24" x14ac:dyDescent="0.2">
      <c r="B28" s="40" t="s">
        <v>40</v>
      </c>
      <c r="C28" s="121">
        <f>C13+C14</f>
        <v>14519008.999999998</v>
      </c>
      <c r="D28" s="121">
        <f t="shared" ref="D28:E28" si="14">D13+D14</f>
        <v>14531241.000000002</v>
      </c>
      <c r="E28" s="121">
        <f t="shared" si="14"/>
        <v>14540748</v>
      </c>
      <c r="F28" s="123">
        <f>AVERAGE(C28:E28)</f>
        <v>14530332.666666666</v>
      </c>
      <c r="G28" s="151"/>
      <c r="H28" s="151"/>
      <c r="I28" s="151"/>
      <c r="J28" s="130"/>
      <c r="K28" s="40" t="s">
        <v>40</v>
      </c>
      <c r="L28" s="121">
        <f>L13</f>
        <v>23277815212.434814</v>
      </c>
      <c r="M28" s="121">
        <f>M13</f>
        <v>23277815212.434814</v>
      </c>
      <c r="N28" s="121">
        <f>N13</f>
        <v>23277815212.434814</v>
      </c>
      <c r="O28" s="123">
        <f>AVERAGE(L28:N28)</f>
        <v>23277815212.434814</v>
      </c>
      <c r="Q28" s="133"/>
      <c r="R28" s="133"/>
      <c r="S28" s="133"/>
      <c r="T28" s="125"/>
      <c r="U28" s="125"/>
      <c r="X28" s="88"/>
    </row>
    <row r="29" spans="2:24" x14ac:dyDescent="0.2">
      <c r="B29" s="119" t="s">
        <v>335</v>
      </c>
      <c r="C29" s="145">
        <v>2140314</v>
      </c>
      <c r="D29" s="145">
        <v>2134026</v>
      </c>
      <c r="E29" s="145">
        <v>2120514</v>
      </c>
      <c r="F29" s="146">
        <f t="shared" ref="F29:F49" si="15">IF(B29="","",AVERAGE(C29:E29))</f>
        <v>2131618</v>
      </c>
      <c r="G29" s="128">
        <f t="shared" ref="G29:G49" si="16">IFERROR(RANK($F29,$F$29:$F$49),"")</f>
        <v>1</v>
      </c>
      <c r="H29" s="147">
        <f t="shared" ref="H29:H49" si="17">IF(F29="","",F29/$F$28)</f>
        <v>0.14670125240078238</v>
      </c>
      <c r="I29" s="156">
        <f>IF(F29="","",SUM($F$29:$F29)/$F$28)</f>
        <v>0.14670125240078238</v>
      </c>
      <c r="J29" s="127"/>
      <c r="K29" s="119" t="s">
        <v>335</v>
      </c>
      <c r="L29" s="145">
        <v>2736186058.7378964</v>
      </c>
      <c r="M29" s="145">
        <v>2736186058.7378964</v>
      </c>
      <c r="N29" s="145">
        <v>2736186058.7378964</v>
      </c>
      <c r="O29" s="146">
        <f t="shared" ref="O29:O40" si="18">IF(K29="","",AVERAGE(L29:N29))</f>
        <v>2736186058.7378964</v>
      </c>
      <c r="Q29" s="152">
        <f t="shared" ref="Q29:Q49" si="19">IFERROR(RANK(O29,$O$29:$O$49),"")</f>
        <v>2</v>
      </c>
      <c r="R29" s="147">
        <f t="shared" ref="R29:R49" si="20">IF(O29="","",O29/$O$28)</f>
        <v>0.11754479678471924</v>
      </c>
      <c r="S29" s="147"/>
      <c r="T29" s="312">
        <f>IF(O29="","",SUM($O$29:$O29)/$O$28)</f>
        <v>0.11754479678471924</v>
      </c>
      <c r="U29" s="312"/>
      <c r="V29" s="127">
        <f t="shared" ref="V29:V49" si="21">IF(K29="","",MAX(H29,R29))</f>
        <v>0.14670125240078238</v>
      </c>
      <c r="W29" s="128">
        <f t="shared" ref="W29:W49" si="22">IFERROR(RANK($V29,$V$29:$V$49),"")</f>
        <v>1</v>
      </c>
      <c r="X29" s="157" t="str">
        <f t="shared" ref="X29:X49" si="23">IF(K29=B29,"Ok","Error")</f>
        <v>Ok</v>
      </c>
    </row>
    <row r="30" spans="2:24" x14ac:dyDescent="0.2">
      <c r="B30" s="119" t="s">
        <v>336</v>
      </c>
      <c r="C30" s="145">
        <v>766775</v>
      </c>
      <c r="D30" s="145">
        <v>766618</v>
      </c>
      <c r="E30" s="145">
        <v>763272</v>
      </c>
      <c r="F30" s="146">
        <f t="shared" si="15"/>
        <v>765555</v>
      </c>
      <c r="G30" s="128">
        <f t="shared" si="16"/>
        <v>5</v>
      </c>
      <c r="H30" s="147">
        <f t="shared" si="17"/>
        <v>5.268668086011704E-2</v>
      </c>
      <c r="I30" s="156">
        <f>IF(F30="","",SUM($F$29:$F30)/$F$28)</f>
        <v>0.19938793326089943</v>
      </c>
      <c r="J30" s="127"/>
      <c r="K30" s="119" t="s">
        <v>336</v>
      </c>
      <c r="L30" s="145">
        <v>461672798.76115084</v>
      </c>
      <c r="M30" s="145">
        <v>461672798.76115084</v>
      </c>
      <c r="N30" s="145">
        <v>461672798.76115084</v>
      </c>
      <c r="O30" s="146">
        <f t="shared" si="18"/>
        <v>461672798.76115084</v>
      </c>
      <c r="Q30" s="152">
        <f t="shared" si="19"/>
        <v>7</v>
      </c>
      <c r="R30" s="147">
        <f t="shared" si="20"/>
        <v>1.9833167096993239E-2</v>
      </c>
      <c r="S30" s="147"/>
      <c r="T30" s="312">
        <f>IF(O30="","",SUM($O$29:$O30)/$O$28)</f>
        <v>0.13737796388171247</v>
      </c>
      <c r="U30" s="312"/>
      <c r="V30" s="127">
        <f t="shared" si="21"/>
        <v>5.268668086011704E-2</v>
      </c>
      <c r="W30" s="128">
        <f t="shared" si="22"/>
        <v>5</v>
      </c>
      <c r="X30" s="157" t="str">
        <f t="shared" si="23"/>
        <v>Ok</v>
      </c>
    </row>
    <row r="31" spans="2:24" x14ac:dyDescent="0.2">
      <c r="B31" s="119" t="s">
        <v>337</v>
      </c>
      <c r="C31" s="145">
        <v>971639</v>
      </c>
      <c r="D31" s="145">
        <v>973044</v>
      </c>
      <c r="E31" s="145">
        <v>969533</v>
      </c>
      <c r="F31" s="146">
        <f t="shared" si="15"/>
        <v>971405.33333333337</v>
      </c>
      <c r="G31" s="128">
        <f t="shared" si="16"/>
        <v>3</v>
      </c>
      <c r="H31" s="147">
        <f t="shared" si="17"/>
        <v>6.6853619639541173E-2</v>
      </c>
      <c r="I31" s="156">
        <f>IF(F31="","",SUM($F$29:$F31)/$F$28)</f>
        <v>0.2662415529004406</v>
      </c>
      <c r="J31" s="127"/>
      <c r="K31" s="119" t="s">
        <v>337</v>
      </c>
      <c r="L31" s="145">
        <v>1642401215.9110696</v>
      </c>
      <c r="M31" s="145">
        <v>1642401215.9110696</v>
      </c>
      <c r="N31" s="145">
        <v>1642401215.9110696</v>
      </c>
      <c r="O31" s="146">
        <f t="shared" si="18"/>
        <v>1642401215.9110696</v>
      </c>
      <c r="Q31" s="152">
        <f t="shared" si="19"/>
        <v>4</v>
      </c>
      <c r="R31" s="147">
        <f t="shared" si="20"/>
        <v>7.055650201371616E-2</v>
      </c>
      <c r="S31" s="147"/>
      <c r="T31" s="312">
        <f>IF(O31="","",SUM($O$29:$O31)/$O$28)</f>
        <v>0.20793446589542866</v>
      </c>
      <c r="U31" s="312"/>
      <c r="V31" s="127">
        <f t="shared" si="21"/>
        <v>7.055650201371616E-2</v>
      </c>
      <c r="W31" s="128">
        <f t="shared" si="22"/>
        <v>4</v>
      </c>
      <c r="X31" s="157" t="str">
        <f t="shared" si="23"/>
        <v>Ok</v>
      </c>
    </row>
    <row r="32" spans="2:24" x14ac:dyDescent="0.2">
      <c r="B32" s="119" t="s">
        <v>338</v>
      </c>
      <c r="C32" s="145">
        <v>952159</v>
      </c>
      <c r="D32" s="145">
        <v>953703</v>
      </c>
      <c r="E32" s="145">
        <v>953131</v>
      </c>
      <c r="F32" s="146">
        <f t="shared" si="15"/>
        <v>952997.66666666663</v>
      </c>
      <c r="G32" s="128">
        <f t="shared" si="16"/>
        <v>4</v>
      </c>
      <c r="H32" s="147">
        <f t="shared" si="17"/>
        <v>6.5586775508099174E-2</v>
      </c>
      <c r="I32" s="156">
        <f>IF(F32="","",SUM($F$29:$F32)/$F$28)</f>
        <v>0.33182832840853976</v>
      </c>
      <c r="J32" s="127"/>
      <c r="K32" s="119" t="s">
        <v>338</v>
      </c>
      <c r="L32" s="145">
        <v>1762196500.065979</v>
      </c>
      <c r="M32" s="145">
        <v>1762196500.065979</v>
      </c>
      <c r="N32" s="145">
        <v>1762196500.065979</v>
      </c>
      <c r="O32" s="146">
        <f t="shared" si="18"/>
        <v>1762196500.065979</v>
      </c>
      <c r="Q32" s="152">
        <f t="shared" si="19"/>
        <v>3</v>
      </c>
      <c r="R32" s="147">
        <f t="shared" si="20"/>
        <v>7.5702830527008755E-2</v>
      </c>
      <c r="S32" s="147"/>
      <c r="T32" s="312">
        <f>IF(O32="","",SUM($O$29:$O32)/$O$28)</f>
        <v>0.2836372964224374</v>
      </c>
      <c r="U32" s="312"/>
      <c r="V32" s="127">
        <f t="shared" si="21"/>
        <v>7.5702830527008755E-2</v>
      </c>
      <c r="W32" s="128">
        <f t="shared" si="22"/>
        <v>3</v>
      </c>
      <c r="X32" s="157" t="str">
        <f t="shared" si="23"/>
        <v>Ok</v>
      </c>
    </row>
    <row r="33" spans="2:24" x14ac:dyDescent="0.2">
      <c r="B33" s="119" t="s">
        <v>339</v>
      </c>
      <c r="C33" s="145">
        <v>574040</v>
      </c>
      <c r="D33" s="145">
        <v>594506</v>
      </c>
      <c r="E33" s="145">
        <v>609696</v>
      </c>
      <c r="F33" s="146">
        <f t="shared" si="15"/>
        <v>592747.33333333337</v>
      </c>
      <c r="G33" s="128">
        <f t="shared" si="16"/>
        <v>7</v>
      </c>
      <c r="H33" s="147">
        <f t="shared" si="17"/>
        <v>4.0793789580133043E-2</v>
      </c>
      <c r="I33" s="156">
        <f>IF(F33="","",SUM($F$29:$F33)/$F$28)</f>
        <v>0.37262211798867279</v>
      </c>
      <c r="J33" s="127"/>
      <c r="K33" s="119" t="s">
        <v>339</v>
      </c>
      <c r="L33" s="145">
        <v>856411872.72949171</v>
      </c>
      <c r="M33" s="145">
        <v>856411872.72949171</v>
      </c>
      <c r="N33" s="145">
        <v>856411872.72949171</v>
      </c>
      <c r="O33" s="146">
        <f t="shared" si="18"/>
        <v>856411872.72949171</v>
      </c>
      <c r="Q33" s="152">
        <f t="shared" si="19"/>
        <v>6</v>
      </c>
      <c r="R33" s="147">
        <f t="shared" si="20"/>
        <v>3.6790904340197855E-2</v>
      </c>
      <c r="S33" s="147"/>
      <c r="T33" s="312">
        <f>IF(O33="","",SUM($O$29:$O33)/$O$28)</f>
        <v>0.32042820076263523</v>
      </c>
      <c r="U33" s="312"/>
      <c r="V33" s="127">
        <f t="shared" si="21"/>
        <v>4.0793789580133043E-2</v>
      </c>
      <c r="W33" s="128">
        <f t="shared" si="22"/>
        <v>8</v>
      </c>
      <c r="X33" s="157" t="str">
        <f t="shared" si="23"/>
        <v>Ok</v>
      </c>
    </row>
    <row r="34" spans="2:24" x14ac:dyDescent="0.2">
      <c r="B34" s="119" t="s">
        <v>340</v>
      </c>
      <c r="C34" s="50">
        <v>193447</v>
      </c>
      <c r="D34" s="50">
        <v>184032</v>
      </c>
      <c r="E34" s="50">
        <v>152020</v>
      </c>
      <c r="F34" s="146">
        <f t="shared" si="15"/>
        <v>176499.66666666666</v>
      </c>
      <c r="G34" s="128">
        <f t="shared" si="16"/>
        <v>12</v>
      </c>
      <c r="H34" s="147">
        <f t="shared" si="17"/>
        <v>1.214698043848411E-2</v>
      </c>
      <c r="I34" s="156">
        <f>IF(F34="","",SUM($F$29:$F34)/$F$28)</f>
        <v>0.38476909842715695</v>
      </c>
      <c r="J34" s="127"/>
      <c r="K34" s="119" t="s">
        <v>340</v>
      </c>
      <c r="L34" s="50">
        <v>106581004.64792304</v>
      </c>
      <c r="M34" s="50">
        <v>106581004.64792304</v>
      </c>
      <c r="N34" s="50">
        <v>106581004.64792304</v>
      </c>
      <c r="O34" s="146">
        <f t="shared" si="18"/>
        <v>106581004.64792304</v>
      </c>
      <c r="Q34" s="152">
        <f t="shared" si="19"/>
        <v>12</v>
      </c>
      <c r="R34" s="147">
        <f t="shared" si="20"/>
        <v>4.5786515476327156E-3</v>
      </c>
      <c r="S34" s="147"/>
      <c r="T34" s="312">
        <f>IF(O34="","",SUM($O$29:$O34)/$O$28)</f>
        <v>0.32500685231026799</v>
      </c>
      <c r="U34" s="312"/>
      <c r="V34" s="127">
        <f t="shared" si="21"/>
        <v>1.214698043848411E-2</v>
      </c>
      <c r="W34" s="128">
        <f t="shared" si="22"/>
        <v>12</v>
      </c>
      <c r="X34" s="157" t="str">
        <f t="shared" si="23"/>
        <v>Ok</v>
      </c>
    </row>
    <row r="35" spans="2:24" x14ac:dyDescent="0.2">
      <c r="B35" s="119" t="s">
        <v>341</v>
      </c>
      <c r="C35" s="50">
        <v>632798</v>
      </c>
      <c r="D35" s="50">
        <v>615395</v>
      </c>
      <c r="E35" s="50">
        <v>596552</v>
      </c>
      <c r="F35" s="146">
        <f t="shared" si="15"/>
        <v>614915</v>
      </c>
      <c r="G35" s="128">
        <f t="shared" si="16"/>
        <v>6</v>
      </c>
      <c r="H35" s="147">
        <f t="shared" si="17"/>
        <v>4.2319402735399636E-2</v>
      </c>
      <c r="I35" s="156">
        <f>IF(F35="","",SUM($F$29:$F35)/$F$28)</f>
        <v>0.42708850116255659</v>
      </c>
      <c r="J35" s="127"/>
      <c r="K35" s="119" t="s">
        <v>341</v>
      </c>
      <c r="L35" s="50">
        <v>370857747.03700411</v>
      </c>
      <c r="M35" s="50">
        <v>370857747.03700411</v>
      </c>
      <c r="N35" s="50">
        <v>370857747.03700411</v>
      </c>
      <c r="O35" s="146">
        <f t="shared" si="18"/>
        <v>370857747.03700417</v>
      </c>
      <c r="Q35" s="152">
        <f t="shared" si="19"/>
        <v>8</v>
      </c>
      <c r="R35" s="147">
        <f t="shared" si="20"/>
        <v>1.5931810767141716E-2</v>
      </c>
      <c r="S35" s="147"/>
      <c r="T35" s="312">
        <f>IF(O35="","",SUM($O$29:$O35)/$O$28)</f>
        <v>0.34093866307740972</v>
      </c>
      <c r="U35" s="312"/>
      <c r="V35" s="127">
        <f t="shared" si="21"/>
        <v>4.2319402735399636E-2</v>
      </c>
      <c r="W35" s="128">
        <f t="shared" si="22"/>
        <v>7</v>
      </c>
      <c r="X35" s="157" t="str">
        <f t="shared" si="23"/>
        <v>Ok</v>
      </c>
    </row>
    <row r="36" spans="2:24" x14ac:dyDescent="0.2">
      <c r="B36" s="119" t="s">
        <v>342</v>
      </c>
      <c r="C36" s="50">
        <v>2092733</v>
      </c>
      <c r="D36" s="50">
        <v>2095816</v>
      </c>
      <c r="E36" s="50">
        <v>1887754</v>
      </c>
      <c r="F36" s="146">
        <f t="shared" si="15"/>
        <v>2025434.3333333333</v>
      </c>
      <c r="G36" s="128">
        <f t="shared" si="16"/>
        <v>2</v>
      </c>
      <c r="H36" s="147">
        <f t="shared" si="17"/>
        <v>0.13939352799401381</v>
      </c>
      <c r="I36" s="156">
        <f>IF(F36="","",SUM($F$29:$F36)/$F$28)</f>
        <v>0.56648202915657031</v>
      </c>
      <c r="J36" s="127"/>
      <c r="K36" s="119" t="s">
        <v>342</v>
      </c>
      <c r="L36" s="50">
        <v>2860711823.0925965</v>
      </c>
      <c r="M36" s="50">
        <v>2860711823.0925965</v>
      </c>
      <c r="N36" s="50">
        <v>2860711823.0925965</v>
      </c>
      <c r="O36" s="146">
        <f t="shared" si="18"/>
        <v>2860711823.0925965</v>
      </c>
      <c r="Q36" s="152">
        <f t="shared" si="19"/>
        <v>1</v>
      </c>
      <c r="R36" s="147">
        <f t="shared" si="20"/>
        <v>0.1228943436910019</v>
      </c>
      <c r="S36" s="147"/>
      <c r="T36" s="312">
        <f>IF(O36="","",SUM($O$29:$O36)/$O$28)</f>
        <v>0.4638330067684116</v>
      </c>
      <c r="U36" s="312"/>
      <c r="V36" s="127">
        <f t="shared" si="21"/>
        <v>0.13939352799401381</v>
      </c>
      <c r="W36" s="128">
        <f t="shared" si="22"/>
        <v>2</v>
      </c>
      <c r="X36" s="157" t="str">
        <f t="shared" si="23"/>
        <v>Ok</v>
      </c>
    </row>
    <row r="37" spans="2:24" x14ac:dyDescent="0.2">
      <c r="B37" s="119" t="s">
        <v>343</v>
      </c>
      <c r="C37" s="50">
        <v>414636</v>
      </c>
      <c r="D37" s="50">
        <v>414937</v>
      </c>
      <c r="E37" s="50">
        <v>379835</v>
      </c>
      <c r="F37" s="146">
        <f t="shared" si="15"/>
        <v>403136</v>
      </c>
      <c r="G37" s="128">
        <f t="shared" si="16"/>
        <v>10</v>
      </c>
      <c r="H37" s="147">
        <f t="shared" si="17"/>
        <v>2.7744443933125827E-2</v>
      </c>
      <c r="I37" s="156">
        <f>IF(F37="","",SUM($F$29:$F37)/$F$28)</f>
        <v>0.59422647308969612</v>
      </c>
      <c r="J37" s="127"/>
      <c r="K37" s="119" t="s">
        <v>343</v>
      </c>
      <c r="L37" s="50">
        <v>1222578880.193397</v>
      </c>
      <c r="M37" s="50">
        <v>1222578880.193397</v>
      </c>
      <c r="N37" s="50">
        <v>1222578880.193397</v>
      </c>
      <c r="O37" s="146">
        <f t="shared" si="18"/>
        <v>1222578880.193397</v>
      </c>
      <c r="Q37" s="152">
        <f t="shared" si="19"/>
        <v>5</v>
      </c>
      <c r="R37" s="147">
        <f t="shared" si="20"/>
        <v>5.2521203946163539E-2</v>
      </c>
      <c r="S37" s="147"/>
      <c r="T37" s="312">
        <f>IF(O37="","",SUM($O$29:$O37)/$O$28)</f>
        <v>0.51635421071457521</v>
      </c>
      <c r="U37" s="312"/>
      <c r="V37" s="127">
        <f t="shared" si="21"/>
        <v>5.2521203946163539E-2</v>
      </c>
      <c r="W37" s="128">
        <f t="shared" si="22"/>
        <v>6</v>
      </c>
      <c r="X37" s="157" t="str">
        <f t="shared" si="23"/>
        <v>Ok</v>
      </c>
    </row>
    <row r="38" spans="2:24" x14ac:dyDescent="0.2">
      <c r="B38" s="119" t="s">
        <v>344</v>
      </c>
      <c r="C38" s="50">
        <v>603781</v>
      </c>
      <c r="D38" s="50">
        <v>606816</v>
      </c>
      <c r="E38" s="50">
        <v>557441</v>
      </c>
      <c r="F38" s="146">
        <f t="shared" si="15"/>
        <v>589346</v>
      </c>
      <c r="G38" s="128">
        <f t="shared" si="16"/>
        <v>8</v>
      </c>
      <c r="H38" s="147">
        <f t="shared" si="17"/>
        <v>4.0559704551843483E-2</v>
      </c>
      <c r="I38" s="156">
        <f>IF(F38="","",SUM($F$29:$F38)/$F$28)</f>
        <v>0.63478617764153955</v>
      </c>
      <c r="J38" s="127"/>
      <c r="K38" s="119" t="s">
        <v>344</v>
      </c>
      <c r="L38" s="50">
        <v>287246550.46139258</v>
      </c>
      <c r="M38" s="50">
        <v>287246550.46139258</v>
      </c>
      <c r="N38" s="50">
        <v>287246550.46139258</v>
      </c>
      <c r="O38" s="146">
        <f t="shared" si="18"/>
        <v>287246550.46139258</v>
      </c>
      <c r="Q38" s="152">
        <f t="shared" si="19"/>
        <v>10</v>
      </c>
      <c r="R38" s="147">
        <f t="shared" si="20"/>
        <v>1.2339927430472422E-2</v>
      </c>
      <c r="S38" s="147"/>
      <c r="T38" s="312">
        <f>IF(O38="","",SUM($O$29:$O38)/$O$28)</f>
        <v>0.52869413814504762</v>
      </c>
      <c r="U38" s="312"/>
      <c r="V38" s="127">
        <f t="shared" si="21"/>
        <v>4.0559704551843483E-2</v>
      </c>
      <c r="W38" s="128">
        <f t="shared" si="22"/>
        <v>9</v>
      </c>
      <c r="X38" s="157" t="str">
        <f t="shared" si="23"/>
        <v>Ok</v>
      </c>
    </row>
    <row r="39" spans="2:24" x14ac:dyDescent="0.2">
      <c r="B39" s="119" t="s">
        <v>345</v>
      </c>
      <c r="C39" s="50">
        <v>481752</v>
      </c>
      <c r="D39" s="50">
        <v>488005</v>
      </c>
      <c r="E39" s="50">
        <v>458316</v>
      </c>
      <c r="F39" s="146">
        <f t="shared" si="15"/>
        <v>476024.33333333331</v>
      </c>
      <c r="G39" s="128">
        <f t="shared" si="16"/>
        <v>9</v>
      </c>
      <c r="H39" s="147">
        <f t="shared" si="17"/>
        <v>3.2760731929101505E-2</v>
      </c>
      <c r="I39" s="156">
        <f>IF(F39="","",SUM($F$29:$F39)/$F$28)</f>
        <v>0.66754690957064111</v>
      </c>
      <c r="J39" s="127"/>
      <c r="K39" s="119" t="s">
        <v>345</v>
      </c>
      <c r="L39" s="50">
        <v>243301768.25093818</v>
      </c>
      <c r="M39" s="50">
        <v>243301768.25093818</v>
      </c>
      <c r="N39" s="50">
        <v>243301768.25093818</v>
      </c>
      <c r="O39" s="146">
        <f t="shared" si="18"/>
        <v>243301768.25093818</v>
      </c>
      <c r="Q39" s="152">
        <f t="shared" si="19"/>
        <v>11</v>
      </c>
      <c r="R39" s="147">
        <f t="shared" si="20"/>
        <v>1.045208779391669E-2</v>
      </c>
      <c r="S39" s="147"/>
      <c r="T39" s="312">
        <f>IF(O39="","",SUM($O$29:$O39)/$O$28)</f>
        <v>0.53914622593896433</v>
      </c>
      <c r="U39" s="312"/>
      <c r="V39" s="127">
        <f t="shared" si="21"/>
        <v>3.2760731929101505E-2</v>
      </c>
      <c r="W39" s="128">
        <f t="shared" si="22"/>
        <v>10</v>
      </c>
      <c r="X39" s="157" t="str">
        <f t="shared" si="23"/>
        <v>Ok</v>
      </c>
    </row>
    <row r="40" spans="2:24" x14ac:dyDescent="0.2">
      <c r="B40" s="119" t="s">
        <v>346</v>
      </c>
      <c r="C40" s="50">
        <v>305594</v>
      </c>
      <c r="D40" s="50">
        <v>318827</v>
      </c>
      <c r="E40" s="50">
        <v>300990</v>
      </c>
      <c r="F40" s="146">
        <f t="shared" si="15"/>
        <v>308470.33333333331</v>
      </c>
      <c r="G40" s="128">
        <f t="shared" si="16"/>
        <v>11</v>
      </c>
      <c r="H40" s="147">
        <f t="shared" si="17"/>
        <v>2.1229406126466753E-2</v>
      </c>
      <c r="I40" s="156">
        <f>IF(F40="","",SUM($F$29:$F40)/$F$28)</f>
        <v>0.68877631569710795</v>
      </c>
      <c r="J40" s="127"/>
      <c r="K40" s="119" t="s">
        <v>346</v>
      </c>
      <c r="L40" s="50">
        <v>355682060.11872727</v>
      </c>
      <c r="M40" s="50">
        <v>355682060.11872727</v>
      </c>
      <c r="N40" s="50">
        <v>355682060.11872727</v>
      </c>
      <c r="O40" s="146">
        <f t="shared" si="18"/>
        <v>355682060.11872727</v>
      </c>
      <c r="Q40" s="152">
        <f t="shared" si="19"/>
        <v>9</v>
      </c>
      <c r="R40" s="147">
        <f t="shared" si="20"/>
        <v>1.5279872998077796E-2</v>
      </c>
      <c r="S40" s="147"/>
      <c r="T40" s="312">
        <f>IF(O40="","",SUM($O$29:$O40)/$O$28)</f>
        <v>0.55442609893704209</v>
      </c>
      <c r="U40" s="312"/>
      <c r="V40" s="127">
        <f t="shared" si="21"/>
        <v>2.1229406126466753E-2</v>
      </c>
      <c r="W40" s="128">
        <f t="shared" si="22"/>
        <v>11</v>
      </c>
      <c r="X40" s="157" t="str">
        <f t="shared" si="23"/>
        <v>Ok</v>
      </c>
    </row>
    <row r="41" spans="2:24" x14ac:dyDescent="0.2">
      <c r="B41" s="119"/>
      <c r="C41" s="145"/>
      <c r="D41" s="145"/>
      <c r="E41" s="145"/>
      <c r="F41" s="146" t="str">
        <f t="shared" si="15"/>
        <v/>
      </c>
      <c r="G41" s="152" t="str">
        <f t="shared" si="16"/>
        <v/>
      </c>
      <c r="H41" s="153" t="str">
        <f t="shared" si="17"/>
        <v/>
      </c>
      <c r="I41" s="156" t="str">
        <f>IF(F41="","",SUM($F$29:$F41)/$F$28)</f>
        <v/>
      </c>
      <c r="J41" s="127"/>
      <c r="K41" s="119"/>
      <c r="L41" s="50"/>
      <c r="M41" s="152"/>
      <c r="N41" s="153"/>
      <c r="O41" s="146" t="str">
        <f t="shared" ref="O41:O49" si="24">IF(K41="","",AVERAGE(L41:N41))</f>
        <v/>
      </c>
      <c r="P41" s="157"/>
      <c r="Q41" s="152" t="str">
        <f t="shared" si="19"/>
        <v/>
      </c>
      <c r="R41" s="147" t="str">
        <f t="shared" si="20"/>
        <v/>
      </c>
      <c r="S41" s="147"/>
      <c r="T41" s="312" t="str">
        <f>IF(O41="","",SUM($O$29:$O41)/$O$28)</f>
        <v/>
      </c>
      <c r="U41" s="312"/>
      <c r="V41" s="127" t="str">
        <f t="shared" si="21"/>
        <v/>
      </c>
      <c r="W41" s="128" t="str">
        <f t="shared" si="22"/>
        <v/>
      </c>
      <c r="X41" s="157" t="str">
        <f t="shared" si="23"/>
        <v>Ok</v>
      </c>
    </row>
    <row r="42" spans="2:24" x14ac:dyDescent="0.2">
      <c r="F42" s="146" t="str">
        <f t="shared" si="15"/>
        <v/>
      </c>
      <c r="G42" s="152" t="str">
        <f t="shared" si="16"/>
        <v/>
      </c>
      <c r="H42" s="153" t="str">
        <f t="shared" si="17"/>
        <v/>
      </c>
      <c r="I42" s="156" t="str">
        <f>IF(F42="","",SUM($F$29:$F42)/$F$28)</f>
        <v/>
      </c>
      <c r="J42" s="127"/>
      <c r="M42" s="152"/>
      <c r="N42" s="153"/>
      <c r="O42" s="146" t="str">
        <f t="shared" si="24"/>
        <v/>
      </c>
      <c r="P42" s="157"/>
      <c r="Q42" s="152" t="str">
        <f t="shared" si="19"/>
        <v/>
      </c>
      <c r="R42" s="147" t="str">
        <f t="shared" si="20"/>
        <v/>
      </c>
      <c r="S42" s="147"/>
      <c r="T42" s="312" t="str">
        <f>IF(O42="","",SUM($O$29:$O42)/$O$28)</f>
        <v/>
      </c>
      <c r="U42" s="312"/>
      <c r="V42" s="127" t="str">
        <f t="shared" si="21"/>
        <v/>
      </c>
      <c r="W42" s="128" t="str">
        <f t="shared" si="22"/>
        <v/>
      </c>
      <c r="X42" s="157" t="str">
        <f t="shared" si="23"/>
        <v>Ok</v>
      </c>
    </row>
    <row r="43" spans="2:24" x14ac:dyDescent="0.2">
      <c r="F43" s="146" t="str">
        <f t="shared" si="15"/>
        <v/>
      </c>
      <c r="G43" s="152" t="str">
        <f t="shared" si="16"/>
        <v/>
      </c>
      <c r="H43" s="153" t="str">
        <f t="shared" si="17"/>
        <v/>
      </c>
      <c r="I43" s="156" t="str">
        <f>IF(F43="","",SUM($F$29:$F43)/$F$28)</f>
        <v/>
      </c>
      <c r="J43" s="127"/>
      <c r="M43" s="152"/>
      <c r="N43" s="153"/>
      <c r="O43" s="146" t="str">
        <f t="shared" si="24"/>
        <v/>
      </c>
      <c r="P43" s="157"/>
      <c r="Q43" s="152" t="str">
        <f t="shared" si="19"/>
        <v/>
      </c>
      <c r="R43" s="147" t="str">
        <f t="shared" si="20"/>
        <v/>
      </c>
      <c r="S43" s="147"/>
      <c r="T43" s="312" t="str">
        <f>IF(O43="","",SUM($O$29:$O43)/$O$28)</f>
        <v/>
      </c>
      <c r="U43" s="312"/>
      <c r="V43" s="127" t="str">
        <f t="shared" si="21"/>
        <v/>
      </c>
      <c r="W43" s="128" t="str">
        <f t="shared" si="22"/>
        <v/>
      </c>
      <c r="X43" s="157" t="str">
        <f t="shared" si="23"/>
        <v>Ok</v>
      </c>
    </row>
    <row r="44" spans="2:24" x14ac:dyDescent="0.2">
      <c r="F44" s="146" t="str">
        <f t="shared" si="15"/>
        <v/>
      </c>
      <c r="G44" s="454"/>
      <c r="H44" s="153" t="str">
        <f t="shared" si="17"/>
        <v/>
      </c>
      <c r="I44" s="156" t="str">
        <f>IF(F44="","",SUM($F$29:$F44)/$F$28)</f>
        <v/>
      </c>
      <c r="J44" s="127"/>
      <c r="M44" s="152"/>
      <c r="N44" s="153"/>
      <c r="O44" s="146" t="str">
        <f t="shared" si="24"/>
        <v/>
      </c>
      <c r="P44" s="157"/>
      <c r="Q44" s="152" t="str">
        <f t="shared" si="19"/>
        <v/>
      </c>
      <c r="R44" s="147" t="str">
        <f t="shared" si="20"/>
        <v/>
      </c>
      <c r="S44" s="147"/>
      <c r="T44" s="312" t="str">
        <f>IF(O44="","",SUM($O$29:$O44)/$O$28)</f>
        <v/>
      </c>
      <c r="U44" s="312"/>
      <c r="V44" s="127" t="str">
        <f t="shared" si="21"/>
        <v/>
      </c>
      <c r="W44" s="128" t="str">
        <f t="shared" si="22"/>
        <v/>
      </c>
      <c r="X44" s="157" t="str">
        <f t="shared" si="23"/>
        <v>Ok</v>
      </c>
    </row>
    <row r="45" spans="2:24" x14ac:dyDescent="0.2">
      <c r="F45" s="146" t="str">
        <f t="shared" si="15"/>
        <v/>
      </c>
      <c r="G45" s="152" t="str">
        <f t="shared" si="16"/>
        <v/>
      </c>
      <c r="H45" s="153" t="str">
        <f t="shared" si="17"/>
        <v/>
      </c>
      <c r="I45" s="156" t="str">
        <f>IF(F45="","",SUM($F$29:$F45)/$F$28)</f>
        <v/>
      </c>
      <c r="J45" s="127"/>
      <c r="M45" s="152"/>
      <c r="N45" s="153"/>
      <c r="O45" s="146" t="str">
        <f t="shared" si="24"/>
        <v/>
      </c>
      <c r="P45" s="157"/>
      <c r="Q45" s="152" t="str">
        <f t="shared" si="19"/>
        <v/>
      </c>
      <c r="R45" s="147" t="str">
        <f t="shared" si="20"/>
        <v/>
      </c>
      <c r="S45" s="147"/>
      <c r="T45" s="312" t="str">
        <f>IF(O45="","",SUM($O$29:$O45)/$O$28)</f>
        <v/>
      </c>
      <c r="U45" s="312"/>
      <c r="V45" s="127" t="str">
        <f t="shared" si="21"/>
        <v/>
      </c>
      <c r="W45" s="128" t="str">
        <f t="shared" si="22"/>
        <v/>
      </c>
      <c r="X45" s="157" t="str">
        <f t="shared" si="23"/>
        <v>Ok</v>
      </c>
    </row>
    <row r="46" spans="2:24" x14ac:dyDescent="0.2">
      <c r="F46" s="146" t="str">
        <f t="shared" si="15"/>
        <v/>
      </c>
      <c r="G46" s="152" t="str">
        <f t="shared" si="16"/>
        <v/>
      </c>
      <c r="H46" s="153" t="str">
        <f t="shared" si="17"/>
        <v/>
      </c>
      <c r="I46" s="156" t="str">
        <f>IF(F46="","",SUM($F$29:$F46)/$F$28)</f>
        <v/>
      </c>
      <c r="J46" s="127"/>
      <c r="M46" s="152"/>
      <c r="N46" s="153"/>
      <c r="O46" s="146" t="str">
        <f t="shared" si="24"/>
        <v/>
      </c>
      <c r="P46" s="157"/>
      <c r="Q46" s="152" t="str">
        <f t="shared" si="19"/>
        <v/>
      </c>
      <c r="R46" s="147" t="str">
        <f t="shared" si="20"/>
        <v/>
      </c>
      <c r="S46" s="147"/>
      <c r="T46" s="312" t="str">
        <f>IF(O46="","",SUM($O$29:$O46)/$O$28)</f>
        <v/>
      </c>
      <c r="U46" s="312"/>
      <c r="V46" s="127" t="str">
        <f t="shared" si="21"/>
        <v/>
      </c>
      <c r="W46" s="128" t="str">
        <f t="shared" si="22"/>
        <v/>
      </c>
      <c r="X46" s="157" t="str">
        <f t="shared" si="23"/>
        <v>Ok</v>
      </c>
    </row>
    <row r="47" spans="2:24" x14ac:dyDescent="0.2">
      <c r="F47" s="146" t="str">
        <f t="shared" si="15"/>
        <v/>
      </c>
      <c r="G47" s="152" t="str">
        <f t="shared" si="16"/>
        <v/>
      </c>
      <c r="H47" s="153" t="str">
        <f t="shared" si="17"/>
        <v/>
      </c>
      <c r="I47" s="156" t="str">
        <f>IF(F47="","",SUM($F$29:$F47)/$F$28)</f>
        <v/>
      </c>
      <c r="J47" s="127"/>
      <c r="M47" s="152"/>
      <c r="N47" s="153"/>
      <c r="O47" s="146" t="str">
        <f t="shared" si="24"/>
        <v/>
      </c>
      <c r="P47" s="157"/>
      <c r="Q47" s="152" t="str">
        <f t="shared" si="19"/>
        <v/>
      </c>
      <c r="R47" s="147" t="str">
        <f t="shared" si="20"/>
        <v/>
      </c>
      <c r="S47" s="147"/>
      <c r="T47" s="312" t="str">
        <f>IF(O47="","",SUM($O$29:$O47)/$O$28)</f>
        <v/>
      </c>
      <c r="U47" s="312"/>
      <c r="V47" s="127" t="str">
        <f t="shared" si="21"/>
        <v/>
      </c>
      <c r="W47" s="128" t="str">
        <f t="shared" si="22"/>
        <v/>
      </c>
      <c r="X47" s="157" t="str">
        <f t="shared" si="23"/>
        <v>Ok</v>
      </c>
    </row>
    <row r="48" spans="2:24" x14ac:dyDescent="0.2">
      <c r="F48" s="146" t="str">
        <f t="shared" si="15"/>
        <v/>
      </c>
      <c r="G48" s="152" t="str">
        <f t="shared" si="16"/>
        <v/>
      </c>
      <c r="H48" s="153" t="str">
        <f t="shared" si="17"/>
        <v/>
      </c>
      <c r="I48" s="156" t="str">
        <f>IF(F48="","",SUM($F$29:$F48)/$F$28)</f>
        <v/>
      </c>
      <c r="J48" s="127"/>
      <c r="M48" s="152"/>
      <c r="N48" s="153"/>
      <c r="O48" s="146" t="str">
        <f t="shared" si="24"/>
        <v/>
      </c>
      <c r="P48" s="157"/>
      <c r="Q48" s="152" t="str">
        <f t="shared" si="19"/>
        <v/>
      </c>
      <c r="R48" s="147" t="str">
        <f t="shared" si="20"/>
        <v/>
      </c>
      <c r="S48" s="147"/>
      <c r="T48" s="312" t="str">
        <f>IF(O48="","",SUM($O$29:$O48)/$O$28)</f>
        <v/>
      </c>
      <c r="U48" s="312"/>
      <c r="V48" s="127" t="str">
        <f t="shared" si="21"/>
        <v/>
      </c>
      <c r="W48" s="128" t="str">
        <f t="shared" si="22"/>
        <v/>
      </c>
      <c r="X48" s="157" t="str">
        <f t="shared" si="23"/>
        <v>Ok</v>
      </c>
    </row>
    <row r="49" spans="2:24" x14ac:dyDescent="0.2">
      <c r="F49" s="146" t="str">
        <f t="shared" si="15"/>
        <v/>
      </c>
      <c r="G49" s="152" t="str">
        <f t="shared" si="16"/>
        <v/>
      </c>
      <c r="H49" s="153" t="str">
        <f t="shared" si="17"/>
        <v/>
      </c>
      <c r="I49" s="156" t="str">
        <f>IF(F49="","",SUM($F$29:$F49)/$F$28)</f>
        <v/>
      </c>
      <c r="M49" s="152"/>
      <c r="N49" s="153"/>
      <c r="O49" s="146" t="str">
        <f t="shared" si="24"/>
        <v/>
      </c>
      <c r="P49" s="157"/>
      <c r="Q49" s="152" t="str">
        <f t="shared" si="19"/>
        <v/>
      </c>
      <c r="R49" s="147" t="str">
        <f t="shared" si="20"/>
        <v/>
      </c>
      <c r="S49" s="147"/>
      <c r="T49" s="312" t="str">
        <f>IF(O49="","",SUM($O$29:$O49)/$O$28)</f>
        <v/>
      </c>
      <c r="U49" s="312"/>
      <c r="V49" s="127" t="str">
        <f t="shared" si="21"/>
        <v/>
      </c>
      <c r="W49" s="128" t="str">
        <f t="shared" si="22"/>
        <v/>
      </c>
      <c r="X49" s="157" t="str">
        <f t="shared" si="23"/>
        <v>Ok</v>
      </c>
    </row>
    <row r="50" spans="2:24" x14ac:dyDescent="0.2">
      <c r="B50" s="40" t="s">
        <v>162</v>
      </c>
      <c r="C50" s="53">
        <f t="shared" ref="C50:F50" si="25">SUM(C29:C49)</f>
        <v>10129668</v>
      </c>
      <c r="D50" s="53">
        <f t="shared" si="25"/>
        <v>10145725</v>
      </c>
      <c r="E50" s="53">
        <f t="shared" si="25"/>
        <v>9749054</v>
      </c>
      <c r="F50" s="53">
        <f t="shared" si="25"/>
        <v>10008149</v>
      </c>
      <c r="K50" s="40" t="s">
        <v>162</v>
      </c>
      <c r="L50" s="53">
        <f>SUM(L29:L49)</f>
        <v>12905828280.007568</v>
      </c>
      <c r="M50" s="53">
        <f t="shared" ref="M50:N50" si="26">SUM(M29:M49)</f>
        <v>12905828280.007568</v>
      </c>
      <c r="N50" s="53">
        <f t="shared" si="26"/>
        <v>12905828280.007568</v>
      </c>
      <c r="O50" s="123">
        <f>AVERAGE(L50:N50)</f>
        <v>12905828280.007568</v>
      </c>
      <c r="P50" s="157"/>
    </row>
    <row r="51" spans="2:24" x14ac:dyDescent="0.2">
      <c r="B51" s="24"/>
      <c r="C51" s="159">
        <f t="shared" ref="C51:F51" si="27">C50/C28</f>
        <v>0.69768315454587848</v>
      </c>
      <c r="D51" s="159">
        <f t="shared" si="27"/>
        <v>0.6982008625416094</v>
      </c>
      <c r="E51" s="159">
        <f t="shared" si="27"/>
        <v>0.6704644080208253</v>
      </c>
      <c r="F51" s="461">
        <f t="shared" si="27"/>
        <v>0.68877631569710795</v>
      </c>
      <c r="H51" s="462">
        <f>SUM(H27:H50)</f>
        <v>0.68877631569710773</v>
      </c>
      <c r="L51" s="159">
        <f>L50/L28</f>
        <v>0.55442609893704209</v>
      </c>
      <c r="M51" s="159">
        <f t="shared" ref="M51:O51" si="28">M50/M28</f>
        <v>0.55442609893704209</v>
      </c>
      <c r="N51" s="159">
        <f t="shared" si="28"/>
        <v>0.55442609893704209</v>
      </c>
      <c r="O51" s="159">
        <f t="shared" si="28"/>
        <v>0.55442609893704209</v>
      </c>
      <c r="P51" s="157"/>
      <c r="R51" s="127">
        <f>SUM(R29:R48)</f>
        <v>0.55442609893704198</v>
      </c>
      <c r="S51" s="127"/>
    </row>
    <row r="52" spans="2:24" x14ac:dyDescent="0.2">
      <c r="B52" s="119"/>
      <c r="C52" s="50"/>
      <c r="D52" s="50"/>
      <c r="E52" s="50"/>
      <c r="F52" s="50"/>
      <c r="G52" s="50"/>
      <c r="H52" s="88" t="s">
        <v>52</v>
      </c>
      <c r="I52" s="146" t="str">
        <f>IF(B52="","",AVERAGE(C52:H52))</f>
        <v/>
      </c>
      <c r="J52" s="152" t="str">
        <f>IFERROR(RANK($I52,$I$29:$I$53),"")</f>
        <v/>
      </c>
      <c r="M52" s="127"/>
      <c r="N52" s="119"/>
      <c r="O52" s="157"/>
      <c r="P52" s="157"/>
      <c r="Q52" s="154"/>
      <c r="R52" s="88" t="s">
        <v>52</v>
      </c>
      <c r="S52" s="157"/>
      <c r="V52" s="88"/>
    </row>
    <row r="53" spans="2:24" x14ac:dyDescent="0.2">
      <c r="B53" s="119"/>
      <c r="C53" s="50"/>
      <c r="D53" s="50"/>
      <c r="E53" s="50"/>
      <c r="F53" s="50"/>
      <c r="G53" s="50"/>
      <c r="H53" s="45" t="str">
        <f>IF($H$51=$F$51,"Ok","Error")</f>
        <v>Ok</v>
      </c>
      <c r="I53" s="146" t="str">
        <f>IF(B53="","",AVERAGE(C53:H53))</f>
        <v/>
      </c>
      <c r="J53" s="152" t="str">
        <f>IFERROR(RANK($I53,$I$29:$I$53),"")</f>
        <v/>
      </c>
      <c r="L53" s="156" t="str">
        <f>IF(I53="","",SUM($I$29:$I53)/$F$28)</f>
        <v/>
      </c>
      <c r="M53" s="127"/>
      <c r="N53" s="119"/>
      <c r="Q53" s="154"/>
      <c r="R53" s="45" t="str">
        <f>IF($R$51=$O$51,"Ok","Error")</f>
        <v>Ok</v>
      </c>
      <c r="V53" s="45"/>
    </row>
    <row r="54" spans="2:24" s="21" customFormat="1" ht="15.6" customHeight="1" x14ac:dyDescent="0.2">
      <c r="B54" s="21" t="s">
        <v>154</v>
      </c>
    </row>
    <row r="56" spans="2:24" x14ac:dyDescent="0.2">
      <c r="B56" s="56" t="s">
        <v>213</v>
      </c>
      <c r="C56" s="123" t="s">
        <v>156</v>
      </c>
      <c r="D56" s="123" t="s">
        <v>157</v>
      </c>
    </row>
    <row r="57" spans="2:24" x14ac:dyDescent="0.2">
      <c r="B57" s="272">
        <v>1</v>
      </c>
      <c r="C57" s="272" t="str">
        <f>C63</f>
        <v>Telcel Prepago 1</v>
      </c>
      <c r="D57" s="272" t="str">
        <f>G63</f>
        <v>Telcel Pospago 1</v>
      </c>
    </row>
    <row r="58" spans="2:24" x14ac:dyDescent="0.2">
      <c r="B58" s="272">
        <v>2</v>
      </c>
      <c r="C58" s="217" t="str">
        <f>IF(D63&lt;&gt;C63,D63,E64)</f>
        <v>Telcel Prepago 2</v>
      </c>
      <c r="D58" s="217" t="str">
        <f>IF(H63&lt;&gt;G63,H63,I64)</f>
        <v>Telcel Pospago 8</v>
      </c>
    </row>
    <row r="59" spans="2:24" x14ac:dyDescent="0.2">
      <c r="B59" s="272">
        <v>3</v>
      </c>
      <c r="C59" s="217" t="str">
        <f>IF(AND(D63&lt;&gt;C63,C63&lt;&gt;E64,D63&lt;&gt;E64),E64,E65)</f>
        <v>Telcel Prepago 3</v>
      </c>
      <c r="D59" s="217" t="str">
        <f>IF(AND(H63&lt;&gt;G63,G63&lt;&gt;I64,H63&lt;&gt;I64),I64,I65)</f>
        <v>Telcel Pospago 4</v>
      </c>
    </row>
    <row r="60" spans="2:24" x14ac:dyDescent="0.2">
      <c r="C60" s="217"/>
    </row>
    <row r="61" spans="2:24" x14ac:dyDescent="0.2">
      <c r="B61" s="516" t="s">
        <v>211</v>
      </c>
      <c r="C61" s="515" t="s">
        <v>156</v>
      </c>
      <c r="D61" s="515"/>
      <c r="E61" s="515"/>
      <c r="F61" s="516" t="s">
        <v>211</v>
      </c>
      <c r="G61" s="515" t="s">
        <v>157</v>
      </c>
      <c r="H61" s="515"/>
      <c r="I61" s="518"/>
    </row>
    <row r="62" spans="2:24" x14ac:dyDescent="0.2">
      <c r="B62" s="517"/>
      <c r="C62" s="273" t="s">
        <v>152</v>
      </c>
      <c r="D62" s="273" t="s">
        <v>15</v>
      </c>
      <c r="E62" s="273" t="s">
        <v>212</v>
      </c>
      <c r="F62" s="517"/>
      <c r="G62" s="273" t="s">
        <v>152</v>
      </c>
      <c r="H62" s="273" t="s">
        <v>15</v>
      </c>
      <c r="I62" s="354" t="s">
        <v>212</v>
      </c>
    </row>
    <row r="63" spans="2:24" x14ac:dyDescent="0.2">
      <c r="B63" s="353">
        <v>1</v>
      </c>
      <c r="C63" t="str">
        <f t="shared" ref="C63:C77" si="29">IFERROR(INDEX($B$17:$W$22,MATCH($B63,$G$17:$G$22,0),1),"")</f>
        <v>Telcel Prepago 1</v>
      </c>
      <c r="D63" t="str">
        <f t="shared" ref="D63:D77" si="30">IFERROR(INDEX($B$17:$W$22,MATCH($B63,$Q$17:$Q$22,0),1),"")</f>
        <v>Telcel Prepago 1</v>
      </c>
      <c r="E63" t="str">
        <f t="shared" ref="E63:E77" si="31">IFERROR(INDEX($B$17:$W$22,MATCH($B63,$W$17:$W$22,0),1),"")</f>
        <v>Telcel Prepago 1</v>
      </c>
      <c r="F63" s="353">
        <v>1</v>
      </c>
      <c r="G63" s="31" t="str">
        <f t="shared" ref="G63:G77" si="32">IFERROR(INDEX($B$29:$O$49,MATCH($F63,$G$29:$G$49,0),1),"")</f>
        <v>Telcel Pospago 1</v>
      </c>
      <c r="H63" s="31" t="str">
        <f t="shared" ref="H63:H77" si="33">IFERROR(INDEX($B$29:$O$49,MATCH($F63,$Q$29:$Q$49,0),1),"")</f>
        <v>Telcel Pospago 8</v>
      </c>
      <c r="I63" s="355" t="str">
        <f t="shared" ref="I63:I77" si="34">IFERROR(INDEX($B$29:$O$49,MATCH($F63,$W$29:$W$49,0),1),"")</f>
        <v>Telcel Pospago 1</v>
      </c>
    </row>
    <row r="64" spans="2:24" x14ac:dyDescent="0.2">
      <c r="B64" s="353">
        <v>2</v>
      </c>
      <c r="C64" t="str">
        <f t="shared" si="29"/>
        <v>Telcel Prepago 2</v>
      </c>
      <c r="D64" t="str">
        <f t="shared" si="30"/>
        <v>Telcel Prepago 2</v>
      </c>
      <c r="E64" t="str">
        <f t="shared" si="31"/>
        <v>Telcel Prepago 2</v>
      </c>
      <c r="F64" s="353">
        <v>2</v>
      </c>
      <c r="G64" s="31" t="str">
        <f t="shared" si="32"/>
        <v>Telcel Pospago 8</v>
      </c>
      <c r="H64" s="31" t="str">
        <f t="shared" si="33"/>
        <v>Telcel Pospago 1</v>
      </c>
      <c r="I64" s="355" t="str">
        <f t="shared" si="34"/>
        <v>Telcel Pospago 8</v>
      </c>
    </row>
    <row r="65" spans="2:9" x14ac:dyDescent="0.2">
      <c r="B65" s="353">
        <v>3</v>
      </c>
      <c r="C65" t="str">
        <f t="shared" si="29"/>
        <v>Telcel Prepago 3</v>
      </c>
      <c r="D65" t="str">
        <f t="shared" si="30"/>
        <v>Telcel Prepago 3</v>
      </c>
      <c r="E65" t="str">
        <f t="shared" si="31"/>
        <v>Telcel Prepago 3</v>
      </c>
      <c r="F65" s="353">
        <v>3</v>
      </c>
      <c r="G65" s="31" t="str">
        <f t="shared" si="32"/>
        <v>Telcel Pospago 3</v>
      </c>
      <c r="H65" s="31" t="str">
        <f t="shared" si="33"/>
        <v>Telcel Pospago 4</v>
      </c>
      <c r="I65" s="355" t="str">
        <f t="shared" si="34"/>
        <v>Telcel Pospago 4</v>
      </c>
    </row>
    <row r="66" spans="2:9" x14ac:dyDescent="0.2">
      <c r="B66" s="353">
        <v>4</v>
      </c>
      <c r="C66" t="str">
        <f t="shared" si="29"/>
        <v/>
      </c>
      <c r="D66" t="str">
        <f t="shared" si="30"/>
        <v/>
      </c>
      <c r="E66" t="str">
        <f t="shared" si="31"/>
        <v/>
      </c>
      <c r="F66" s="353">
        <v>4</v>
      </c>
      <c r="G66" s="31" t="str">
        <f t="shared" si="32"/>
        <v>Telcel Pospago 4</v>
      </c>
      <c r="H66" s="31" t="str">
        <f t="shared" si="33"/>
        <v>Telcel Pospago 3</v>
      </c>
      <c r="I66" s="355" t="str">
        <f t="shared" si="34"/>
        <v>Telcel Pospago 3</v>
      </c>
    </row>
    <row r="67" spans="2:9" x14ac:dyDescent="0.2">
      <c r="B67" s="353">
        <v>5</v>
      </c>
      <c r="C67" t="str">
        <f t="shared" si="29"/>
        <v/>
      </c>
      <c r="D67" t="str">
        <f t="shared" si="30"/>
        <v/>
      </c>
      <c r="E67" t="str">
        <f t="shared" si="31"/>
        <v/>
      </c>
      <c r="F67" s="353">
        <v>5</v>
      </c>
      <c r="G67" s="31" t="str">
        <f t="shared" si="32"/>
        <v>Telcel Pospago 2</v>
      </c>
      <c r="H67" s="31" t="str">
        <f t="shared" si="33"/>
        <v>Telcel Pospago 9</v>
      </c>
      <c r="I67" s="355" t="str">
        <f t="shared" si="34"/>
        <v>Telcel Pospago 2</v>
      </c>
    </row>
    <row r="68" spans="2:9" x14ac:dyDescent="0.2">
      <c r="B68" s="353">
        <v>6</v>
      </c>
      <c r="C68" t="str">
        <f t="shared" si="29"/>
        <v/>
      </c>
      <c r="D68" t="str">
        <f t="shared" si="30"/>
        <v/>
      </c>
      <c r="E68" t="str">
        <f t="shared" si="31"/>
        <v/>
      </c>
      <c r="F68" s="353">
        <v>6</v>
      </c>
      <c r="G68" s="31" t="str">
        <f t="shared" si="32"/>
        <v>Telcel Pospago 7</v>
      </c>
      <c r="H68" s="31" t="str">
        <f t="shared" si="33"/>
        <v>Telcel Pospago 5</v>
      </c>
      <c r="I68" s="355" t="str">
        <f t="shared" si="34"/>
        <v>Telcel Pospago 9</v>
      </c>
    </row>
    <row r="69" spans="2:9" x14ac:dyDescent="0.2">
      <c r="B69" s="353">
        <v>7</v>
      </c>
      <c r="C69" t="str">
        <f t="shared" si="29"/>
        <v/>
      </c>
      <c r="D69" t="str">
        <f t="shared" si="30"/>
        <v/>
      </c>
      <c r="E69" t="str">
        <f t="shared" si="31"/>
        <v/>
      </c>
      <c r="F69" s="353">
        <v>7</v>
      </c>
      <c r="G69" s="31" t="str">
        <f t="shared" si="32"/>
        <v>Telcel Pospago 5</v>
      </c>
      <c r="H69" s="31" t="str">
        <f t="shared" si="33"/>
        <v>Telcel Pospago 2</v>
      </c>
      <c r="I69" s="355" t="str">
        <f t="shared" si="34"/>
        <v>Telcel Pospago 7</v>
      </c>
    </row>
    <row r="70" spans="2:9" x14ac:dyDescent="0.2">
      <c r="B70" s="353">
        <v>8</v>
      </c>
      <c r="C70" t="str">
        <f t="shared" si="29"/>
        <v/>
      </c>
      <c r="D70" t="str">
        <f t="shared" si="30"/>
        <v/>
      </c>
      <c r="E70" t="str">
        <f t="shared" si="31"/>
        <v/>
      </c>
      <c r="F70" s="353">
        <v>8</v>
      </c>
      <c r="G70" s="31" t="str">
        <f t="shared" si="32"/>
        <v>Telcel Pospago 10</v>
      </c>
      <c r="H70" s="31" t="str">
        <f t="shared" si="33"/>
        <v>Telcel Pospago 7</v>
      </c>
      <c r="I70" s="355" t="str">
        <f t="shared" si="34"/>
        <v>Telcel Pospago 5</v>
      </c>
    </row>
    <row r="71" spans="2:9" x14ac:dyDescent="0.2">
      <c r="B71" s="353">
        <v>9</v>
      </c>
      <c r="C71" t="str">
        <f t="shared" si="29"/>
        <v/>
      </c>
      <c r="D71" t="str">
        <f t="shared" si="30"/>
        <v/>
      </c>
      <c r="E71" t="str">
        <f t="shared" si="31"/>
        <v/>
      </c>
      <c r="F71" s="353">
        <v>9</v>
      </c>
      <c r="G71" s="31" t="str">
        <f t="shared" si="32"/>
        <v>Telcel Pospago 11</v>
      </c>
      <c r="H71" s="31" t="str">
        <f t="shared" si="33"/>
        <v>Telcel Pospago 12</v>
      </c>
      <c r="I71" s="355" t="str">
        <f t="shared" si="34"/>
        <v>Telcel Pospago 10</v>
      </c>
    </row>
    <row r="72" spans="2:9" x14ac:dyDescent="0.2">
      <c r="B72" s="353">
        <v>10</v>
      </c>
      <c r="C72" t="str">
        <f t="shared" si="29"/>
        <v/>
      </c>
      <c r="D72" t="str">
        <f t="shared" si="30"/>
        <v/>
      </c>
      <c r="E72" t="str">
        <f t="shared" si="31"/>
        <v/>
      </c>
      <c r="F72" s="353">
        <v>10</v>
      </c>
      <c r="G72" s="31" t="str">
        <f t="shared" si="32"/>
        <v>Telcel Pospago 9</v>
      </c>
      <c r="H72" s="31" t="str">
        <f t="shared" si="33"/>
        <v>Telcel Pospago 10</v>
      </c>
      <c r="I72" s="355" t="str">
        <f t="shared" si="34"/>
        <v>Telcel Pospago 11</v>
      </c>
    </row>
    <row r="73" spans="2:9" x14ac:dyDescent="0.2">
      <c r="B73" s="353">
        <v>11</v>
      </c>
      <c r="C73" t="str">
        <f t="shared" si="29"/>
        <v/>
      </c>
      <c r="D73" t="str">
        <f t="shared" si="30"/>
        <v/>
      </c>
      <c r="E73" t="str">
        <f t="shared" si="31"/>
        <v/>
      </c>
      <c r="F73" s="353">
        <v>11</v>
      </c>
      <c r="G73" s="31" t="str">
        <f t="shared" si="32"/>
        <v>Telcel Pospago 12</v>
      </c>
      <c r="H73" s="31" t="str">
        <f t="shared" si="33"/>
        <v>Telcel Pospago 11</v>
      </c>
      <c r="I73" s="355" t="str">
        <f t="shared" si="34"/>
        <v>Telcel Pospago 12</v>
      </c>
    </row>
    <row r="74" spans="2:9" x14ac:dyDescent="0.2">
      <c r="B74" s="353">
        <v>12</v>
      </c>
      <c r="C74" t="str">
        <f t="shared" si="29"/>
        <v/>
      </c>
      <c r="D74" t="str">
        <f t="shared" si="30"/>
        <v/>
      </c>
      <c r="E74" t="str">
        <f t="shared" si="31"/>
        <v/>
      </c>
      <c r="F74" s="353">
        <v>12</v>
      </c>
      <c r="G74" s="31" t="str">
        <f t="shared" si="32"/>
        <v>Telcel Pospago 6</v>
      </c>
      <c r="H74" s="31" t="str">
        <f t="shared" si="33"/>
        <v>Telcel Pospago 6</v>
      </c>
      <c r="I74" s="355" t="str">
        <f t="shared" si="34"/>
        <v>Telcel Pospago 6</v>
      </c>
    </row>
    <row r="75" spans="2:9" x14ac:dyDescent="0.2">
      <c r="B75" s="353">
        <v>13</v>
      </c>
      <c r="C75" t="str">
        <f t="shared" si="29"/>
        <v/>
      </c>
      <c r="D75" t="str">
        <f t="shared" si="30"/>
        <v/>
      </c>
      <c r="E75" t="str">
        <f t="shared" si="31"/>
        <v/>
      </c>
      <c r="F75" s="353">
        <v>13</v>
      </c>
      <c r="G75" s="31" t="str">
        <f t="shared" si="32"/>
        <v/>
      </c>
      <c r="H75" s="31" t="str">
        <f t="shared" si="33"/>
        <v/>
      </c>
      <c r="I75" s="355" t="str">
        <f t="shared" si="34"/>
        <v/>
      </c>
    </row>
    <row r="76" spans="2:9" x14ac:dyDescent="0.2">
      <c r="B76" s="353">
        <v>14</v>
      </c>
      <c r="C76" t="str">
        <f t="shared" si="29"/>
        <v/>
      </c>
      <c r="D76" t="str">
        <f t="shared" si="30"/>
        <v/>
      </c>
      <c r="E76" t="str">
        <f t="shared" si="31"/>
        <v/>
      </c>
      <c r="F76" s="353">
        <v>14</v>
      </c>
      <c r="G76" s="31" t="str">
        <f t="shared" si="32"/>
        <v/>
      </c>
      <c r="H76" s="31" t="str">
        <f t="shared" si="33"/>
        <v/>
      </c>
      <c r="I76" s="355" t="str">
        <f t="shared" si="34"/>
        <v/>
      </c>
    </row>
    <row r="77" spans="2:9" x14ac:dyDescent="0.2">
      <c r="B77" s="356">
        <v>15</v>
      </c>
      <c r="C77" s="245" t="str">
        <f t="shared" si="29"/>
        <v/>
      </c>
      <c r="D77" s="245" t="str">
        <f t="shared" si="30"/>
        <v/>
      </c>
      <c r="E77" s="245" t="str">
        <f t="shared" si="31"/>
        <v/>
      </c>
      <c r="F77" s="356">
        <v>15</v>
      </c>
      <c r="G77" s="245" t="str">
        <f t="shared" si="32"/>
        <v/>
      </c>
      <c r="H77" s="245" t="str">
        <f t="shared" si="33"/>
        <v/>
      </c>
      <c r="I77" s="357" t="str">
        <f t="shared" si="34"/>
        <v/>
      </c>
    </row>
  </sheetData>
  <mergeCells count="8">
    <mergeCell ref="K8:T8"/>
    <mergeCell ref="V8:X8"/>
    <mergeCell ref="B6:F6"/>
    <mergeCell ref="C61:E61"/>
    <mergeCell ref="B61:B62"/>
    <mergeCell ref="G61:I61"/>
    <mergeCell ref="F61:F62"/>
    <mergeCell ref="B8:H8"/>
  </mergeCells>
  <phoneticPr fontId="64" type="noConversion"/>
  <conditionalFormatting sqref="H26 V53 R53">
    <cfRule type="containsText" dxfId="41" priority="27" operator="containsText" text="Error">
      <formula>NOT(ISERROR(SEARCH("Error",H26)))</formula>
    </cfRule>
    <cfRule type="containsText" dxfId="40" priority="28" operator="containsText" text="Ok">
      <formula>NOT(ISERROR(SEARCH("Ok",H26)))</formula>
    </cfRule>
    <cfRule type="expression" dxfId="39" priority="29">
      <formula>"Ok"</formula>
    </cfRule>
  </conditionalFormatting>
  <conditionalFormatting sqref="R26:S26">
    <cfRule type="containsText" dxfId="38" priority="21" operator="containsText" text="Error">
      <formula>NOT(ISERROR(SEARCH("Error",R26)))</formula>
    </cfRule>
    <cfRule type="containsText" dxfId="37" priority="22" operator="containsText" text="Ok">
      <formula>NOT(ISERROR(SEARCH("Ok",R26)))</formula>
    </cfRule>
    <cfRule type="expression" dxfId="36" priority="23">
      <formula>"Ok"</formula>
    </cfRule>
  </conditionalFormatting>
  <conditionalFormatting sqref="X12">
    <cfRule type="containsText" dxfId="35" priority="15" operator="containsText" text="Error">
      <formula>NOT(ISERROR(SEARCH("Error",X12)))</formula>
    </cfRule>
    <cfRule type="containsText" dxfId="34" priority="16" operator="containsText" text="Ok">
      <formula>NOT(ISERROR(SEARCH("Ok",X12)))</formula>
    </cfRule>
    <cfRule type="expression" dxfId="33" priority="17">
      <formula>"Ok"</formula>
    </cfRule>
  </conditionalFormatting>
  <conditionalFormatting sqref="I12">
    <cfRule type="containsText" dxfId="32" priority="12" operator="containsText" text="Error">
      <formula>NOT(ISERROR(SEARCH("Error",I12)))</formula>
    </cfRule>
    <cfRule type="containsText" dxfId="31" priority="13" operator="containsText" text="Ok">
      <formula>NOT(ISERROR(SEARCH("Ok",I12)))</formula>
    </cfRule>
    <cfRule type="expression" dxfId="30" priority="14">
      <formula>"Ok"</formula>
    </cfRule>
  </conditionalFormatting>
  <conditionalFormatting sqref="H53">
    <cfRule type="containsText" dxfId="29" priority="9" operator="containsText" text="Error">
      <formula>NOT(ISERROR(SEARCH("Error",H53)))</formula>
    </cfRule>
    <cfRule type="containsText" dxfId="28" priority="10" operator="containsText" text="Ok">
      <formula>NOT(ISERROR(SEARCH("Ok",H53)))</formula>
    </cfRule>
    <cfRule type="expression" dxfId="27" priority="11">
      <formula>"Ok"</formula>
    </cfRule>
  </conditionalFormatting>
  <conditionalFormatting sqref="P50:P51 R40:W49 X41:X49 Q17:X22 Q24:X40 Q23:W23 R51:S51 M41:N50 V52:V53 O52:S53 P41:Q49">
    <cfRule type="containsText" dxfId="26" priority="6" operator="containsText" text="Error">
      <formula>NOT(ISERROR(SEARCH("Error",M17)))</formula>
    </cfRule>
    <cfRule type="containsText" dxfId="25" priority="7" operator="containsText" text="Ok">
      <formula>NOT(ISERROR(SEARCH("Ok",M17)))</formula>
    </cfRule>
  </conditionalFormatting>
  <pageMargins left="0.7" right="0.7" top="0.75" bottom="0.75" header="0.3" footer="0.3"/>
  <pageSetup paperSize="9" orientation="portrait" r:id="rId1"/>
  <ignoredErrors>
    <ignoredError sqref="E10" unlockedFormula="1"/>
    <ignoredError sqref="D23:E23" formulaRange="1" unlockedFormula="1"/>
    <ignoredError sqref="O52 F23" formulaRange="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8F9D08-F92B-465D-B775-DF42EE5661DA}">
  <sheetPr codeName="Sheet13">
    <tabColor theme="7" tint="0.79998168889431442"/>
  </sheetPr>
  <dimension ref="B1:R152"/>
  <sheetViews>
    <sheetView showGridLines="0" zoomScaleNormal="100" workbookViewId="0"/>
  </sheetViews>
  <sheetFormatPr baseColWidth="10" defaultColWidth="8.7109375" defaultRowHeight="12.75" x14ac:dyDescent="0.2"/>
  <cols>
    <col min="1" max="1" width="1.7109375" customWidth="1"/>
    <col min="2" max="2" width="25.42578125" customWidth="1"/>
    <col min="3" max="3" width="47.28515625" customWidth="1"/>
    <col min="4" max="4" width="22.5703125" customWidth="1"/>
    <col min="5" max="5" width="4.28515625" customWidth="1"/>
    <col min="6" max="6" width="28.28515625" customWidth="1"/>
    <col min="7" max="9" width="24.5703125" customWidth="1"/>
    <col min="10" max="10" width="24.5703125" hidden="1" customWidth="1"/>
    <col min="11" max="14" width="24.5703125" customWidth="1"/>
    <col min="16" max="16" width="12.5703125" customWidth="1"/>
  </cols>
  <sheetData>
    <row r="1" spans="2:18" s="1" customFormat="1" ht="20.25" x14ac:dyDescent="0.3">
      <c r="B1" s="1" t="s">
        <v>123</v>
      </c>
    </row>
    <row r="3" spans="2:18" ht="20.100000000000001" customHeight="1" x14ac:dyDescent="0.2">
      <c r="C3" s="17" t="s">
        <v>24</v>
      </c>
      <c r="D3" s="71"/>
      <c r="E3" s="71"/>
    </row>
    <row r="4" spans="2:18" x14ac:dyDescent="0.2">
      <c r="D4" s="3"/>
      <c r="E4" s="3"/>
      <c r="H4" s="519" t="s">
        <v>280</v>
      </c>
      <c r="I4" s="520"/>
      <c r="J4" s="520"/>
      <c r="K4" s="520"/>
      <c r="L4" s="520"/>
      <c r="M4" s="521"/>
    </row>
    <row r="5" spans="2:18" x14ac:dyDescent="0.2">
      <c r="C5" s="19" t="s">
        <v>25</v>
      </c>
      <c r="D5" s="105" t="s">
        <v>26</v>
      </c>
      <c r="E5" s="105"/>
      <c r="F5" s="105" t="s">
        <v>27</v>
      </c>
      <c r="H5" s="522"/>
      <c r="I5" s="523"/>
      <c r="J5" s="523"/>
      <c r="K5" s="523"/>
      <c r="L5" s="523"/>
      <c r="M5" s="524"/>
    </row>
    <row r="6" spans="2:18" x14ac:dyDescent="0.2">
      <c r="D6" s="101">
        <f>Supuestos!$C$5</f>
        <v>44652</v>
      </c>
      <c r="E6" s="106"/>
      <c r="F6" s="101">
        <f>Supuestos!$C$6</f>
        <v>44742</v>
      </c>
      <c r="H6" s="525"/>
      <c r="I6" s="526"/>
      <c r="J6" s="526"/>
      <c r="K6" s="526"/>
      <c r="L6" s="526"/>
      <c r="M6" s="527"/>
    </row>
    <row r="8" spans="2:18" s="21" customFormat="1" ht="15.6" customHeight="1" x14ac:dyDescent="0.2">
      <c r="B8" s="21" t="s">
        <v>15</v>
      </c>
    </row>
    <row r="9" spans="2:18" s="54" customFormat="1" ht="15.6" customHeight="1" x14ac:dyDescent="0.2"/>
    <row r="10" spans="2:18" s="54" customFormat="1" ht="15.6" customHeight="1" x14ac:dyDescent="0.2">
      <c r="C10" s="100" t="str">
        <f>_xlfn.CONCAT("De ",TEXT($D$6,"dd/mm/yyyy")," a ",TEXT($F$6,"dd/mm/yyyy"))</f>
        <v>De 01/04/yyyy a 30/06/yyyy</v>
      </c>
    </row>
    <row r="11" spans="2:18" ht="39.6" customHeight="1" x14ac:dyDescent="0.2">
      <c r="C11" s="47" t="s">
        <v>28</v>
      </c>
      <c r="D11" s="47" t="s">
        <v>62</v>
      </c>
      <c r="E11" s="47"/>
      <c r="F11" s="28" t="str">
        <f>Supuestos!B$75</f>
        <v>Todos los segmentos</v>
      </c>
      <c r="G11" s="28" t="str">
        <f>Supuestos!B$76</f>
        <v>Segmento Prepago</v>
      </c>
      <c r="H11" s="28" t="str">
        <f>Supuestos!B$77</f>
        <v>Segmento Pospago</v>
      </c>
      <c r="I11" s="28" t="str">
        <f>Supuestos!B$78</f>
        <v>Telcel Prepago 1</v>
      </c>
      <c r="J11" s="28" t="str">
        <f>Supuestos!B$79</f>
        <v>Telcel Prepago 2</v>
      </c>
      <c r="K11" s="28" t="str">
        <f>Supuestos!B$80</f>
        <v>Telcel Prepago 3</v>
      </c>
      <c r="L11" s="28" t="str">
        <f>Supuestos!B$81</f>
        <v>Telcel Pospago 1</v>
      </c>
      <c r="M11" s="28" t="str">
        <f>Supuestos!B$82</f>
        <v>Telcel Pospago 8</v>
      </c>
      <c r="N11" s="28" t="str">
        <f>Supuestos!B$83</f>
        <v>Telcel Pospago 4</v>
      </c>
      <c r="O11" s="27"/>
      <c r="Q11" s="27"/>
      <c r="R11" s="27"/>
    </row>
    <row r="12" spans="2:18" ht="15.6" customHeight="1" x14ac:dyDescent="0.2">
      <c r="C12" s="40" t="s">
        <v>30</v>
      </c>
      <c r="D12" s="56" t="s">
        <v>79</v>
      </c>
      <c r="E12" s="56"/>
      <c r="F12" s="41">
        <f>G12+H12</f>
        <v>23000000000</v>
      </c>
      <c r="G12" s="41">
        <f t="shared" ref="G12:N12" si="0">SUM(G13:G20)</f>
        <v>14850000000</v>
      </c>
      <c r="H12" s="41">
        <f t="shared" si="0"/>
        <v>8150000000</v>
      </c>
      <c r="I12" s="41">
        <f t="shared" si="0"/>
        <v>4950000000.000001</v>
      </c>
      <c r="J12" s="41">
        <f t="shared" si="0"/>
        <v>4950000000.000001</v>
      </c>
      <c r="K12" s="41">
        <f t="shared" si="0"/>
        <v>4950000000.000001</v>
      </c>
      <c r="L12" s="41">
        <f t="shared" si="0"/>
        <v>2716666666.6666665</v>
      </c>
      <c r="M12" s="41">
        <f t="shared" si="0"/>
        <v>2716666666.6666665</v>
      </c>
      <c r="N12" s="41">
        <f t="shared" si="0"/>
        <v>2716666666.6666665</v>
      </c>
      <c r="O12" s="27"/>
      <c r="Q12" s="27"/>
      <c r="R12" s="27"/>
    </row>
    <row r="13" spans="2:18" x14ac:dyDescent="0.2">
      <c r="C13" s="23" t="s">
        <v>31</v>
      </c>
      <c r="D13" s="55" t="s">
        <v>79</v>
      </c>
      <c r="E13" s="55"/>
      <c r="F13" s="49">
        <v>20000000</v>
      </c>
      <c r="G13" s="49">
        <v>0</v>
      </c>
      <c r="H13" s="49">
        <v>20000000</v>
      </c>
      <c r="I13" s="49">
        <v>0</v>
      </c>
      <c r="J13" s="49">
        <v>0</v>
      </c>
      <c r="K13" s="49">
        <v>0</v>
      </c>
      <c r="L13" s="49">
        <v>6666666.666666667</v>
      </c>
      <c r="M13" s="49">
        <v>6666666.666666667</v>
      </c>
      <c r="N13" s="49">
        <v>6666666.666666667</v>
      </c>
    </row>
    <row r="14" spans="2:18" x14ac:dyDescent="0.2">
      <c r="C14" s="23" t="s">
        <v>32</v>
      </c>
      <c r="D14" s="55" t="s">
        <v>79</v>
      </c>
      <c r="E14" s="55"/>
      <c r="F14" s="49">
        <v>1080000000</v>
      </c>
      <c r="G14" s="49">
        <v>1000000000</v>
      </c>
      <c r="H14" s="49">
        <v>80000000</v>
      </c>
      <c r="I14" s="49">
        <v>333333333.33333331</v>
      </c>
      <c r="J14" s="49">
        <v>333333333.33333331</v>
      </c>
      <c r="K14" s="49">
        <v>333333333.33333331</v>
      </c>
      <c r="L14" s="49">
        <v>26666666.666666668</v>
      </c>
      <c r="M14" s="49">
        <v>26666666.666666668</v>
      </c>
      <c r="N14" s="49">
        <v>26666666.666666668</v>
      </c>
    </row>
    <row r="15" spans="2:18" x14ac:dyDescent="0.2">
      <c r="C15" s="23" t="s">
        <v>33</v>
      </c>
      <c r="D15" s="55" t="s">
        <v>79</v>
      </c>
      <c r="E15" s="55"/>
      <c r="F15" s="49">
        <v>10000000000</v>
      </c>
      <c r="G15" s="49">
        <v>7000000000</v>
      </c>
      <c r="H15" s="49">
        <v>3000000000</v>
      </c>
      <c r="I15" s="49">
        <v>2333333333.3333335</v>
      </c>
      <c r="J15" s="49">
        <v>2333333333.3333335</v>
      </c>
      <c r="K15" s="49">
        <v>2333333333.3333335</v>
      </c>
      <c r="L15" s="49">
        <v>1000000000</v>
      </c>
      <c r="M15" s="49">
        <v>1000000000</v>
      </c>
      <c r="N15" s="49">
        <v>1000000000</v>
      </c>
    </row>
    <row r="16" spans="2:18" x14ac:dyDescent="0.2">
      <c r="C16" s="23" t="s">
        <v>34</v>
      </c>
      <c r="D16" s="55" t="s">
        <v>79</v>
      </c>
      <c r="E16" s="55"/>
      <c r="F16" s="49">
        <v>900000000</v>
      </c>
      <c r="G16" s="49">
        <v>800000000</v>
      </c>
      <c r="H16" s="49">
        <v>100000000</v>
      </c>
      <c r="I16" s="49">
        <v>266666666.66666666</v>
      </c>
      <c r="J16" s="49">
        <v>266666666.66666666</v>
      </c>
      <c r="K16" s="49">
        <v>266666666.66666666</v>
      </c>
      <c r="L16" s="49">
        <v>33333333.333333332</v>
      </c>
      <c r="M16" s="49">
        <v>33333333.333333332</v>
      </c>
      <c r="N16" s="49">
        <v>33333333.333333332</v>
      </c>
    </row>
    <row r="17" spans="2:14" x14ac:dyDescent="0.2">
      <c r="C17" s="23" t="s">
        <v>35</v>
      </c>
      <c r="D17" s="55" t="s">
        <v>79</v>
      </c>
      <c r="E17" s="55"/>
      <c r="F17" s="49">
        <v>0</v>
      </c>
      <c r="G17" s="49">
        <v>0</v>
      </c>
      <c r="H17" s="49">
        <v>0</v>
      </c>
      <c r="I17" s="49">
        <v>0</v>
      </c>
      <c r="J17" s="49">
        <v>0</v>
      </c>
      <c r="K17" s="49">
        <v>0</v>
      </c>
      <c r="L17" s="49">
        <v>0</v>
      </c>
      <c r="M17" s="49">
        <v>0</v>
      </c>
      <c r="N17" s="49">
        <v>0</v>
      </c>
    </row>
    <row r="18" spans="2:14" x14ac:dyDescent="0.2">
      <c r="C18" s="23" t="s">
        <v>36</v>
      </c>
      <c r="D18" s="55" t="s">
        <v>79</v>
      </c>
      <c r="E18" s="55"/>
      <c r="F18" s="49">
        <v>0</v>
      </c>
      <c r="G18" s="49">
        <v>0</v>
      </c>
      <c r="H18" s="49">
        <v>0</v>
      </c>
      <c r="I18" s="49">
        <v>0</v>
      </c>
      <c r="J18" s="49">
        <v>0</v>
      </c>
      <c r="K18" s="49">
        <v>0</v>
      </c>
      <c r="L18" s="49">
        <v>0</v>
      </c>
      <c r="M18" s="49">
        <v>0</v>
      </c>
      <c r="N18" s="49">
        <v>0</v>
      </c>
    </row>
    <row r="19" spans="2:14" x14ac:dyDescent="0.2">
      <c r="C19" s="23" t="s">
        <v>37</v>
      </c>
      <c r="D19" s="55" t="s">
        <v>79</v>
      </c>
      <c r="E19" s="55"/>
      <c r="F19" s="49">
        <v>10000000000</v>
      </c>
      <c r="G19" s="49">
        <v>6000000000</v>
      </c>
      <c r="H19" s="49">
        <v>4000000000</v>
      </c>
      <c r="I19" s="49">
        <v>2000000000</v>
      </c>
      <c r="J19" s="49">
        <v>2000000000</v>
      </c>
      <c r="K19" s="49">
        <v>2000000000</v>
      </c>
      <c r="L19" s="49">
        <v>1333333333.3333333</v>
      </c>
      <c r="M19" s="49">
        <v>1333333333.3333333</v>
      </c>
      <c r="N19" s="49">
        <v>1333333333.3333333</v>
      </c>
    </row>
    <row r="20" spans="2:14" x14ac:dyDescent="0.2">
      <c r="C20" s="23" t="s">
        <v>38</v>
      </c>
      <c r="D20" s="55" t="s">
        <v>79</v>
      </c>
      <c r="E20" s="55"/>
      <c r="F20" s="49">
        <v>1000000000</v>
      </c>
      <c r="G20" s="49">
        <v>50000000</v>
      </c>
      <c r="H20" s="49">
        <v>950000000</v>
      </c>
      <c r="I20" s="49">
        <v>16666666.666666666</v>
      </c>
      <c r="J20" s="49">
        <v>16666666.666666666</v>
      </c>
      <c r="K20" s="49">
        <v>16666666.666666666</v>
      </c>
      <c r="L20" s="49">
        <v>316666666.66666669</v>
      </c>
      <c r="M20" s="49">
        <v>316666666.66666669</v>
      </c>
      <c r="N20" s="49">
        <v>316666666.66666669</v>
      </c>
    </row>
    <row r="21" spans="2:14" x14ac:dyDescent="0.2">
      <c r="I21" s="484"/>
    </row>
    <row r="22" spans="2:14" x14ac:dyDescent="0.2">
      <c r="C22" s="44" t="s">
        <v>52</v>
      </c>
      <c r="D22" s="44"/>
      <c r="E22" s="44"/>
      <c r="F22" s="45" t="str">
        <f>IF(F12=SUM(F13:F20),"Ok","Error")</f>
        <v>Ok</v>
      </c>
      <c r="H22" s="97"/>
    </row>
    <row r="23" spans="2:14" x14ac:dyDescent="0.2">
      <c r="C23" s="44"/>
      <c r="D23" s="44"/>
      <c r="E23" s="44"/>
      <c r="F23" s="45"/>
    </row>
    <row r="24" spans="2:14" s="21" customFormat="1" ht="15.6" customHeight="1" x14ac:dyDescent="0.2">
      <c r="B24" s="21" t="s">
        <v>152</v>
      </c>
    </row>
    <row r="26" spans="2:14" x14ac:dyDescent="0.2">
      <c r="C26" s="100" t="str">
        <f>_xlfn.CONCAT("De ",TEXT($D$6,"dd/mm/yyyy")," a ",TEXT($F$6,"dd/mm/yyyy"))</f>
        <v>De 01/04/yyyy a 30/06/yyyy</v>
      </c>
      <c r="D26" s="18"/>
      <c r="E26" s="18"/>
      <c r="I26" s="484"/>
    </row>
    <row r="27" spans="2:14" x14ac:dyDescent="0.2">
      <c r="C27" s="18"/>
      <c r="D27" s="18"/>
      <c r="E27" s="18"/>
      <c r="I27" s="484"/>
    </row>
    <row r="28" spans="2:14" x14ac:dyDescent="0.2">
      <c r="C28" s="22" t="s">
        <v>28</v>
      </c>
      <c r="D28" s="47" t="s">
        <v>62</v>
      </c>
      <c r="E28" s="47"/>
      <c r="F28" s="48">
        <f>$D$6</f>
        <v>44652</v>
      </c>
      <c r="G28" s="48">
        <f>F6</f>
        <v>44742</v>
      </c>
      <c r="H28" s="48" t="s">
        <v>61</v>
      </c>
      <c r="I28" s="484"/>
    </row>
    <row r="29" spans="2:14" x14ac:dyDescent="0.2">
      <c r="C29" s="40" t="str">
        <f>Supuestos!$B$75</f>
        <v>Todos los segmentos</v>
      </c>
      <c r="D29" s="40" t="s">
        <v>80</v>
      </c>
      <c r="E29" s="40"/>
      <c r="F29" s="53">
        <f>+F31+F33+F35</f>
        <v>71000000</v>
      </c>
      <c r="G29" s="53">
        <f>+G31+G33+G35</f>
        <v>71000000</v>
      </c>
      <c r="H29" s="53">
        <f>AVERAGE(F29:G29)</f>
        <v>71000000</v>
      </c>
      <c r="I29" s="484"/>
    </row>
    <row r="30" spans="2:14" x14ac:dyDescent="0.2">
      <c r="C30" s="307" t="s">
        <v>42</v>
      </c>
      <c r="D30" s="298"/>
      <c r="E30" s="298"/>
      <c r="F30" s="52">
        <f>F32+F34+F36</f>
        <v>0</v>
      </c>
      <c r="G30" s="52">
        <f t="shared" ref="G30:H30" si="1">G32+G34+G36</f>
        <v>0</v>
      </c>
      <c r="H30" s="52">
        <f t="shared" si="1"/>
        <v>0</v>
      </c>
      <c r="I30" s="484"/>
    </row>
    <row r="31" spans="2:14" x14ac:dyDescent="0.2">
      <c r="C31" s="308" t="str">
        <f>Supuestos!B76</f>
        <v>Segmento Prepago</v>
      </c>
      <c r="D31" s="20" t="s">
        <v>80</v>
      </c>
      <c r="E31" s="20"/>
      <c r="F31" s="50">
        <v>60000000</v>
      </c>
      <c r="G31" s="50">
        <v>60000000</v>
      </c>
      <c r="H31" s="52">
        <f>AVERAGE(F31:G31)</f>
        <v>60000000</v>
      </c>
      <c r="I31" s="484"/>
    </row>
    <row r="32" spans="2:14" x14ac:dyDescent="0.2">
      <c r="B32" s="73"/>
      <c r="C32" s="307" t="s">
        <v>42</v>
      </c>
      <c r="D32" s="236"/>
      <c r="E32" s="236"/>
      <c r="F32" s="237">
        <v>0</v>
      </c>
      <c r="G32" s="237">
        <v>0</v>
      </c>
      <c r="H32" s="313">
        <f>AVERAGE(F32:G32)</f>
        <v>0</v>
      </c>
      <c r="I32" s="484"/>
    </row>
    <row r="33" spans="2:9" x14ac:dyDescent="0.2">
      <c r="B33" s="73"/>
      <c r="C33" s="308" t="str">
        <f>Supuestos!$B$77</f>
        <v>Segmento Pospago</v>
      </c>
      <c r="D33" s="236" t="s">
        <v>80</v>
      </c>
      <c r="E33" s="236"/>
      <c r="F33" s="237">
        <v>8000000</v>
      </c>
      <c r="G33" s="237">
        <v>8000000</v>
      </c>
      <c r="H33" s="313">
        <f t="shared" ref="H33:H48" si="2">AVERAGE(F33:G33)</f>
        <v>8000000</v>
      </c>
      <c r="I33" s="484"/>
    </row>
    <row r="34" spans="2:9" x14ac:dyDescent="0.2">
      <c r="B34" s="73"/>
      <c r="C34" s="307" t="s">
        <v>42</v>
      </c>
      <c r="D34" s="236"/>
      <c r="E34" s="236"/>
      <c r="F34" s="237">
        <v>0</v>
      </c>
      <c r="G34" s="237">
        <v>0</v>
      </c>
      <c r="H34" s="313">
        <f t="shared" si="2"/>
        <v>0</v>
      </c>
    </row>
    <row r="35" spans="2:9" x14ac:dyDescent="0.2">
      <c r="B35" s="73"/>
      <c r="C35" s="308" t="s">
        <v>234</v>
      </c>
      <c r="D35" s="236" t="s">
        <v>80</v>
      </c>
      <c r="E35" s="236"/>
      <c r="F35" s="237">
        <v>3000000</v>
      </c>
      <c r="G35" s="237">
        <v>3000000</v>
      </c>
      <c r="H35" s="313">
        <f t="shared" si="2"/>
        <v>3000000</v>
      </c>
    </row>
    <row r="36" spans="2:9" x14ac:dyDescent="0.2">
      <c r="B36" s="73"/>
      <c r="C36" s="307" t="s">
        <v>42</v>
      </c>
      <c r="D36" s="236"/>
      <c r="E36" s="236"/>
      <c r="F36" s="237">
        <v>0</v>
      </c>
      <c r="G36" s="237">
        <v>0</v>
      </c>
      <c r="H36" s="313">
        <f t="shared" si="2"/>
        <v>0</v>
      </c>
    </row>
    <row r="37" spans="2:9" x14ac:dyDescent="0.2">
      <c r="B37" s="73"/>
      <c r="C37" s="308" t="str">
        <f>Supuestos!B78</f>
        <v>Telcel Prepago 1</v>
      </c>
      <c r="D37" s="236" t="s">
        <v>80</v>
      </c>
      <c r="E37" s="236"/>
      <c r="F37" s="237">
        <v>50000000</v>
      </c>
      <c r="G37" s="237">
        <v>50000000</v>
      </c>
      <c r="H37" s="313">
        <f t="shared" si="2"/>
        <v>50000000</v>
      </c>
    </row>
    <row r="38" spans="2:9" x14ac:dyDescent="0.2">
      <c r="B38" s="73"/>
      <c r="C38" s="307" t="s">
        <v>42</v>
      </c>
      <c r="D38" s="236"/>
      <c r="E38" s="236"/>
      <c r="F38" s="237">
        <v>0</v>
      </c>
      <c r="G38" s="237">
        <v>0</v>
      </c>
      <c r="H38" s="313">
        <f t="shared" si="2"/>
        <v>0</v>
      </c>
    </row>
    <row r="39" spans="2:9" x14ac:dyDescent="0.2">
      <c r="B39" s="73"/>
      <c r="C39" s="308" t="str">
        <f>Supuestos!B79</f>
        <v>Telcel Prepago 2</v>
      </c>
      <c r="D39" s="236" t="s">
        <v>80</v>
      </c>
      <c r="E39" s="236"/>
      <c r="F39" s="237">
        <v>1500000</v>
      </c>
      <c r="G39" s="237">
        <v>1500000</v>
      </c>
      <c r="H39" s="313">
        <f t="shared" si="2"/>
        <v>1500000</v>
      </c>
    </row>
    <row r="40" spans="2:9" x14ac:dyDescent="0.2">
      <c r="C40" s="307" t="s">
        <v>42</v>
      </c>
      <c r="D40" s="20"/>
      <c r="E40" s="20"/>
      <c r="F40" s="51">
        <v>0</v>
      </c>
      <c r="G40" s="51">
        <v>0</v>
      </c>
      <c r="H40" s="52">
        <f t="shared" si="2"/>
        <v>0</v>
      </c>
    </row>
    <row r="41" spans="2:9" x14ac:dyDescent="0.2">
      <c r="C41" s="308" t="str">
        <f>Supuestos!B80</f>
        <v>Telcel Prepago 3</v>
      </c>
      <c r="D41" s="20" t="s">
        <v>80</v>
      </c>
      <c r="E41" s="20"/>
      <c r="F41" s="51">
        <v>500000</v>
      </c>
      <c r="G41" s="51">
        <v>500000</v>
      </c>
      <c r="H41" s="52">
        <f t="shared" si="2"/>
        <v>500000</v>
      </c>
    </row>
    <row r="42" spans="2:9" x14ac:dyDescent="0.2">
      <c r="C42" s="307" t="s">
        <v>42</v>
      </c>
      <c r="D42" s="20"/>
      <c r="E42" s="20"/>
      <c r="F42" s="51">
        <v>0</v>
      </c>
      <c r="G42" s="51">
        <v>0</v>
      </c>
      <c r="H42" s="52">
        <f t="shared" si="2"/>
        <v>0</v>
      </c>
    </row>
    <row r="43" spans="2:9" x14ac:dyDescent="0.2">
      <c r="C43" s="308" t="str">
        <f>Supuestos!B81</f>
        <v>Telcel Pospago 1</v>
      </c>
      <c r="D43" s="20" t="s">
        <v>80</v>
      </c>
      <c r="E43" s="20"/>
      <c r="F43" s="51">
        <v>1500000</v>
      </c>
      <c r="G43" s="51">
        <v>1500000</v>
      </c>
      <c r="H43" s="52">
        <f t="shared" si="2"/>
        <v>1500000</v>
      </c>
    </row>
    <row r="44" spans="2:9" x14ac:dyDescent="0.2">
      <c r="C44" s="307" t="s">
        <v>42</v>
      </c>
      <c r="D44" s="20"/>
      <c r="E44" s="20"/>
      <c r="F44" s="51">
        <v>0</v>
      </c>
      <c r="G44" s="51">
        <v>0</v>
      </c>
      <c r="H44" s="52">
        <f t="shared" si="2"/>
        <v>0</v>
      </c>
    </row>
    <row r="45" spans="2:9" x14ac:dyDescent="0.2">
      <c r="C45" s="308" t="str">
        <f>Supuestos!$B$82</f>
        <v>Telcel Pospago 8</v>
      </c>
      <c r="D45" s="20" t="s">
        <v>80</v>
      </c>
      <c r="E45" s="20"/>
      <c r="F45" s="51">
        <v>700000</v>
      </c>
      <c r="G45" s="51">
        <v>700000</v>
      </c>
      <c r="H45" s="52">
        <f t="shared" si="2"/>
        <v>700000</v>
      </c>
    </row>
    <row r="46" spans="2:9" x14ac:dyDescent="0.2">
      <c r="C46" s="307" t="s">
        <v>42</v>
      </c>
      <c r="D46" s="20"/>
      <c r="E46" s="20"/>
      <c r="F46" s="51">
        <v>0</v>
      </c>
      <c r="G46" s="51">
        <v>0</v>
      </c>
      <c r="H46" s="52">
        <f t="shared" si="2"/>
        <v>0</v>
      </c>
    </row>
    <row r="47" spans="2:9" x14ac:dyDescent="0.2">
      <c r="C47" s="308" t="str">
        <f>Supuestos!B83</f>
        <v>Telcel Pospago 4</v>
      </c>
      <c r="D47" s="20" t="s">
        <v>80</v>
      </c>
      <c r="E47" s="20"/>
      <c r="F47" s="51">
        <v>1500000</v>
      </c>
      <c r="G47" s="51">
        <v>1500000</v>
      </c>
      <c r="H47" s="52">
        <f t="shared" si="2"/>
        <v>1500000</v>
      </c>
    </row>
    <row r="48" spans="2:9" x14ac:dyDescent="0.2">
      <c r="C48" s="307" t="s">
        <v>42</v>
      </c>
      <c r="D48" s="20"/>
      <c r="E48" s="20"/>
      <c r="F48" s="51">
        <v>0</v>
      </c>
      <c r="G48" s="51">
        <v>0</v>
      </c>
      <c r="H48" s="52">
        <f t="shared" si="2"/>
        <v>0</v>
      </c>
    </row>
    <row r="49" spans="2:14" x14ac:dyDescent="0.2">
      <c r="C49" s="18"/>
      <c r="D49" s="18"/>
      <c r="E49" s="18"/>
    </row>
    <row r="50" spans="2:14" s="21" customFormat="1" ht="15.6" customHeight="1" x14ac:dyDescent="0.2">
      <c r="B50" s="21" t="s">
        <v>43</v>
      </c>
    </row>
    <row r="51" spans="2:14" x14ac:dyDescent="0.2">
      <c r="C51" s="18"/>
      <c r="D51" s="18"/>
      <c r="E51" s="18"/>
    </row>
    <row r="52" spans="2:14" x14ac:dyDescent="0.2">
      <c r="C52" s="100" t="str">
        <f>_xlfn.CONCAT("De ",TEXT($D$6,"dd/mm/yyyy")," a ",TEXT($F$6,"dd/mm/yyyy"))</f>
        <v>De 01/04/yyyy a 30/06/yyyy</v>
      </c>
      <c r="D52" s="18"/>
      <c r="E52" s="18"/>
    </row>
    <row r="53" spans="2:14" ht="25.5" x14ac:dyDescent="0.2">
      <c r="C53" s="22" t="s">
        <v>28</v>
      </c>
      <c r="D53" s="275" t="s">
        <v>62</v>
      </c>
      <c r="E53" s="275"/>
      <c r="F53" s="118" t="str">
        <f>Supuestos!B$75</f>
        <v>Todos los segmentos</v>
      </c>
      <c r="G53" s="276" t="str">
        <f>Supuestos!$B$76</f>
        <v>Segmento Prepago</v>
      </c>
      <c r="H53" s="276" t="str">
        <f>Supuestos!$B$77</f>
        <v>Segmento Pospago</v>
      </c>
      <c r="I53" s="118" t="str">
        <f>Supuestos!B$78</f>
        <v>Telcel Prepago 1</v>
      </c>
      <c r="J53" s="118" t="str">
        <f>Supuestos!B$79</f>
        <v>Telcel Prepago 2</v>
      </c>
      <c r="K53" s="118" t="str">
        <f>Supuestos!B$80</f>
        <v>Telcel Prepago 3</v>
      </c>
      <c r="L53" s="118" t="str">
        <f>Supuestos!B$81</f>
        <v>Telcel Pospago 1</v>
      </c>
      <c r="M53" s="118" t="str">
        <f>Supuestos!B$82</f>
        <v>Telcel Pospago 8</v>
      </c>
      <c r="N53" s="276" t="str">
        <f>Supuestos!$B$83</f>
        <v>Telcel Pospago 4</v>
      </c>
    </row>
    <row r="54" spans="2:14" x14ac:dyDescent="0.2">
      <c r="B54" t="s">
        <v>66</v>
      </c>
      <c r="C54" s="183" t="str">
        <f>IF(Supuestos!B48="","",Supuestos!B48)</f>
        <v>Datos</v>
      </c>
      <c r="D54" s="201" t="s">
        <v>63</v>
      </c>
      <c r="E54" s="201"/>
      <c r="F54" s="463">
        <v>100000000000</v>
      </c>
      <c r="G54" s="51">
        <v>30000000000</v>
      </c>
      <c r="H54" s="51">
        <v>70000000000</v>
      </c>
      <c r="I54" s="51">
        <v>10000000000</v>
      </c>
      <c r="J54" s="51">
        <v>48649927456.636688</v>
      </c>
      <c r="K54" s="51">
        <v>10000000000</v>
      </c>
      <c r="L54" s="51">
        <v>23333333333.333332</v>
      </c>
      <c r="M54" s="51">
        <v>23333333333.333332</v>
      </c>
      <c r="N54" s="51">
        <v>23333333333.333332</v>
      </c>
    </row>
    <row r="55" spans="2:14" x14ac:dyDescent="0.2">
      <c r="B55" t="s">
        <v>314</v>
      </c>
      <c r="C55" s="184" t="str">
        <f>IF(Supuestos!B49="","",Supuestos!B49)</f>
        <v>Originación voz on-net local</v>
      </c>
      <c r="D55" s="20" t="s">
        <v>64</v>
      </c>
      <c r="E55" s="20"/>
      <c r="F55" s="237">
        <v>10000000000</v>
      </c>
      <c r="G55" s="51">
        <v>3000000000</v>
      </c>
      <c r="H55" s="51">
        <v>7000000000</v>
      </c>
      <c r="I55" s="51">
        <v>1000000000</v>
      </c>
      <c r="J55" s="51">
        <v>1038005098.6499982</v>
      </c>
      <c r="K55" s="51">
        <v>1000000000</v>
      </c>
      <c r="L55" s="51">
        <v>2333333333.3333335</v>
      </c>
      <c r="M55" s="51">
        <v>2333333333.3333335</v>
      </c>
      <c r="N55" s="51">
        <v>2333333333.3333335</v>
      </c>
    </row>
    <row r="56" spans="2:14" x14ac:dyDescent="0.2">
      <c r="C56" s="26" t="str">
        <f>IF(Supuestos!B50="","",Supuestos!B50)</f>
        <v>Originación voz off-net móvil local</v>
      </c>
      <c r="D56" s="20" t="s">
        <v>64</v>
      </c>
      <c r="E56" s="20"/>
      <c r="F56" s="51">
        <v>2000000000</v>
      </c>
      <c r="G56" s="51">
        <v>600000000</v>
      </c>
      <c r="H56" s="51">
        <v>1400000000</v>
      </c>
      <c r="I56" s="51">
        <v>200000000</v>
      </c>
      <c r="J56" s="51">
        <v>158144235.66666651</v>
      </c>
      <c r="K56" s="51">
        <v>200000000</v>
      </c>
      <c r="L56" s="51">
        <v>466666666.66666669</v>
      </c>
      <c r="M56" s="51">
        <v>466666666.66666669</v>
      </c>
      <c r="N56" s="51">
        <v>466666666.66666669</v>
      </c>
    </row>
    <row r="57" spans="2:14" x14ac:dyDescent="0.2">
      <c r="C57" s="26" t="str">
        <f>IF(Supuestos!B51="","",Supuestos!B51)</f>
        <v>Originación voz off-net fijo local</v>
      </c>
      <c r="D57" s="20" t="s">
        <v>64</v>
      </c>
      <c r="E57" s="20"/>
      <c r="F57" s="51">
        <v>1000000000</v>
      </c>
      <c r="G57" s="51">
        <v>300000000</v>
      </c>
      <c r="H57" s="51">
        <v>700000000</v>
      </c>
      <c r="I57" s="51">
        <v>100000000</v>
      </c>
      <c r="J57" s="51">
        <v>79734089.249999732</v>
      </c>
      <c r="K57" s="51">
        <v>100000000</v>
      </c>
      <c r="L57" s="51">
        <v>233333333.33333334</v>
      </c>
      <c r="M57" s="51">
        <v>233333333.33333334</v>
      </c>
      <c r="N57" s="51">
        <v>233333333.33333334</v>
      </c>
    </row>
    <row r="58" spans="2:14" x14ac:dyDescent="0.2">
      <c r="C58" s="184" t="str">
        <f>IF(Supuestos!B52="","",Supuestos!B52)</f>
        <v>Originación voz on-net LDN</v>
      </c>
      <c r="D58" s="20" t="s">
        <v>64</v>
      </c>
      <c r="E58" s="20"/>
      <c r="F58" s="51">
        <v>15000000000</v>
      </c>
      <c r="G58" s="51">
        <v>4500000000</v>
      </c>
      <c r="H58" s="51">
        <v>10500000000</v>
      </c>
      <c r="I58" s="51">
        <v>1500000000</v>
      </c>
      <c r="J58" s="51">
        <v>584174063.7499994</v>
      </c>
      <c r="K58" s="51">
        <v>1500000000</v>
      </c>
      <c r="L58" s="51">
        <v>3500000000</v>
      </c>
      <c r="M58" s="51">
        <v>3500000000</v>
      </c>
      <c r="N58" s="51">
        <v>3500000000</v>
      </c>
    </row>
    <row r="59" spans="2:14" x14ac:dyDescent="0.2">
      <c r="C59" s="26" t="str">
        <f>IF(Supuestos!B53="","",Supuestos!B53)</f>
        <v>Originación voz off-net móvil LDN</v>
      </c>
      <c r="D59" s="20" t="s">
        <v>64</v>
      </c>
      <c r="E59" s="20"/>
      <c r="F59" s="51">
        <v>1500000000</v>
      </c>
      <c r="G59" s="51">
        <v>450000000</v>
      </c>
      <c r="H59" s="51">
        <v>1049999999.9999999</v>
      </c>
      <c r="I59" s="51">
        <v>150000000</v>
      </c>
      <c r="J59" s="51">
        <v>111638113.11666635</v>
      </c>
      <c r="K59" s="51">
        <v>150000000</v>
      </c>
      <c r="L59" s="51">
        <v>349999999.99999994</v>
      </c>
      <c r="M59" s="51">
        <v>349999999.99999994</v>
      </c>
      <c r="N59" s="51">
        <v>349999999.99999994</v>
      </c>
    </row>
    <row r="60" spans="2:14" x14ac:dyDescent="0.2">
      <c r="C60" s="185" t="str">
        <f>IF(Supuestos!B54="","",Supuestos!B54)</f>
        <v>Originación voz off-net fijo LDN</v>
      </c>
      <c r="D60" s="20" t="s">
        <v>64</v>
      </c>
      <c r="E60" s="20"/>
      <c r="F60" s="51">
        <v>500000000</v>
      </c>
      <c r="G60" s="51">
        <v>150000000</v>
      </c>
      <c r="H60" s="51">
        <v>350000000</v>
      </c>
      <c r="I60" s="51">
        <v>50000000</v>
      </c>
      <c r="J60" s="51">
        <v>58591627.299999923</v>
      </c>
      <c r="K60" s="51">
        <v>50000000</v>
      </c>
      <c r="L60" s="51">
        <v>116666666.66666667</v>
      </c>
      <c r="M60" s="51">
        <v>116666666.66666667</v>
      </c>
      <c r="N60" s="51">
        <v>116666666.66666667</v>
      </c>
    </row>
    <row r="61" spans="2:14" x14ac:dyDescent="0.2">
      <c r="C61" s="26" t="str">
        <f>IF(Supuestos!B55="","",Supuestos!B55)</f>
        <v>Originación voz internacional USA-Canadá</v>
      </c>
      <c r="D61" s="20" t="s">
        <v>64</v>
      </c>
      <c r="E61" s="20"/>
      <c r="F61" s="51">
        <v>1300000000</v>
      </c>
      <c r="G61" s="51">
        <v>390000000</v>
      </c>
      <c r="H61" s="51">
        <v>910000000</v>
      </c>
      <c r="I61" s="51">
        <v>130000000</v>
      </c>
      <c r="J61" s="51">
        <v>70164023.699999839</v>
      </c>
      <c r="K61" s="51">
        <v>130000000</v>
      </c>
      <c r="L61" s="51">
        <v>303333333.33333331</v>
      </c>
      <c r="M61" s="51">
        <v>303333333.33333331</v>
      </c>
      <c r="N61" s="51">
        <v>303333333.33333331</v>
      </c>
    </row>
    <row r="62" spans="2:14" x14ac:dyDescent="0.2">
      <c r="C62" s="26" t="str">
        <f>IF(Supuestos!B56="","",Supuestos!B56)</f>
        <v>Originación voz internacional Mundial Centroamérica</v>
      </c>
      <c r="D62" s="20" t="s">
        <v>64</v>
      </c>
      <c r="E62" s="20"/>
      <c r="F62" s="51">
        <v>3000000</v>
      </c>
      <c r="G62" s="51">
        <v>900000</v>
      </c>
      <c r="H62" s="51">
        <v>2100000</v>
      </c>
      <c r="I62" s="51">
        <v>300000</v>
      </c>
      <c r="J62" s="51">
        <v>29092.13333333304</v>
      </c>
      <c r="K62" s="51">
        <v>300000</v>
      </c>
      <c r="L62" s="51">
        <v>700000</v>
      </c>
      <c r="M62" s="51">
        <v>700000</v>
      </c>
      <c r="N62" s="51">
        <v>700000</v>
      </c>
    </row>
    <row r="63" spans="2:14" x14ac:dyDescent="0.2">
      <c r="C63" s="185" t="str">
        <f>IF(Supuestos!B57="","",Supuestos!B57)</f>
        <v>Originación voz internacional Mundial LATAM y Caribe</v>
      </c>
      <c r="D63" s="20" t="s">
        <v>64</v>
      </c>
      <c r="E63" s="20"/>
      <c r="F63" s="51">
        <v>200000</v>
      </c>
      <c r="G63" s="51">
        <v>60000</v>
      </c>
      <c r="H63" s="51">
        <v>140000</v>
      </c>
      <c r="I63" s="51">
        <v>20000</v>
      </c>
      <c r="J63" s="51">
        <v>25844.833333332877</v>
      </c>
      <c r="K63" s="51">
        <v>20000</v>
      </c>
      <c r="L63" s="51">
        <v>46666.666666666664</v>
      </c>
      <c r="M63" s="51">
        <v>46666.666666666664</v>
      </c>
      <c r="N63" s="51">
        <v>46666.666666666664</v>
      </c>
    </row>
    <row r="64" spans="2:14" x14ac:dyDescent="0.2">
      <c r="C64" s="185" t="str">
        <f>IF(Supuestos!B58="","",Supuestos!B58)</f>
        <v>Originación voz internacional Europa</v>
      </c>
      <c r="D64" s="20" t="s">
        <v>64</v>
      </c>
      <c r="E64" s="20"/>
      <c r="F64" s="51">
        <v>0</v>
      </c>
      <c r="G64" s="51">
        <v>0</v>
      </c>
      <c r="H64" s="51">
        <v>0</v>
      </c>
      <c r="I64" s="51">
        <v>0</v>
      </c>
      <c r="J64" s="51">
        <v>0</v>
      </c>
      <c r="K64" s="51">
        <v>0</v>
      </c>
      <c r="L64" s="51">
        <v>0</v>
      </c>
      <c r="M64" s="51">
        <v>0</v>
      </c>
      <c r="N64" s="51">
        <v>0</v>
      </c>
    </row>
    <row r="65" spans="2:14" ht="25.5" x14ac:dyDescent="0.2">
      <c r="C65" s="186" t="str">
        <f>IF(Supuestos!B59="","",Supuestos!B59)</f>
        <v>Originación voz internacional Mundial Otros geográficos</v>
      </c>
      <c r="D65" s="20" t="s">
        <v>64</v>
      </c>
      <c r="E65" s="20"/>
      <c r="F65" s="51">
        <v>10000000</v>
      </c>
      <c r="G65" s="51">
        <v>3000000</v>
      </c>
      <c r="H65" s="51">
        <v>7000000</v>
      </c>
      <c r="I65" s="51">
        <v>1000000</v>
      </c>
      <c r="J65" s="51">
        <v>247109.14999999531</v>
      </c>
      <c r="K65" s="51">
        <v>1000000</v>
      </c>
      <c r="L65" s="51">
        <v>2333333.3333333335</v>
      </c>
      <c r="M65" s="51">
        <v>2333333.3333333335</v>
      </c>
      <c r="N65" s="51">
        <v>2333333.3333333335</v>
      </c>
    </row>
    <row r="66" spans="2:14" x14ac:dyDescent="0.2">
      <c r="C66" s="185" t="str">
        <f>IF(Supuestos!B60="","",Supuestos!B60)</f>
        <v>Originación voz internacional Cuba</v>
      </c>
      <c r="D66" s="20" t="s">
        <v>64</v>
      </c>
      <c r="E66" s="20"/>
      <c r="F66" s="51">
        <v>500000</v>
      </c>
      <c r="G66" s="51">
        <v>150000</v>
      </c>
      <c r="H66" s="51">
        <v>350000</v>
      </c>
      <c r="I66" s="51">
        <v>50000</v>
      </c>
      <c r="J66" s="51">
        <v>8030.4666666665998</v>
      </c>
      <c r="K66" s="51">
        <v>50000</v>
      </c>
      <c r="L66" s="51">
        <v>116666.66666666667</v>
      </c>
      <c r="M66" s="51">
        <v>116666.66666666667</v>
      </c>
      <c r="N66" s="51">
        <v>116666.66666666667</v>
      </c>
    </row>
    <row r="67" spans="2:14" x14ac:dyDescent="0.2">
      <c r="C67" s="26" t="str">
        <f>IF(Supuestos!B61="","",Supuestos!B61)</f>
        <v>Originación voz Mundial destinos no geográficos</v>
      </c>
      <c r="D67" s="20" t="s">
        <v>64</v>
      </c>
      <c r="E67" s="20"/>
      <c r="F67" s="51">
        <v>0</v>
      </c>
      <c r="G67" s="51">
        <v>0</v>
      </c>
      <c r="H67" s="51">
        <v>0</v>
      </c>
      <c r="I67" s="51">
        <v>0</v>
      </c>
      <c r="J67" s="51">
        <v>0</v>
      </c>
      <c r="K67" s="51">
        <v>0</v>
      </c>
      <c r="L67" s="51">
        <v>0</v>
      </c>
      <c r="M67" s="51">
        <v>0</v>
      </c>
      <c r="N67" s="51">
        <v>0</v>
      </c>
    </row>
    <row r="68" spans="2:14" x14ac:dyDescent="0.2">
      <c r="C68" s="213" t="str">
        <f>IF(Supuestos!B62="","",Supuestos!B62)</f>
        <v>Originación SMS on-net</v>
      </c>
      <c r="D68" s="20" t="s">
        <v>65</v>
      </c>
      <c r="E68" s="20"/>
      <c r="F68" s="51">
        <v>2000000000</v>
      </c>
      <c r="G68" s="51">
        <v>600000000</v>
      </c>
      <c r="H68" s="51">
        <v>1400000000</v>
      </c>
      <c r="I68" s="51">
        <v>200000000</v>
      </c>
      <c r="J68" s="51">
        <v>106092651</v>
      </c>
      <c r="K68" s="51">
        <v>200000000</v>
      </c>
      <c r="L68" s="51">
        <v>466666666.66666669</v>
      </c>
      <c r="M68" s="51">
        <v>466666666.66666669</v>
      </c>
      <c r="N68" s="51">
        <v>466666666.66666669</v>
      </c>
    </row>
    <row r="69" spans="2:14" x14ac:dyDescent="0.2">
      <c r="C69" s="212" t="str">
        <f>IF(Supuestos!B63="","",Supuestos!B63)</f>
        <v>Originación SMS - off-net nacional</v>
      </c>
      <c r="D69" s="20" t="s">
        <v>65</v>
      </c>
      <c r="E69" s="20"/>
      <c r="F69" s="51">
        <v>500000000</v>
      </c>
      <c r="G69" s="51">
        <v>150000000</v>
      </c>
      <c r="H69" s="51">
        <v>350000000</v>
      </c>
      <c r="I69" s="51">
        <v>50000000</v>
      </c>
      <c r="J69" s="51">
        <v>24089278</v>
      </c>
      <c r="K69" s="51">
        <v>50000000</v>
      </c>
      <c r="L69" s="51">
        <v>116666666.66666667</v>
      </c>
      <c r="M69" s="51">
        <v>116666666.66666667</v>
      </c>
      <c r="N69" s="51">
        <v>116666666.66666667</v>
      </c>
    </row>
    <row r="70" spans="2:14" x14ac:dyDescent="0.2">
      <c r="C70" s="212" t="str">
        <f>IF(Supuestos!B64="","",Supuestos!B64)</f>
        <v>Originación SMS internacional (USA-Canadá)</v>
      </c>
      <c r="D70" s="20" t="s">
        <v>65</v>
      </c>
      <c r="E70" s="20"/>
      <c r="F70" s="51">
        <v>100000000</v>
      </c>
      <c r="G70" s="51">
        <v>30000000</v>
      </c>
      <c r="H70" s="51">
        <v>70000000</v>
      </c>
      <c r="I70" s="51">
        <v>10000000</v>
      </c>
      <c r="J70" s="51">
        <v>5641997</v>
      </c>
      <c r="K70" s="51">
        <v>10000000</v>
      </c>
      <c r="L70" s="51">
        <v>23333333.333333332</v>
      </c>
      <c r="M70" s="51">
        <v>23333333.333333332</v>
      </c>
      <c r="N70" s="51">
        <v>23333333.333333332</v>
      </c>
    </row>
    <row r="71" spans="2:14" x14ac:dyDescent="0.2">
      <c r="C71" s="212" t="str">
        <f>IF(Supuestos!B65="","",Supuestos!B65)</f>
        <v>Originación SMS internacional (Resto del Mundo)</v>
      </c>
      <c r="D71" s="20" t="s">
        <v>65</v>
      </c>
      <c r="E71" s="20"/>
      <c r="F71" s="51">
        <v>10000000</v>
      </c>
      <c r="G71" s="51">
        <v>3000000</v>
      </c>
      <c r="H71" s="51">
        <v>7000000</v>
      </c>
      <c r="I71" s="51">
        <v>1000000</v>
      </c>
      <c r="J71" s="51">
        <v>357923</v>
      </c>
      <c r="K71" s="51">
        <v>1000000</v>
      </c>
      <c r="L71" s="51">
        <v>2333333.3333333335</v>
      </c>
      <c r="M71" s="51">
        <v>2333333.3333333335</v>
      </c>
      <c r="N71" s="51">
        <v>2333333.3333333335</v>
      </c>
    </row>
    <row r="72" spans="2:14" x14ac:dyDescent="0.2">
      <c r="C72" s="213" t="str">
        <f>IF(Supuestos!B66="","",Supuestos!B66)</f>
        <v>Otros servicios (incluyendo marcaciones especiales)</v>
      </c>
      <c r="D72" s="20" t="s">
        <v>64</v>
      </c>
      <c r="E72" s="20"/>
      <c r="F72" s="51">
        <v>5000000000</v>
      </c>
      <c r="G72" s="51">
        <v>1500000000</v>
      </c>
      <c r="H72" s="51">
        <v>3500000000</v>
      </c>
      <c r="I72" s="51">
        <v>500000000</v>
      </c>
      <c r="J72" s="51">
        <v>200633585.84999979</v>
      </c>
      <c r="K72" s="51">
        <v>500000000</v>
      </c>
      <c r="L72" s="51">
        <v>1166666666.6666667</v>
      </c>
      <c r="M72" s="51">
        <v>1166666666.6666667</v>
      </c>
      <c r="N72" s="51">
        <v>1166666666.6666667</v>
      </c>
    </row>
    <row r="73" spans="2:14" x14ac:dyDescent="0.2">
      <c r="C73" s="212"/>
      <c r="D73" s="20"/>
      <c r="E73" s="20"/>
      <c r="F73" s="51"/>
      <c r="G73" s="51"/>
      <c r="H73" s="51"/>
      <c r="I73" s="51"/>
      <c r="J73" s="51"/>
      <c r="K73" s="51"/>
      <c r="L73" s="51"/>
      <c r="M73" s="51"/>
      <c r="N73" s="51"/>
    </row>
    <row r="74" spans="2:14" x14ac:dyDescent="0.2">
      <c r="C74" s="22" t="s">
        <v>0</v>
      </c>
      <c r="D74" s="20"/>
      <c r="E74" s="20"/>
      <c r="F74" s="51"/>
      <c r="G74" s="51"/>
      <c r="H74" s="51"/>
      <c r="I74" s="51"/>
      <c r="J74" s="51"/>
      <c r="K74" s="51"/>
      <c r="L74" s="51"/>
      <c r="M74" s="51"/>
      <c r="N74" s="51"/>
    </row>
    <row r="75" spans="2:14" x14ac:dyDescent="0.2">
      <c r="C75" s="239" t="s">
        <v>168</v>
      </c>
      <c r="D75" s="201" t="s">
        <v>64</v>
      </c>
      <c r="E75" s="20"/>
      <c r="F75" s="52">
        <f>SUMIFS(F$54:F$72,$D$54:$D$72,$D75)</f>
        <v>36313700000</v>
      </c>
      <c r="G75" s="52">
        <f t="shared" ref="G75:N75" si="3">SUMIFS(G$54:G$72,$D$54:$D$72,$D75)</f>
        <v>10894110000</v>
      </c>
      <c r="H75" s="52">
        <f t="shared" si="3"/>
        <v>25419590000</v>
      </c>
      <c r="I75" s="52">
        <f t="shared" si="3"/>
        <v>3631370000</v>
      </c>
      <c r="J75" s="52">
        <f t="shared" si="3"/>
        <v>2301394913.866663</v>
      </c>
      <c r="K75" s="52">
        <f t="shared" si="3"/>
        <v>3631370000</v>
      </c>
      <c r="L75" s="52">
        <f t="shared" si="3"/>
        <v>8473196666.6666679</v>
      </c>
      <c r="M75" s="52">
        <f t="shared" si="3"/>
        <v>8473196666.6666679</v>
      </c>
      <c r="N75" s="52">
        <f t="shared" si="3"/>
        <v>8473196666.6666679</v>
      </c>
    </row>
    <row r="76" spans="2:14" x14ac:dyDescent="0.2">
      <c r="C76" s="239" t="s">
        <v>149</v>
      </c>
      <c r="D76" s="201" t="s">
        <v>65</v>
      </c>
      <c r="E76" s="20"/>
      <c r="F76" s="52">
        <f>SUMIFS(F$54:F$72,$D$54:$D$72,$D76)</f>
        <v>2610000000</v>
      </c>
      <c r="G76" s="52">
        <f t="shared" ref="G76:N77" si="4">SUMIFS(G$54:G$72,$D$54:$D$72,$D76)</f>
        <v>783000000</v>
      </c>
      <c r="H76" s="52">
        <f t="shared" si="4"/>
        <v>1827000000</v>
      </c>
      <c r="I76" s="52">
        <f t="shared" si="4"/>
        <v>261000000</v>
      </c>
      <c r="J76" s="52">
        <f t="shared" si="4"/>
        <v>136181849</v>
      </c>
      <c r="K76" s="52">
        <f t="shared" si="4"/>
        <v>261000000</v>
      </c>
      <c r="L76" s="52">
        <f t="shared" si="4"/>
        <v>609000000.00000012</v>
      </c>
      <c r="M76" s="52">
        <f t="shared" si="4"/>
        <v>609000000.00000012</v>
      </c>
      <c r="N76" s="52">
        <f t="shared" si="4"/>
        <v>609000000.00000012</v>
      </c>
    </row>
    <row r="77" spans="2:14" x14ac:dyDescent="0.2">
      <c r="C77" s="239" t="s">
        <v>169</v>
      </c>
      <c r="D77" s="201" t="s">
        <v>63</v>
      </c>
      <c r="E77" s="20"/>
      <c r="F77" s="52">
        <f>SUMIFS(F$54:F$72,$D$54:$D$72,$D77)</f>
        <v>100000000000</v>
      </c>
      <c r="G77" s="52">
        <f t="shared" si="4"/>
        <v>30000000000</v>
      </c>
      <c r="H77" s="52">
        <f t="shared" si="4"/>
        <v>70000000000</v>
      </c>
      <c r="I77" s="52">
        <f t="shared" si="4"/>
        <v>10000000000</v>
      </c>
      <c r="J77" s="52">
        <f t="shared" si="4"/>
        <v>48649927456.636688</v>
      </c>
      <c r="K77" s="52">
        <f t="shared" si="4"/>
        <v>10000000000</v>
      </c>
      <c r="L77" s="52">
        <f t="shared" si="4"/>
        <v>23333333333.333332</v>
      </c>
      <c r="M77" s="52">
        <f t="shared" si="4"/>
        <v>23333333333.333332</v>
      </c>
      <c r="N77" s="52">
        <f t="shared" si="4"/>
        <v>23333333333.333332</v>
      </c>
    </row>
    <row r="78" spans="2:14" x14ac:dyDescent="0.2">
      <c r="C78" s="239" t="s">
        <v>0</v>
      </c>
      <c r="D78" s="201" t="s">
        <v>230</v>
      </c>
      <c r="E78" s="20"/>
      <c r="F78" s="52">
        <f>F75+F76+F77</f>
        <v>138923700000</v>
      </c>
      <c r="G78" s="52">
        <f t="shared" ref="G78:N78" si="5">G75+G76+G77</f>
        <v>41677110000</v>
      </c>
      <c r="H78" s="52">
        <f t="shared" si="5"/>
        <v>97246590000</v>
      </c>
      <c r="I78" s="52">
        <f t="shared" si="5"/>
        <v>13892370000</v>
      </c>
      <c r="J78" s="52">
        <f t="shared" si="5"/>
        <v>51087504219.503349</v>
      </c>
      <c r="K78" s="52">
        <f t="shared" si="5"/>
        <v>13892370000</v>
      </c>
      <c r="L78" s="52">
        <f t="shared" si="5"/>
        <v>32415530000</v>
      </c>
      <c r="M78" s="52">
        <f t="shared" si="5"/>
        <v>32415530000</v>
      </c>
      <c r="N78" s="52">
        <f t="shared" si="5"/>
        <v>32415530000</v>
      </c>
    </row>
    <row r="79" spans="2:14" x14ac:dyDescent="0.2">
      <c r="C79" s="169"/>
      <c r="E79" s="20"/>
      <c r="F79" s="51"/>
      <c r="G79" s="51"/>
      <c r="H79" s="51"/>
      <c r="I79" s="51"/>
      <c r="J79" s="51"/>
      <c r="K79" s="51"/>
      <c r="L79" s="51"/>
      <c r="M79" s="51"/>
      <c r="N79" s="51"/>
    </row>
    <row r="80" spans="2:14" s="232" customFormat="1" x14ac:dyDescent="0.2">
      <c r="B80" s="21" t="s">
        <v>330</v>
      </c>
      <c r="C80" s="233"/>
      <c r="D80" s="234"/>
      <c r="E80" s="234"/>
      <c r="F80" s="235"/>
      <c r="G80" s="235"/>
      <c r="H80" s="235"/>
      <c r="I80" s="235"/>
      <c r="J80" s="235"/>
      <c r="K80" s="235"/>
      <c r="L80" s="235"/>
      <c r="M80" s="235"/>
      <c r="N80" s="235"/>
    </row>
    <row r="81" spans="2:18" s="73" customFormat="1" x14ac:dyDescent="0.2">
      <c r="B81" s="148"/>
      <c r="C81" s="143"/>
      <c r="D81" s="236"/>
      <c r="E81" s="236"/>
      <c r="F81" s="485" t="s">
        <v>333</v>
      </c>
      <c r="G81" s="485" t="s">
        <v>334</v>
      </c>
      <c r="H81" s="485" t="s">
        <v>333</v>
      </c>
      <c r="I81" s="485" t="s">
        <v>334</v>
      </c>
      <c r="J81" s="485" t="s">
        <v>333</v>
      </c>
      <c r="K81" s="485" t="s">
        <v>334</v>
      </c>
      <c r="L81" s="237"/>
      <c r="M81" s="237"/>
      <c r="N81" s="237"/>
    </row>
    <row r="82" spans="2:18" ht="13.5" thickBot="1" x14ac:dyDescent="0.25">
      <c r="B82" s="157" t="s">
        <v>268</v>
      </c>
      <c r="C82" s="19" t="s">
        <v>224</v>
      </c>
      <c r="D82" s="20"/>
      <c r="E82" s="20"/>
      <c r="F82" s="364" t="s">
        <v>259</v>
      </c>
      <c r="G82" s="364" t="s">
        <v>260</v>
      </c>
      <c r="H82" s="19" t="s">
        <v>261</v>
      </c>
      <c r="I82" s="19" t="s">
        <v>262</v>
      </c>
      <c r="J82" s="19" t="s">
        <v>263</v>
      </c>
      <c r="K82" s="19" t="s">
        <v>264</v>
      </c>
      <c r="L82" s="51"/>
      <c r="M82" s="51"/>
      <c r="N82" s="51"/>
    </row>
    <row r="83" spans="2:18" x14ac:dyDescent="0.2">
      <c r="B83" s="221"/>
      <c r="C83" s="268" t="s">
        <v>220</v>
      </c>
      <c r="D83" s="175" t="s">
        <v>170</v>
      </c>
      <c r="E83" s="175"/>
      <c r="F83" s="375">
        <v>40000000</v>
      </c>
      <c r="G83" s="375">
        <v>30000000</v>
      </c>
      <c r="H83" s="375">
        <v>20000000</v>
      </c>
      <c r="I83" s="375">
        <v>10000000</v>
      </c>
      <c r="J83" s="375">
        <v>310202.61</v>
      </c>
      <c r="K83" s="176">
        <v>5000000</v>
      </c>
      <c r="L83" s="51"/>
      <c r="M83" s="519" t="s">
        <v>275</v>
      </c>
      <c r="N83" s="520"/>
      <c r="O83" s="520"/>
      <c r="P83" s="520"/>
      <c r="Q83" s="520"/>
      <c r="R83" s="521"/>
    </row>
    <row r="84" spans="2:18" ht="13.15" customHeight="1" x14ac:dyDescent="0.2">
      <c r="B84" s="221" t="s">
        <v>168</v>
      </c>
      <c r="C84" s="269" t="s">
        <v>205</v>
      </c>
      <c r="D84" s="201" t="s">
        <v>208</v>
      </c>
      <c r="E84" s="201"/>
      <c r="F84" s="274">
        <v>90000000</v>
      </c>
      <c r="G84" s="274">
        <v>80000000</v>
      </c>
      <c r="H84" s="274">
        <v>70000000</v>
      </c>
      <c r="I84" s="274">
        <v>60000000</v>
      </c>
      <c r="J84" s="274">
        <v>50000000</v>
      </c>
      <c r="K84" s="274">
        <v>40000000</v>
      </c>
      <c r="M84" s="522"/>
      <c r="N84" s="523"/>
      <c r="O84" s="523"/>
      <c r="P84" s="523"/>
      <c r="Q84" s="523"/>
      <c r="R84" s="524"/>
    </row>
    <row r="85" spans="2:18" ht="13.15" customHeight="1" x14ac:dyDescent="0.2">
      <c r="C85" s="269" t="s">
        <v>205</v>
      </c>
      <c r="D85" s="201" t="s">
        <v>209</v>
      </c>
      <c r="E85" s="201"/>
      <c r="F85" s="274">
        <v>0</v>
      </c>
      <c r="G85" s="274">
        <v>0</v>
      </c>
      <c r="H85" s="274">
        <v>0</v>
      </c>
      <c r="I85" s="274">
        <v>0</v>
      </c>
      <c r="J85" s="274">
        <v>0</v>
      </c>
      <c r="K85" s="274">
        <v>0</v>
      </c>
      <c r="M85" s="522"/>
      <c r="N85" s="523"/>
      <c r="O85" s="523"/>
      <c r="P85" s="523"/>
      <c r="Q85" s="523"/>
      <c r="R85" s="524"/>
    </row>
    <row r="86" spans="2:18" x14ac:dyDescent="0.2">
      <c r="B86" s="221" t="s">
        <v>149</v>
      </c>
      <c r="C86" s="269" t="s">
        <v>206</v>
      </c>
      <c r="D86" s="201" t="s">
        <v>210</v>
      </c>
      <c r="E86" s="201"/>
      <c r="F86" s="274">
        <v>10000000</v>
      </c>
      <c r="G86" s="274">
        <v>9000000</v>
      </c>
      <c r="H86" s="274">
        <v>8000000</v>
      </c>
      <c r="I86" s="274">
        <v>7000000</v>
      </c>
      <c r="J86" s="274">
        <v>6000000</v>
      </c>
      <c r="K86" s="274">
        <v>5000000</v>
      </c>
      <c r="M86" s="522"/>
      <c r="N86" s="523"/>
      <c r="O86" s="523"/>
      <c r="P86" s="523"/>
      <c r="Q86" s="523"/>
      <c r="R86" s="524"/>
    </row>
    <row r="87" spans="2:18" x14ac:dyDescent="0.2">
      <c r="B87" s="221" t="s">
        <v>169</v>
      </c>
      <c r="C87" s="269" t="s">
        <v>207</v>
      </c>
      <c r="D87" s="201" t="s">
        <v>203</v>
      </c>
      <c r="E87" s="201"/>
      <c r="F87" s="274">
        <v>5000000000</v>
      </c>
      <c r="G87" s="274">
        <v>4000000000</v>
      </c>
      <c r="H87" s="274">
        <v>3000000000</v>
      </c>
      <c r="I87" s="274">
        <v>2000000000</v>
      </c>
      <c r="J87" s="274">
        <v>1000000000</v>
      </c>
      <c r="K87" s="274">
        <v>1000000000</v>
      </c>
      <c r="M87" s="522"/>
      <c r="N87" s="523"/>
      <c r="O87" s="523"/>
      <c r="P87" s="523"/>
      <c r="Q87" s="523"/>
      <c r="R87" s="524"/>
    </row>
    <row r="88" spans="2:18" ht="13.5" thickBot="1" x14ac:dyDescent="0.25">
      <c r="B88" s="221"/>
      <c r="C88" s="270" t="s">
        <v>219</v>
      </c>
      <c r="D88" s="177" t="s">
        <v>152</v>
      </c>
      <c r="E88" s="177"/>
      <c r="F88" s="376">
        <v>1000000</v>
      </c>
      <c r="G88" s="376">
        <v>900000</v>
      </c>
      <c r="H88" s="376">
        <v>800000</v>
      </c>
      <c r="I88" s="376">
        <v>700000</v>
      </c>
      <c r="J88" s="376">
        <v>600000</v>
      </c>
      <c r="K88" s="376">
        <v>500000</v>
      </c>
      <c r="M88" s="525"/>
      <c r="N88" s="526"/>
      <c r="O88" s="526"/>
      <c r="P88" s="526"/>
      <c r="Q88" s="526"/>
      <c r="R88" s="527"/>
    </row>
    <row r="89" spans="2:18" x14ac:dyDescent="0.2">
      <c r="F89" s="456"/>
      <c r="G89" s="456"/>
      <c r="H89" s="456"/>
      <c r="I89" s="456"/>
      <c r="J89" s="456"/>
      <c r="K89" s="456"/>
      <c r="N89" s="51"/>
    </row>
    <row r="91" spans="2:18" ht="12.4" customHeight="1" x14ac:dyDescent="0.2">
      <c r="B91" s="31"/>
      <c r="C91" s="394" t="s">
        <v>204</v>
      </c>
      <c r="D91" s="267" t="s">
        <v>178</v>
      </c>
      <c r="E91" s="267"/>
      <c r="F91" s="271">
        <f>F84+F85+F86+F87</f>
        <v>5100000000</v>
      </c>
      <c r="G91" s="271">
        <f t="shared" ref="G91:K91" si="6">G84+G85+G86+G87</f>
        <v>4089000000</v>
      </c>
      <c r="H91" s="271">
        <f t="shared" si="6"/>
        <v>3078000000</v>
      </c>
      <c r="I91" s="271">
        <f t="shared" si="6"/>
        <v>2067000000</v>
      </c>
      <c r="J91" s="271">
        <f t="shared" si="6"/>
        <v>1056000000</v>
      </c>
      <c r="K91" s="271">
        <f t="shared" si="6"/>
        <v>1045000000</v>
      </c>
      <c r="M91" s="519" t="s">
        <v>279</v>
      </c>
      <c r="N91" s="520"/>
      <c r="O91" s="520"/>
      <c r="P91" s="520"/>
      <c r="Q91" s="520"/>
      <c r="R91" s="521"/>
    </row>
    <row r="92" spans="2:18" x14ac:dyDescent="0.2">
      <c r="B92" s="395" t="s">
        <v>0</v>
      </c>
      <c r="C92" s="394" t="s">
        <v>274</v>
      </c>
      <c r="D92" s="267" t="s">
        <v>178</v>
      </c>
      <c r="E92" s="267"/>
      <c r="F92" s="271">
        <f>F84+F86+F87</f>
        <v>5100000000</v>
      </c>
      <c r="G92" s="271">
        <f t="shared" ref="G92:K92" si="7">G84+G86+G87</f>
        <v>4089000000</v>
      </c>
      <c r="H92" s="271">
        <f t="shared" si="7"/>
        <v>3078000000</v>
      </c>
      <c r="I92" s="271">
        <f t="shared" si="7"/>
        <v>2067000000</v>
      </c>
      <c r="J92" s="271">
        <f t="shared" si="7"/>
        <v>1056000000</v>
      </c>
      <c r="K92" s="271">
        <f t="shared" si="7"/>
        <v>1045000000</v>
      </c>
      <c r="M92" s="522"/>
      <c r="N92" s="523"/>
      <c r="O92" s="523"/>
      <c r="P92" s="523"/>
      <c r="Q92" s="523"/>
      <c r="R92" s="524"/>
    </row>
    <row r="93" spans="2:18" x14ac:dyDescent="0.2">
      <c r="B93" s="390" t="s">
        <v>287</v>
      </c>
      <c r="C93" s="394" t="s">
        <v>278</v>
      </c>
      <c r="D93" s="267" t="s">
        <v>277</v>
      </c>
      <c r="E93" s="267"/>
      <c r="F93" s="271">
        <f>F84+F85</f>
        <v>90000000</v>
      </c>
      <c r="G93" s="271">
        <f t="shared" ref="G93:K93" si="8">G84+G85</f>
        <v>80000000</v>
      </c>
      <c r="H93" s="271">
        <f t="shared" si="8"/>
        <v>70000000</v>
      </c>
      <c r="I93" s="271">
        <f t="shared" si="8"/>
        <v>60000000</v>
      </c>
      <c r="J93" s="271">
        <f t="shared" si="8"/>
        <v>50000000</v>
      </c>
      <c r="K93" s="271">
        <f t="shared" si="8"/>
        <v>40000000</v>
      </c>
      <c r="M93" s="525"/>
      <c r="N93" s="526"/>
      <c r="O93" s="526"/>
      <c r="P93" s="526"/>
      <c r="Q93" s="526"/>
      <c r="R93" s="527"/>
    </row>
    <row r="94" spans="2:18" x14ac:dyDescent="0.2">
      <c r="B94" s="390"/>
      <c r="C94" s="388"/>
      <c r="D94" s="201"/>
      <c r="E94" s="201"/>
      <c r="F94" s="389"/>
      <c r="G94" s="389"/>
      <c r="H94" s="389"/>
      <c r="I94" s="389"/>
      <c r="J94" s="389"/>
      <c r="K94" s="389"/>
    </row>
    <row r="95" spans="2:18" x14ac:dyDescent="0.2">
      <c r="B95" s="390"/>
      <c r="C95" s="388"/>
      <c r="D95" s="201"/>
      <c r="E95" s="201"/>
      <c r="F95" s="389"/>
      <c r="G95" s="389"/>
      <c r="H95" s="389"/>
      <c r="I95" s="389"/>
      <c r="J95" s="389"/>
      <c r="K95" s="389"/>
    </row>
    <row r="96" spans="2:18" ht="12.4" customHeight="1" x14ac:dyDescent="0.2"/>
    <row r="97" spans="2:18" s="21" customFormat="1" ht="15.6" customHeight="1" x14ac:dyDescent="0.2">
      <c r="B97" s="21" t="s">
        <v>3</v>
      </c>
    </row>
    <row r="99" spans="2:18" x14ac:dyDescent="0.2">
      <c r="C99" s="100" t="str">
        <f>_xlfn.CONCAT("De ",TEXT($D$6,"dd/mm/yyyy")," a ",TEXT($F$6,"dd/mm/yyyy"))</f>
        <v>De 01/04/yyyy a 30/06/yyyy</v>
      </c>
    </row>
    <row r="101" spans="2:18" ht="25.5" x14ac:dyDescent="0.2">
      <c r="B101" s="18"/>
      <c r="C101" s="70" t="s">
        <v>28</v>
      </c>
      <c r="D101" s="22" t="s">
        <v>62</v>
      </c>
      <c r="E101" s="22"/>
      <c r="F101" s="118" t="str">
        <f>Supuestos!B$75</f>
        <v>Todos los segmentos</v>
      </c>
      <c r="G101" s="118" t="str">
        <f>Supuestos!B$76</f>
        <v>Segmento Prepago</v>
      </c>
      <c r="H101" s="118" t="str">
        <f>Supuestos!B$77</f>
        <v>Segmento Pospago</v>
      </c>
      <c r="I101" s="118" t="str">
        <f>Supuestos!B$78</f>
        <v>Telcel Prepago 1</v>
      </c>
      <c r="J101" s="118" t="str">
        <f>Supuestos!B$79</f>
        <v>Telcel Prepago 2</v>
      </c>
      <c r="K101" s="118" t="str">
        <f>Supuestos!B$80</f>
        <v>Telcel Prepago 3</v>
      </c>
      <c r="L101" s="118" t="str">
        <f>Supuestos!B$81</f>
        <v>Telcel Pospago 1</v>
      </c>
      <c r="M101" s="118" t="str">
        <f>Supuestos!B$82</f>
        <v>Telcel Pospago 8</v>
      </c>
      <c r="N101" s="118" t="str">
        <f>Supuestos!B$83</f>
        <v>Telcel Pospago 4</v>
      </c>
      <c r="P101" s="486" t="s">
        <v>97</v>
      </c>
      <c r="R101" s="75"/>
    </row>
    <row r="102" spans="2:18" x14ac:dyDescent="0.2">
      <c r="B102" s="64" t="s">
        <v>92</v>
      </c>
      <c r="C102" s="6" t="str">
        <f>IF(Supuestos!B25="","",Supuestos!B25)</f>
        <v>Acceso a Internet</v>
      </c>
      <c r="D102" s="65" t="s">
        <v>79</v>
      </c>
      <c r="E102" s="72"/>
      <c r="F102" s="82">
        <v>0</v>
      </c>
      <c r="G102" s="82">
        <v>0</v>
      </c>
      <c r="H102" s="82">
        <v>0</v>
      </c>
      <c r="I102" s="82">
        <v>0</v>
      </c>
      <c r="J102" s="82">
        <v>0</v>
      </c>
      <c r="K102" s="82">
        <v>0</v>
      </c>
      <c r="L102" s="82">
        <f>$H102/3</f>
        <v>0</v>
      </c>
      <c r="M102" s="82">
        <f t="shared" ref="M102:N102" si="9">$H102/3</f>
        <v>0</v>
      </c>
      <c r="N102" s="82">
        <f t="shared" si="9"/>
        <v>0</v>
      </c>
      <c r="P102" s="487">
        <f>Supuestos!C25</f>
        <v>0.1</v>
      </c>
    </row>
    <row r="103" spans="2:18" x14ac:dyDescent="0.2">
      <c r="B103" s="532" t="s">
        <v>93</v>
      </c>
      <c r="C103" s="468" t="str">
        <f>IF(Supuestos!B26="","",Supuestos!B26)</f>
        <v>Servicios OTT de vídeo</v>
      </c>
      <c r="D103" s="66" t="s">
        <v>79</v>
      </c>
      <c r="E103" s="66"/>
      <c r="F103" s="472">
        <v>80000000</v>
      </c>
      <c r="G103" s="84">
        <v>0</v>
      </c>
      <c r="H103" s="472">
        <v>80000000</v>
      </c>
      <c r="I103" s="82">
        <v>0</v>
      </c>
      <c r="J103" s="82">
        <v>26666666.666666668</v>
      </c>
      <c r="K103" s="82">
        <v>0</v>
      </c>
      <c r="L103" s="82">
        <f t="shared" ref="L103:N121" si="10">$H103/3</f>
        <v>26666666.666666668</v>
      </c>
      <c r="M103" s="82">
        <f t="shared" si="10"/>
        <v>26666666.666666668</v>
      </c>
      <c r="N103" s="82">
        <f t="shared" si="10"/>
        <v>26666666.666666668</v>
      </c>
      <c r="P103" s="487">
        <f>Supuestos!C26</f>
        <v>0</v>
      </c>
    </row>
    <row r="104" spans="2:18" x14ac:dyDescent="0.2">
      <c r="B104" s="534"/>
      <c r="C104" s="469" t="str">
        <f>IF(Supuestos!B27="","",Supuestos!B27)</f>
        <v>Servicios OTT de audio</v>
      </c>
      <c r="D104" s="68" t="s">
        <v>79</v>
      </c>
      <c r="E104" s="68"/>
      <c r="F104" s="83">
        <v>0</v>
      </c>
      <c r="G104" s="83">
        <v>0</v>
      </c>
      <c r="H104" s="83">
        <v>0</v>
      </c>
      <c r="I104" s="82">
        <v>0</v>
      </c>
      <c r="J104" s="82">
        <v>0</v>
      </c>
      <c r="K104" s="82">
        <v>0</v>
      </c>
      <c r="L104" s="82">
        <f t="shared" si="10"/>
        <v>0</v>
      </c>
      <c r="M104" s="82">
        <f t="shared" si="10"/>
        <v>0</v>
      </c>
      <c r="N104" s="82">
        <f t="shared" si="10"/>
        <v>0</v>
      </c>
      <c r="P104" s="487">
        <f>Supuestos!C27</f>
        <v>0</v>
      </c>
    </row>
    <row r="105" spans="2:18" x14ac:dyDescent="0.2">
      <c r="B105" s="531" t="s">
        <v>94</v>
      </c>
      <c r="C105" s="8" t="str">
        <f>IF(Supuestos!B28="","",Supuestos!B28)</f>
        <v>Comerciales</v>
      </c>
      <c r="D105" s="66" t="s">
        <v>79</v>
      </c>
      <c r="E105" s="66"/>
      <c r="F105" s="82">
        <v>3000000000</v>
      </c>
      <c r="G105" s="82">
        <v>2099999999.9999998</v>
      </c>
      <c r="H105" s="82">
        <v>900000000</v>
      </c>
      <c r="I105" s="82">
        <v>699999999.99999988</v>
      </c>
      <c r="J105" s="82">
        <v>300000000</v>
      </c>
      <c r="K105" s="82">
        <v>699999999.99999988</v>
      </c>
      <c r="L105" s="82">
        <f t="shared" si="10"/>
        <v>300000000</v>
      </c>
      <c r="M105" s="82">
        <f t="shared" si="10"/>
        <v>300000000</v>
      </c>
      <c r="N105" s="82">
        <f t="shared" si="10"/>
        <v>300000000</v>
      </c>
      <c r="P105" s="487">
        <f>Supuestos!C28</f>
        <v>0.1</v>
      </c>
    </row>
    <row r="106" spans="2:18" x14ac:dyDescent="0.2">
      <c r="B106" s="531"/>
      <c r="C106" s="8" t="str">
        <f>IF(Supuestos!B29="","",Supuestos!B29)</f>
        <v>Facturación</v>
      </c>
      <c r="D106" s="66" t="s">
        <v>79</v>
      </c>
      <c r="E106" s="66"/>
      <c r="F106" s="82">
        <v>900000</v>
      </c>
      <c r="G106" s="82">
        <v>0</v>
      </c>
      <c r="H106" s="82">
        <v>900000</v>
      </c>
      <c r="I106" s="82">
        <v>0</v>
      </c>
      <c r="J106" s="82">
        <v>300000</v>
      </c>
      <c r="K106" s="82">
        <v>0</v>
      </c>
      <c r="L106" s="82">
        <f t="shared" si="10"/>
        <v>300000</v>
      </c>
      <c r="M106" s="82">
        <f t="shared" si="10"/>
        <v>300000</v>
      </c>
      <c r="N106" s="82">
        <f t="shared" si="10"/>
        <v>300000</v>
      </c>
      <c r="P106" s="487">
        <f>Supuestos!C29</f>
        <v>0.05</v>
      </c>
    </row>
    <row r="107" spans="2:18" x14ac:dyDescent="0.2">
      <c r="B107" s="531"/>
      <c r="C107" s="8" t="str">
        <f>IF(Supuestos!B30="","",Supuestos!B30)</f>
        <v>Cobranza</v>
      </c>
      <c r="D107" s="66" t="s">
        <v>79</v>
      </c>
      <c r="E107" s="66"/>
      <c r="F107" s="82">
        <v>35000000</v>
      </c>
      <c r="G107" s="82">
        <v>0</v>
      </c>
      <c r="H107" s="82">
        <v>35000000</v>
      </c>
      <c r="I107" s="82">
        <v>0</v>
      </c>
      <c r="J107" s="82">
        <v>11666666.666666666</v>
      </c>
      <c r="K107" s="82">
        <v>0</v>
      </c>
      <c r="L107" s="82">
        <f t="shared" si="10"/>
        <v>11666666.666666666</v>
      </c>
      <c r="M107" s="82">
        <f t="shared" si="10"/>
        <v>11666666.666666666</v>
      </c>
      <c r="N107" s="82">
        <f t="shared" si="10"/>
        <v>11666666.666666666</v>
      </c>
      <c r="P107" s="487">
        <f>Supuestos!C30</f>
        <v>0</v>
      </c>
    </row>
    <row r="108" spans="2:18" x14ac:dyDescent="0.2">
      <c r="B108" s="531"/>
      <c r="C108" s="8" t="str">
        <f>IF(Supuestos!B31="","",Supuestos!B31)</f>
        <v>Tasas e impuestos</v>
      </c>
      <c r="D108" s="66" t="s">
        <v>79</v>
      </c>
      <c r="E108" s="66"/>
      <c r="F108" s="82">
        <v>35000000</v>
      </c>
      <c r="G108" s="82">
        <v>24500000</v>
      </c>
      <c r="H108" s="82">
        <v>10500000</v>
      </c>
      <c r="I108" s="82">
        <v>8166666.666666667</v>
      </c>
      <c r="J108" s="82">
        <v>3500000</v>
      </c>
      <c r="K108" s="82">
        <v>8166666.666666667</v>
      </c>
      <c r="L108" s="82">
        <f t="shared" si="10"/>
        <v>3500000</v>
      </c>
      <c r="M108" s="82">
        <f t="shared" si="10"/>
        <v>3500000</v>
      </c>
      <c r="N108" s="82">
        <f t="shared" si="10"/>
        <v>3500000</v>
      </c>
      <c r="P108" s="487">
        <f>Supuestos!C31</f>
        <v>0.1</v>
      </c>
    </row>
    <row r="109" spans="2:18" x14ac:dyDescent="0.2">
      <c r="B109" s="531"/>
      <c r="C109" s="469" t="str">
        <f>IF(Supuestos!B32="","",Supuestos!B32)</f>
        <v>Programas de fidelización</v>
      </c>
      <c r="D109" s="66" t="s">
        <v>79</v>
      </c>
      <c r="E109" s="66"/>
      <c r="F109" s="83">
        <v>40000000</v>
      </c>
      <c r="G109" s="83">
        <v>0</v>
      </c>
      <c r="H109" s="83">
        <v>40000000</v>
      </c>
      <c r="I109" s="82">
        <v>0</v>
      </c>
      <c r="J109" s="82">
        <v>13333333.333333334</v>
      </c>
      <c r="K109" s="82">
        <v>0</v>
      </c>
      <c r="L109" s="82">
        <f t="shared" si="10"/>
        <v>13333333.333333334</v>
      </c>
      <c r="M109" s="82">
        <f t="shared" si="10"/>
        <v>13333333.333333334</v>
      </c>
      <c r="N109" s="82">
        <f t="shared" si="10"/>
        <v>13333333.333333334</v>
      </c>
      <c r="P109" s="487">
        <f>Supuestos!C32</f>
        <v>0</v>
      </c>
    </row>
    <row r="110" spans="2:18" x14ac:dyDescent="0.2">
      <c r="B110" s="179" t="s">
        <v>95</v>
      </c>
      <c r="C110" s="8" t="str">
        <f>IF(Supuestos!B33="","",Supuestos!B33)</f>
        <v>Acceso internet internacional</v>
      </c>
      <c r="D110" s="67" t="s">
        <v>79</v>
      </c>
      <c r="E110" s="72"/>
      <c r="F110" s="82">
        <v>38000000</v>
      </c>
      <c r="G110" s="82">
        <v>26600000</v>
      </c>
      <c r="H110" s="82">
        <v>11400000</v>
      </c>
      <c r="I110" s="82">
        <v>8866666.666666666</v>
      </c>
      <c r="J110" s="82">
        <v>3800000</v>
      </c>
      <c r="K110" s="82">
        <v>8866666.666666666</v>
      </c>
      <c r="L110" s="82">
        <f t="shared" si="10"/>
        <v>3800000</v>
      </c>
      <c r="M110" s="82">
        <f t="shared" si="10"/>
        <v>3800000</v>
      </c>
      <c r="N110" s="82">
        <f t="shared" si="10"/>
        <v>3800000</v>
      </c>
      <c r="P110" s="487">
        <f>Supuestos!C33</f>
        <v>0</v>
      </c>
    </row>
    <row r="111" spans="2:18" x14ac:dyDescent="0.2">
      <c r="B111" s="464"/>
      <c r="C111" s="8" t="str">
        <f>IF(Supuestos!B34="","",Supuestos!B34)</f>
        <v>Roaming nacional</v>
      </c>
      <c r="D111" s="66" t="s">
        <v>79</v>
      </c>
      <c r="E111" s="66"/>
      <c r="F111" s="473">
        <v>15000000</v>
      </c>
      <c r="G111" s="82">
        <v>10500000</v>
      </c>
      <c r="H111" s="82">
        <v>4500000</v>
      </c>
      <c r="I111" s="82">
        <v>3500000</v>
      </c>
      <c r="J111" s="82">
        <v>1500000</v>
      </c>
      <c r="K111" s="82">
        <v>3500000</v>
      </c>
      <c r="L111" s="82">
        <f t="shared" si="10"/>
        <v>1500000</v>
      </c>
      <c r="M111" s="82">
        <f t="shared" si="10"/>
        <v>1500000</v>
      </c>
      <c r="N111" s="82">
        <f t="shared" si="10"/>
        <v>1500000</v>
      </c>
      <c r="P111" s="487">
        <f>Supuestos!C34</f>
        <v>0</v>
      </c>
    </row>
    <row r="112" spans="2:18" x14ac:dyDescent="0.2">
      <c r="B112" s="464"/>
      <c r="C112" s="8" t="str">
        <f>IF(Supuestos!B35="","",Supuestos!B35)</f>
        <v>Roaming internacional</v>
      </c>
      <c r="D112" s="66" t="s">
        <v>79</v>
      </c>
      <c r="E112" s="66"/>
      <c r="F112" s="82">
        <v>0</v>
      </c>
      <c r="G112" s="82">
        <v>0</v>
      </c>
      <c r="H112" s="82">
        <v>0</v>
      </c>
      <c r="I112" s="82">
        <v>0</v>
      </c>
      <c r="J112" s="82">
        <v>0</v>
      </c>
      <c r="K112" s="82">
        <v>0</v>
      </c>
      <c r="L112" s="82">
        <f t="shared" si="10"/>
        <v>0</v>
      </c>
      <c r="M112" s="82">
        <f t="shared" si="10"/>
        <v>0</v>
      </c>
      <c r="N112" s="82">
        <f t="shared" si="10"/>
        <v>0</v>
      </c>
      <c r="P112" s="487">
        <f>Supuestos!C35</f>
        <v>0.05</v>
      </c>
    </row>
    <row r="113" spans="2:16" x14ac:dyDescent="0.2">
      <c r="B113" s="464"/>
      <c r="C113" s="8" t="str">
        <f>IF(Supuestos!B36="","",Supuestos!B36)</f>
        <v>Provisiones</v>
      </c>
      <c r="D113" s="66" t="s">
        <v>79</v>
      </c>
      <c r="E113" s="66"/>
      <c r="F113" s="82">
        <v>50000000</v>
      </c>
      <c r="G113" s="82">
        <v>0</v>
      </c>
      <c r="H113" s="82">
        <v>50000000</v>
      </c>
      <c r="I113" s="82">
        <v>0</v>
      </c>
      <c r="J113" s="82">
        <v>16666666.666666666</v>
      </c>
      <c r="K113" s="82">
        <v>0</v>
      </c>
      <c r="L113" s="82">
        <f t="shared" si="10"/>
        <v>16666666.666666666</v>
      </c>
      <c r="M113" s="82">
        <f t="shared" si="10"/>
        <v>16666666.666666666</v>
      </c>
      <c r="N113" s="82">
        <f t="shared" si="10"/>
        <v>16666666.666666666</v>
      </c>
      <c r="P113" s="487">
        <f>Supuestos!C36</f>
        <v>0</v>
      </c>
    </row>
    <row r="114" spans="2:16" x14ac:dyDescent="0.2">
      <c r="B114" s="464"/>
      <c r="C114" s="8" t="str">
        <f>IF(Supuestos!B37="","",Supuestos!B37)</f>
        <v>Costos directos de la venta de terminales</v>
      </c>
      <c r="D114" s="68" t="s">
        <v>79</v>
      </c>
      <c r="E114" s="72"/>
      <c r="F114" s="82">
        <v>10000000000</v>
      </c>
      <c r="G114" s="82">
        <v>7000000000</v>
      </c>
      <c r="H114" s="82">
        <v>3000000000</v>
      </c>
      <c r="I114" s="82">
        <v>2333333333.3333335</v>
      </c>
      <c r="J114" s="82">
        <v>1000000000</v>
      </c>
      <c r="K114" s="82">
        <v>2333333333.3333335</v>
      </c>
      <c r="L114" s="82">
        <f t="shared" si="10"/>
        <v>1000000000</v>
      </c>
      <c r="M114" s="82">
        <f t="shared" si="10"/>
        <v>1000000000</v>
      </c>
      <c r="N114" s="82">
        <f t="shared" si="10"/>
        <v>1000000000</v>
      </c>
      <c r="P114" s="487">
        <f>Supuestos!C37</f>
        <v>0</v>
      </c>
    </row>
    <row r="115" spans="2:16" x14ac:dyDescent="0.2">
      <c r="B115" s="532" t="s">
        <v>96</v>
      </c>
      <c r="C115" s="468" t="str">
        <f>IF(Supuestos!B38="","",Supuestos!B38)</f>
        <v>Servicios generales y de gestión - minoristas</v>
      </c>
      <c r="D115" s="66" t="s">
        <v>79</v>
      </c>
      <c r="E115" s="66"/>
      <c r="F115" s="84">
        <v>600000000</v>
      </c>
      <c r="G115" s="84">
        <v>0</v>
      </c>
      <c r="H115" s="84">
        <v>600000000</v>
      </c>
      <c r="I115" s="82">
        <v>0</v>
      </c>
      <c r="J115" s="82">
        <v>200000000</v>
      </c>
      <c r="K115" s="82">
        <v>0</v>
      </c>
      <c r="L115" s="82">
        <f t="shared" si="10"/>
        <v>200000000</v>
      </c>
      <c r="M115" s="82">
        <f t="shared" si="10"/>
        <v>200000000</v>
      </c>
      <c r="N115" s="82">
        <f t="shared" si="10"/>
        <v>200000000</v>
      </c>
      <c r="P115" s="487">
        <f>Supuestos!C38</f>
        <v>0.05</v>
      </c>
    </row>
    <row r="116" spans="2:16" x14ac:dyDescent="0.2">
      <c r="B116" s="533"/>
      <c r="C116" s="8" t="str">
        <f>IF(Supuestos!B39="","",Supuestos!B39)</f>
        <v>Servicios generales y de gestión - red</v>
      </c>
      <c r="D116" s="66" t="s">
        <v>79</v>
      </c>
      <c r="E116" s="66"/>
      <c r="F116" s="82">
        <v>0</v>
      </c>
      <c r="G116" s="82">
        <v>0</v>
      </c>
      <c r="H116" s="82">
        <v>0</v>
      </c>
      <c r="I116" s="82">
        <v>0</v>
      </c>
      <c r="J116" s="82">
        <v>0</v>
      </c>
      <c r="K116" s="82">
        <v>0</v>
      </c>
      <c r="L116" s="82">
        <f t="shared" si="10"/>
        <v>0</v>
      </c>
      <c r="M116" s="82">
        <f t="shared" si="10"/>
        <v>0</v>
      </c>
      <c r="N116" s="82">
        <f>$H116/3</f>
        <v>0</v>
      </c>
      <c r="P116" s="487">
        <f>Supuestos!C39</f>
        <v>0</v>
      </c>
    </row>
    <row r="117" spans="2:16" x14ac:dyDescent="0.2">
      <c r="B117" s="533"/>
      <c r="C117" s="8" t="str">
        <f>IF(Supuestos!B40="","",Supuestos!B40)</f>
        <v xml:space="preserve">Servicios generales y de gestión - negocio </v>
      </c>
      <c r="D117" s="68" t="s">
        <v>79</v>
      </c>
      <c r="E117" s="72"/>
      <c r="F117" s="82">
        <v>500000000</v>
      </c>
      <c r="G117" s="82">
        <v>350000000</v>
      </c>
      <c r="H117" s="82">
        <v>150000000</v>
      </c>
      <c r="I117" s="82">
        <v>116666666.66666667</v>
      </c>
      <c r="J117" s="82">
        <v>50000000</v>
      </c>
      <c r="K117" s="82">
        <v>116666666.66666667</v>
      </c>
      <c r="L117" s="82">
        <f t="shared" si="10"/>
        <v>50000000</v>
      </c>
      <c r="M117" s="82">
        <f t="shared" si="10"/>
        <v>50000000</v>
      </c>
      <c r="N117" s="82">
        <f t="shared" si="10"/>
        <v>50000000</v>
      </c>
      <c r="P117" s="487">
        <f>Supuestos!C40</f>
        <v>0.1</v>
      </c>
    </row>
    <row r="118" spans="2:16" x14ac:dyDescent="0.2">
      <c r="B118" s="532" t="s">
        <v>195</v>
      </c>
      <c r="C118" s="470" t="str">
        <f>IF(Supuestos!B41="","",Supuestos!B41)</f>
        <v>Costo del Capital:Servicios generales y de gestión - minoristas</v>
      </c>
      <c r="D118" s="66" t="s">
        <v>79</v>
      </c>
      <c r="E118" s="66"/>
      <c r="F118" s="263">
        <v>0</v>
      </c>
      <c r="G118" s="263">
        <v>0</v>
      </c>
      <c r="H118" s="263">
        <v>0</v>
      </c>
      <c r="I118" s="82">
        <v>0</v>
      </c>
      <c r="J118" s="82">
        <v>0</v>
      </c>
      <c r="K118" s="82">
        <v>0</v>
      </c>
      <c r="L118" s="82">
        <f t="shared" si="10"/>
        <v>0</v>
      </c>
      <c r="M118" s="82">
        <f t="shared" si="10"/>
        <v>0</v>
      </c>
      <c r="N118" s="82">
        <f t="shared" si="10"/>
        <v>0</v>
      </c>
      <c r="P118" s="487">
        <f>Supuestos!C41</f>
        <v>0</v>
      </c>
    </row>
    <row r="119" spans="2:16" x14ac:dyDescent="0.2">
      <c r="B119" s="533"/>
      <c r="C119" s="8" t="str">
        <f>IF(Supuestos!B42="","",Supuestos!B42)</f>
        <v>Costo del Capital:Servicios generales y de gestión - red</v>
      </c>
      <c r="D119" s="66" t="s">
        <v>79</v>
      </c>
      <c r="E119" s="66"/>
      <c r="F119" s="261">
        <v>0</v>
      </c>
      <c r="G119" s="261">
        <v>0</v>
      </c>
      <c r="H119" s="261">
        <v>0</v>
      </c>
      <c r="I119" s="82">
        <v>0</v>
      </c>
      <c r="J119" s="82">
        <v>0</v>
      </c>
      <c r="K119" s="82">
        <v>0</v>
      </c>
      <c r="L119" s="82">
        <f t="shared" si="10"/>
        <v>0</v>
      </c>
      <c r="M119" s="82">
        <f t="shared" si="10"/>
        <v>0</v>
      </c>
      <c r="N119" s="82">
        <f t="shared" si="10"/>
        <v>0</v>
      </c>
      <c r="P119" s="108"/>
    </row>
    <row r="120" spans="2:16" x14ac:dyDescent="0.2">
      <c r="B120" s="533"/>
      <c r="C120" s="8" t="str">
        <f>IF(Supuestos!B43="","",Supuestos!B43)</f>
        <v xml:space="preserve">Costo del Capital:Servicios generales y de gestión - negocio </v>
      </c>
      <c r="D120" s="264" t="s">
        <v>79</v>
      </c>
      <c r="E120" s="66"/>
      <c r="F120" s="262">
        <v>0</v>
      </c>
      <c r="G120" s="262">
        <v>0</v>
      </c>
      <c r="H120" s="262">
        <v>0</v>
      </c>
      <c r="I120" s="82">
        <v>0</v>
      </c>
      <c r="J120" s="82">
        <v>0</v>
      </c>
      <c r="K120" s="82">
        <v>0</v>
      </c>
      <c r="L120" s="82">
        <f t="shared" si="10"/>
        <v>0</v>
      </c>
      <c r="M120" s="82">
        <f t="shared" si="10"/>
        <v>0</v>
      </c>
      <c r="N120" s="82">
        <f t="shared" si="10"/>
        <v>0</v>
      </c>
      <c r="P120" s="108"/>
    </row>
    <row r="121" spans="2:16" x14ac:dyDescent="0.2">
      <c r="B121" s="534"/>
      <c r="C121" s="471" t="str">
        <f>IF(Supuestos!B44="","",Supuestos!B44)</f>
        <v>Costo del Capital:Equipos terminales</v>
      </c>
      <c r="D121" s="66" t="s">
        <v>79</v>
      </c>
      <c r="E121" s="66"/>
      <c r="F121" s="260">
        <v>0</v>
      </c>
      <c r="G121" s="260">
        <v>0</v>
      </c>
      <c r="H121" s="260">
        <v>0</v>
      </c>
      <c r="I121" s="82">
        <v>0</v>
      </c>
      <c r="J121" s="82">
        <v>0</v>
      </c>
      <c r="K121" s="82">
        <v>0</v>
      </c>
      <c r="L121" s="82">
        <f t="shared" si="10"/>
        <v>0</v>
      </c>
      <c r="M121" s="82">
        <f t="shared" si="10"/>
        <v>0</v>
      </c>
      <c r="N121" s="82">
        <f t="shared" si="10"/>
        <v>0</v>
      </c>
      <c r="P121" s="108"/>
    </row>
    <row r="122" spans="2:16" x14ac:dyDescent="0.2">
      <c r="B122" s="63"/>
      <c r="C122" s="40" t="s">
        <v>0</v>
      </c>
      <c r="D122" s="56" t="s">
        <v>79</v>
      </c>
      <c r="E122" s="56"/>
      <c r="F122" s="41">
        <f>SUM(F102:F121)</f>
        <v>14393900000</v>
      </c>
      <c r="G122" s="41">
        <f>SUM(G102:G121)</f>
        <v>9511600000</v>
      </c>
      <c r="H122" s="41">
        <f t="shared" ref="H122:N122" si="11">SUM(H102:H121)</f>
        <v>4882300000</v>
      </c>
      <c r="I122" s="41">
        <f t="shared" si="11"/>
        <v>3170533333.333333</v>
      </c>
      <c r="J122" s="41">
        <f t="shared" si="11"/>
        <v>1627433333.3333335</v>
      </c>
      <c r="K122" s="41">
        <f t="shared" si="11"/>
        <v>3170533333.333333</v>
      </c>
      <c r="L122" s="41">
        <f t="shared" si="11"/>
        <v>1627433333.3333335</v>
      </c>
      <c r="M122" s="41">
        <f t="shared" si="11"/>
        <v>1627433333.3333335</v>
      </c>
      <c r="N122" s="41">
        <f t="shared" si="11"/>
        <v>1627433333.3333335</v>
      </c>
    </row>
    <row r="123" spans="2:16" x14ac:dyDescent="0.2">
      <c r="F123" s="51"/>
    </row>
    <row r="124" spans="2:16" x14ac:dyDescent="0.2">
      <c r="C124" s="44" t="s">
        <v>52</v>
      </c>
      <c r="D124" s="44"/>
      <c r="E124" s="44"/>
      <c r="F124" s="45" t="str">
        <f>IF(F122=SUM(G122,H122),"Ok","Error")</f>
        <v>Ok</v>
      </c>
    </row>
    <row r="125" spans="2:16" x14ac:dyDescent="0.2">
      <c r="F125" s="51"/>
    </row>
    <row r="126" spans="2:16" s="21" customFormat="1" ht="15.6" customHeight="1" x14ac:dyDescent="0.2">
      <c r="B126" s="21" t="s">
        <v>98</v>
      </c>
    </row>
    <row r="128" spans="2:16" ht="17.100000000000001" customHeight="1" x14ac:dyDescent="0.2">
      <c r="C128" s="528" t="s">
        <v>102</v>
      </c>
      <c r="D128" s="529"/>
      <c r="E128" s="529"/>
      <c r="F128" s="529"/>
      <c r="G128" s="530"/>
    </row>
    <row r="129" spans="3:6" x14ac:dyDescent="0.2">
      <c r="C129" s="164"/>
      <c r="D129" s="164"/>
      <c r="E129" s="164"/>
      <c r="F129" s="164"/>
    </row>
    <row r="130" spans="3:6" x14ac:dyDescent="0.2">
      <c r="C130" s="202" t="str">
        <f>_xlfn.CONCAT("De ",TEXT($D$6,"dd/mm/yyyy")," a ",TEXT($F$6,"dd/mm/yyyy"))</f>
        <v>De 01/04/yyyy a 30/06/yyyy</v>
      </c>
      <c r="D130" s="164"/>
      <c r="E130" s="164"/>
      <c r="F130" s="164"/>
    </row>
    <row r="131" spans="3:6" x14ac:dyDescent="0.2">
      <c r="C131" s="164"/>
      <c r="D131" s="164"/>
      <c r="E131" s="164"/>
      <c r="F131" s="164"/>
    </row>
    <row r="132" spans="3:6" x14ac:dyDescent="0.2">
      <c r="C132" s="203" t="s">
        <v>28</v>
      </c>
      <c r="D132" s="204" t="s">
        <v>62</v>
      </c>
      <c r="E132" s="204"/>
      <c r="F132" s="205" t="s">
        <v>100</v>
      </c>
    </row>
    <row r="133" spans="3:6" x14ac:dyDescent="0.2">
      <c r="C133" s="206" t="str">
        <f>IF(Supuestos!B48="","",Supuestos!B48)</f>
        <v>Datos</v>
      </c>
      <c r="D133" s="207" t="s">
        <v>99</v>
      </c>
      <c r="E133" s="207"/>
      <c r="F133" s="208">
        <v>0</v>
      </c>
    </row>
    <row r="134" spans="3:6" x14ac:dyDescent="0.2">
      <c r="C134" s="209" t="str">
        <f>IF(Supuestos!B49="","",Supuestos!B49)</f>
        <v>Originación voz on-net local</v>
      </c>
      <c r="D134" s="207" t="s">
        <v>99</v>
      </c>
      <c r="E134" s="207"/>
      <c r="F134" s="208">
        <v>0</v>
      </c>
    </row>
    <row r="135" spans="3:6" x14ac:dyDescent="0.2">
      <c r="C135" s="209" t="str">
        <f>IF(Supuestos!B50="","",Supuestos!B50)</f>
        <v>Originación voz off-net móvil local</v>
      </c>
      <c r="D135" s="207" t="s">
        <v>99</v>
      </c>
      <c r="E135" s="207"/>
      <c r="F135" s="208">
        <v>0</v>
      </c>
    </row>
    <row r="136" spans="3:6" x14ac:dyDescent="0.2">
      <c r="C136" s="209" t="str">
        <f>IF(Supuestos!B51="","",Supuestos!B51)</f>
        <v>Originación voz off-net fijo local</v>
      </c>
      <c r="D136" s="207" t="s">
        <v>99</v>
      </c>
      <c r="E136" s="207"/>
      <c r="F136" s="208">
        <v>0</v>
      </c>
    </row>
    <row r="137" spans="3:6" x14ac:dyDescent="0.2">
      <c r="C137" s="209" t="str">
        <f>IF(Supuestos!B52="","",Supuestos!B52)</f>
        <v>Originación voz on-net LDN</v>
      </c>
      <c r="D137" s="207" t="s">
        <v>99</v>
      </c>
      <c r="E137" s="207"/>
      <c r="F137" s="208">
        <v>0</v>
      </c>
    </row>
    <row r="138" spans="3:6" x14ac:dyDescent="0.2">
      <c r="C138" s="209" t="str">
        <f>IF(Supuestos!B53="","",Supuestos!B53)</f>
        <v>Originación voz off-net móvil LDN</v>
      </c>
      <c r="D138" s="207" t="s">
        <v>99</v>
      </c>
      <c r="E138" s="207"/>
      <c r="F138" s="208">
        <v>0</v>
      </c>
    </row>
    <row r="139" spans="3:6" x14ac:dyDescent="0.2">
      <c r="C139" s="209" t="str">
        <f>IF(Supuestos!B54="","",Supuestos!B54)</f>
        <v>Originación voz off-net fijo LDN</v>
      </c>
      <c r="D139" s="207" t="s">
        <v>99</v>
      </c>
      <c r="E139" s="207"/>
      <c r="F139" s="208">
        <v>0</v>
      </c>
    </row>
    <row r="140" spans="3:6" x14ac:dyDescent="0.2">
      <c r="C140" s="209" t="str">
        <f>IF(Supuestos!B55="","",Supuestos!B55)</f>
        <v>Originación voz internacional USA-Canadá</v>
      </c>
      <c r="D140" s="207" t="s">
        <v>99</v>
      </c>
      <c r="E140" s="207"/>
      <c r="F140" s="208">
        <v>0</v>
      </c>
    </row>
    <row r="141" spans="3:6" x14ac:dyDescent="0.2">
      <c r="C141" s="209" t="str">
        <f>IF(Supuestos!B56="","",Supuestos!B56)</f>
        <v>Originación voz internacional Mundial Centroamérica</v>
      </c>
      <c r="D141" s="207" t="s">
        <v>99</v>
      </c>
      <c r="E141" s="207"/>
      <c r="F141" s="208">
        <v>0</v>
      </c>
    </row>
    <row r="142" spans="3:6" x14ac:dyDescent="0.2">
      <c r="C142" s="209" t="str">
        <f>IF(Supuestos!B57="","",Supuestos!B57)</f>
        <v>Originación voz internacional Mundial LATAM y Caribe</v>
      </c>
      <c r="D142" s="207" t="s">
        <v>99</v>
      </c>
      <c r="E142" s="207"/>
      <c r="F142" s="208">
        <v>0</v>
      </c>
    </row>
    <row r="143" spans="3:6" x14ac:dyDescent="0.2">
      <c r="C143" s="209" t="str">
        <f>IF(Supuestos!B58="","",Supuestos!B58)</f>
        <v>Originación voz internacional Europa</v>
      </c>
      <c r="D143" s="207" t="s">
        <v>99</v>
      </c>
      <c r="E143" s="207"/>
      <c r="F143" s="208">
        <v>0</v>
      </c>
    </row>
    <row r="144" spans="3:6" x14ac:dyDescent="0.2">
      <c r="C144" s="209" t="str">
        <f>IF(Supuestos!B59="","",Supuestos!B59)</f>
        <v>Originación voz internacional Mundial Otros geográficos</v>
      </c>
      <c r="D144" s="207" t="s">
        <v>99</v>
      </c>
      <c r="E144" s="207"/>
      <c r="F144" s="208">
        <v>0</v>
      </c>
    </row>
    <row r="145" spans="3:6" x14ac:dyDescent="0.2">
      <c r="C145" s="209" t="str">
        <f>IF(Supuestos!B60="","",Supuestos!B60)</f>
        <v>Originación voz internacional Cuba</v>
      </c>
      <c r="D145" s="207" t="s">
        <v>99</v>
      </c>
      <c r="E145" s="207"/>
      <c r="F145" s="208">
        <v>0</v>
      </c>
    </row>
    <row r="146" spans="3:6" x14ac:dyDescent="0.2">
      <c r="C146" s="209" t="str">
        <f>IF(Supuestos!B61="","",Supuestos!B61)</f>
        <v>Originación voz Mundial destinos no geográficos</v>
      </c>
      <c r="D146" s="207" t="s">
        <v>99</v>
      </c>
      <c r="E146" s="207"/>
      <c r="F146" s="208">
        <v>0</v>
      </c>
    </row>
    <row r="147" spans="3:6" x14ac:dyDescent="0.2">
      <c r="C147" s="209" t="str">
        <f>IF(Supuestos!B62="","",Supuestos!B62)</f>
        <v>Originación SMS on-net</v>
      </c>
      <c r="D147" s="207" t="s">
        <v>99</v>
      </c>
      <c r="E147" s="207"/>
      <c r="F147" s="208">
        <v>0</v>
      </c>
    </row>
    <row r="148" spans="3:6" x14ac:dyDescent="0.2">
      <c r="C148" s="209" t="str">
        <f>IF(Supuestos!B63="","",Supuestos!B63)</f>
        <v>Originación SMS - off-net nacional</v>
      </c>
      <c r="D148" s="207" t="s">
        <v>99</v>
      </c>
      <c r="E148" s="207"/>
      <c r="F148" s="208">
        <v>0</v>
      </c>
    </row>
    <row r="149" spans="3:6" x14ac:dyDescent="0.2">
      <c r="C149" s="209" t="str">
        <f>IF(Supuestos!B64="","",Supuestos!B64)</f>
        <v>Originación SMS internacional (USA-Canadá)</v>
      </c>
      <c r="D149" s="207" t="s">
        <v>99</v>
      </c>
      <c r="E149" s="207"/>
      <c r="F149" s="208">
        <v>0</v>
      </c>
    </row>
    <row r="150" spans="3:6" x14ac:dyDescent="0.2">
      <c r="C150" s="209" t="str">
        <f>IF(Supuestos!B65="","",Supuestos!B65)</f>
        <v>Originación SMS internacional (Resto del Mundo)</v>
      </c>
      <c r="D150" s="207" t="s">
        <v>99</v>
      </c>
      <c r="E150" s="207"/>
      <c r="F150" s="208">
        <v>0</v>
      </c>
    </row>
    <row r="151" spans="3:6" x14ac:dyDescent="0.2">
      <c r="C151" s="209" t="str">
        <f>IF(Supuestos!B66="","",Supuestos!B66)</f>
        <v>Otros servicios (incluyendo marcaciones especiales)</v>
      </c>
      <c r="D151" s="207" t="s">
        <v>99</v>
      </c>
      <c r="E151" s="207"/>
      <c r="F151" s="208">
        <v>0</v>
      </c>
    </row>
    <row r="152" spans="3:6" x14ac:dyDescent="0.2">
      <c r="C152" s="209" t="str">
        <f>IF(Supuestos!B67="","",Supuestos!B67)</f>
        <v/>
      </c>
      <c r="D152" s="207"/>
      <c r="E152" s="207"/>
      <c r="F152" s="208"/>
    </row>
  </sheetData>
  <mergeCells count="8">
    <mergeCell ref="H4:M6"/>
    <mergeCell ref="M83:R88"/>
    <mergeCell ref="C128:G128"/>
    <mergeCell ref="B105:B109"/>
    <mergeCell ref="B115:B117"/>
    <mergeCell ref="B103:B104"/>
    <mergeCell ref="B118:B121"/>
    <mergeCell ref="M91:R93"/>
  </mergeCells>
  <conditionalFormatting sqref="F22">
    <cfRule type="containsText" dxfId="24" priority="13" operator="containsText" text="Error">
      <formula>NOT(ISERROR(SEARCH("Error",F22)))</formula>
    </cfRule>
    <cfRule type="containsText" dxfId="23" priority="14" operator="containsText" text="Ok">
      <formula>NOT(ISERROR(SEARCH("Ok",F22)))</formula>
    </cfRule>
    <cfRule type="expression" dxfId="22" priority="15">
      <formula>"Ok"</formula>
    </cfRule>
  </conditionalFormatting>
  <conditionalFormatting sqref="F124">
    <cfRule type="containsText" dxfId="21" priority="10" operator="containsText" text="Error">
      <formula>NOT(ISERROR(SEARCH("Error",F124)))</formula>
    </cfRule>
    <cfRule type="containsText" dxfId="20" priority="11" operator="containsText" text="Ok">
      <formula>NOT(ISERROR(SEARCH("Ok",F124)))</formula>
    </cfRule>
    <cfRule type="expression" dxfId="19" priority="12">
      <formula>"Ok"</formula>
    </cfRule>
  </conditionalFormatting>
  <hyperlinks>
    <hyperlink ref="C3" location="'Resultados &gt;&gt;'!A1" display="Ir a Resultados &gt;&gt;" xr:uid="{C569F7FC-5FD0-4F7F-B31E-F8F19CC6CE2E}"/>
  </hyperlinks>
  <pageMargins left="0.7" right="0.7" top="0.75" bottom="0.75" header="0.3" footer="0.3"/>
  <pageSetup paperSize="9" orientation="portrait" r:id="rId1"/>
  <ignoredErrors>
    <ignoredError sqref="F29:G29" unlocked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D0C145-8EBB-4581-95E9-F309324E60B1}">
  <sheetPr>
    <tabColor theme="9" tint="0.79998168889431442"/>
  </sheetPr>
  <dimension ref="B1:BE103"/>
  <sheetViews>
    <sheetView showGridLines="0" zoomScaleNormal="100" workbookViewId="0"/>
  </sheetViews>
  <sheetFormatPr baseColWidth="10" defaultColWidth="8.7109375" defaultRowHeight="12.75" x14ac:dyDescent="0.2"/>
  <cols>
    <col min="1" max="1" width="1.7109375" customWidth="1"/>
    <col min="2" max="2" width="8.140625" customWidth="1"/>
    <col min="3" max="3" width="51.5703125" customWidth="1"/>
    <col min="4" max="7" width="19.28515625" customWidth="1"/>
    <col min="8" max="8" width="20.7109375" customWidth="1"/>
    <col min="9" max="9" width="23.42578125" customWidth="1"/>
    <col min="10" max="10" width="19.28515625" customWidth="1"/>
    <col min="11" max="11" width="23.7109375" customWidth="1"/>
    <col min="12" max="12" width="26" customWidth="1"/>
    <col min="13" max="13" width="17.7109375" customWidth="1"/>
    <col min="14" max="14" width="14.42578125" customWidth="1"/>
    <col min="15" max="15" width="16.42578125" customWidth="1"/>
    <col min="17" max="17" width="24.7109375" customWidth="1"/>
  </cols>
  <sheetData>
    <row r="1" spans="2:18" s="1" customFormat="1" ht="20.25" x14ac:dyDescent="0.3">
      <c r="B1" s="1" t="s">
        <v>281</v>
      </c>
    </row>
    <row r="3" spans="2:18" ht="20.100000000000001" customHeight="1" x14ac:dyDescent="0.2">
      <c r="C3" s="17" t="s">
        <v>24</v>
      </c>
    </row>
    <row r="5" spans="2:18" hidden="1" x14ac:dyDescent="0.2"/>
    <row r="6" spans="2:18" ht="58.9" hidden="1" customHeight="1" x14ac:dyDescent="0.2">
      <c r="C6" s="488"/>
      <c r="D6" s="488"/>
      <c r="E6" s="488"/>
      <c r="F6" s="488"/>
    </row>
    <row r="7" spans="2:18" ht="66" hidden="1" customHeight="1" x14ac:dyDescent="0.2">
      <c r="C7" s="488"/>
      <c r="D7" s="488"/>
      <c r="E7" s="488"/>
      <c r="F7" s="488"/>
    </row>
    <row r="8" spans="2:18" s="73" customFormat="1" ht="15.6" customHeight="1" x14ac:dyDescent="0.2">
      <c r="C8" s="193"/>
      <c r="D8" s="193"/>
      <c r="E8" s="193"/>
      <c r="F8" s="193"/>
    </row>
    <row r="9" spans="2:18" ht="22.15" customHeight="1" x14ac:dyDescent="0.2">
      <c r="B9" s="73"/>
      <c r="C9" s="19" t="s">
        <v>25</v>
      </c>
      <c r="D9" s="105" t="s">
        <v>26</v>
      </c>
      <c r="E9" s="105" t="s">
        <v>27</v>
      </c>
      <c r="F9" s="193"/>
      <c r="G9" s="73"/>
    </row>
    <row r="10" spans="2:18" ht="16.899999999999999" customHeight="1" x14ac:dyDescent="0.2">
      <c r="B10" s="73"/>
      <c r="D10" s="101">
        <f>Supuestos!$C$5</f>
        <v>44652</v>
      </c>
      <c r="E10" s="101">
        <f>Supuestos!$C$6</f>
        <v>44742</v>
      </c>
      <c r="F10" s="193"/>
      <c r="G10" s="73"/>
      <c r="H10" s="73"/>
    </row>
    <row r="12" spans="2:18" s="21" customFormat="1" ht="15.6" customHeight="1" x14ac:dyDescent="0.2">
      <c r="B12" s="21" t="s">
        <v>269</v>
      </c>
    </row>
    <row r="13" spans="2:18" s="148" customFormat="1" ht="15.6" customHeight="1" thickBot="1" x14ac:dyDescent="0.25"/>
    <row r="14" spans="2:18" ht="13.5" thickBot="1" x14ac:dyDescent="0.25">
      <c r="C14" s="19" t="s">
        <v>243</v>
      </c>
      <c r="D14" s="181" t="s">
        <v>186</v>
      </c>
      <c r="F14" s="547"/>
      <c r="G14" s="548"/>
      <c r="H14" s="548"/>
      <c r="I14" s="549"/>
    </row>
    <row r="15" spans="2:18" s="73" customFormat="1" x14ac:dyDescent="0.2">
      <c r="C15" s="249"/>
      <c r="O15" s="187"/>
      <c r="P15" s="187"/>
      <c r="Q15" s="187"/>
      <c r="R15" s="187"/>
    </row>
    <row r="16" spans="2:18" s="21" customFormat="1" ht="15.6" customHeight="1" x14ac:dyDescent="0.2">
      <c r="B16" s="21" t="s">
        <v>250</v>
      </c>
    </row>
    <row r="17" spans="2:20" ht="13.5" customHeight="1" x14ac:dyDescent="0.2"/>
    <row r="18" spans="2:20" x14ac:dyDescent="0.2">
      <c r="C18" s="545" t="s">
        <v>249</v>
      </c>
      <c r="D18" s="545"/>
      <c r="E18" s="545"/>
      <c r="F18" s="545"/>
      <c r="G18" s="545"/>
      <c r="H18" s="545"/>
      <c r="I18" s="545"/>
      <c r="J18" s="545"/>
      <c r="K18" s="545"/>
      <c r="L18" s="545"/>
      <c r="M18" s="545"/>
      <c r="N18" s="545"/>
      <c r="O18" s="545"/>
      <c r="P18" s="545"/>
      <c r="Q18" s="545"/>
      <c r="R18" s="545"/>
    </row>
    <row r="20" spans="2:20" s="73" customFormat="1" ht="13.5" thickBot="1" x14ac:dyDescent="0.25">
      <c r="C20" s="19"/>
      <c r="D20" s="157"/>
      <c r="E20" s="364" t="s">
        <v>259</v>
      </c>
      <c r="F20" s="364" t="s">
        <v>260</v>
      </c>
      <c r="G20" s="19" t="s">
        <v>261</v>
      </c>
      <c r="H20" s="19" t="s">
        <v>262</v>
      </c>
      <c r="I20" s="19" t="s">
        <v>263</v>
      </c>
      <c r="J20" s="19" t="s">
        <v>264</v>
      </c>
      <c r="P20" s="187"/>
      <c r="Q20" s="187"/>
      <c r="R20" s="187"/>
    </row>
    <row r="21" spans="2:20" ht="13.15" customHeight="1" x14ac:dyDescent="0.2">
      <c r="C21" s="371" t="str">
        <f>'Informacion del AEP'!C83</f>
        <v>Facturación total mensual</v>
      </c>
      <c r="D21" s="180" t="str">
        <f>'Informacion del AEP'!D83</f>
        <v>Pesos</v>
      </c>
      <c r="E21" s="369">
        <f>IF($D$14='Hoja Auxiliar'!$B$32,'Informacion del AEP'!F83/3,0)</f>
        <v>0</v>
      </c>
      <c r="F21" s="369">
        <f>IF($D$14='Hoja Auxiliar'!$B$32,'Informacion del AEP'!G83/3,0)</f>
        <v>0</v>
      </c>
      <c r="G21" s="369">
        <f>IF($D$14='Hoja Auxiliar'!$B$32,'Informacion del AEP'!H83/3,0)</f>
        <v>0</v>
      </c>
      <c r="H21" s="369">
        <f>IF($D$14='Hoja Auxiliar'!$B$32,'Informacion del AEP'!I83/3,0)</f>
        <v>0</v>
      </c>
      <c r="I21" s="369">
        <f>IF($D$14='Hoja Auxiliar'!$B$32,'Informacion del AEP'!J83/3,0)</f>
        <v>0</v>
      </c>
      <c r="J21" s="215">
        <f>IF($D$14='Hoja Auxiliar'!$B$32,'Informacion del AEP'!K83/3,0)</f>
        <v>0</v>
      </c>
      <c r="L21" s="488"/>
      <c r="M21" s="488"/>
      <c r="N21" s="488"/>
      <c r="O21" s="488"/>
    </row>
    <row r="22" spans="2:20" x14ac:dyDescent="0.2">
      <c r="C22" s="372" t="str">
        <f>'Informacion del AEP'!C91</f>
        <v xml:space="preserve">Unidades de bolsa de tráfico consumidas </v>
      </c>
      <c r="D22" s="168" t="s">
        <v>172</v>
      </c>
      <c r="E22" s="367">
        <f>IF($D$14='Hoja Auxiliar'!$B$33,'Informacion del AEP'!F91/3,0)</f>
        <v>0</v>
      </c>
      <c r="F22" s="367">
        <f>IF($D$14='Hoja Auxiliar'!$B$33,'Informacion del AEP'!G91/3,0)</f>
        <v>0</v>
      </c>
      <c r="G22" s="367">
        <f>IF($D$14='Hoja Auxiliar'!$B$33,'Informacion del AEP'!H91/3,0)</f>
        <v>0</v>
      </c>
      <c r="H22" s="367">
        <f>IF($D$14='Hoja Auxiliar'!$B$33,'Informacion del AEP'!I91/3,0)</f>
        <v>0</v>
      </c>
      <c r="I22" s="367">
        <f>IF($D$14='Hoja Auxiliar'!$B$33,'Informacion del AEP'!J91/3,0)</f>
        <v>0</v>
      </c>
      <c r="J22" s="216">
        <f>IF($D$14='Hoja Auxiliar'!$B$33,'Informacion del AEP'!K91/3,0)</f>
        <v>0</v>
      </c>
      <c r="L22" s="488"/>
      <c r="M22" s="488"/>
      <c r="N22" s="488"/>
      <c r="O22" s="488"/>
    </row>
    <row r="23" spans="2:20" x14ac:dyDescent="0.2">
      <c r="C23" s="372" t="s">
        <v>187</v>
      </c>
      <c r="D23" s="168" t="s">
        <v>63</v>
      </c>
      <c r="E23" s="367">
        <f>IF($D$14='Hoja Auxiliar'!$B$35,'Informacion del AEP'!F87/3,0)</f>
        <v>1666666666.6666667</v>
      </c>
      <c r="F23" s="367">
        <f>IF($D$14='Hoja Auxiliar'!$B$35,'Informacion del AEP'!G87/3,0)</f>
        <v>1333333333.3333333</v>
      </c>
      <c r="G23" s="367">
        <f>IF($D$14='Hoja Auxiliar'!$B$35,'Informacion del AEP'!H87/3,0)</f>
        <v>1000000000</v>
      </c>
      <c r="H23" s="367">
        <f>IF($D$14='Hoja Auxiliar'!$B$35,'Informacion del AEP'!I87/3,0)</f>
        <v>666666666.66666663</v>
      </c>
      <c r="I23" s="367">
        <f>IF($D$14='Hoja Auxiliar'!$B$35,'Informacion del AEP'!J87/3,0)</f>
        <v>333333333.33333331</v>
      </c>
      <c r="J23" s="216">
        <f>IF($D$14='Hoja Auxiliar'!$B$35,'Informacion del AEP'!K87/3,0)</f>
        <v>333333333.33333331</v>
      </c>
      <c r="L23" s="488"/>
      <c r="M23" s="488"/>
      <c r="N23" s="488"/>
      <c r="O23" s="488"/>
    </row>
    <row r="24" spans="2:20" ht="12.75" customHeight="1" x14ac:dyDescent="0.2">
      <c r="C24" s="372" t="s">
        <v>214</v>
      </c>
      <c r="D24" s="168"/>
      <c r="E24" s="368">
        <f>IF($D$14='Hoja Auxiliar'!$B$34,0,'Hoja Auxiliar'!C14)</f>
        <v>5</v>
      </c>
      <c r="F24" s="368">
        <f>IF($D$14='Hoja Auxiliar'!$B$34,0,'Hoja Auxiliar'!L14)</f>
        <v>5</v>
      </c>
      <c r="G24" s="368">
        <f>IF($D$14='Hoja Auxiliar'!$B$34,0,'Hoja Auxiliar'!U14)</f>
        <v>4</v>
      </c>
      <c r="H24" s="368">
        <f>IF($D$14='Hoja Auxiliar'!$B$34,0,'Hoja Auxiliar'!AD14)</f>
        <v>3</v>
      </c>
      <c r="I24" s="368">
        <f>IF($D$14='Hoja Auxiliar'!$B$34,0,'Hoja Auxiliar'!AM14)</f>
        <v>2</v>
      </c>
      <c r="J24" s="242">
        <f>IF($D$14='Hoja Auxiliar'!$B$34,0,'Hoja Auxiliar'!AV14)</f>
        <v>2</v>
      </c>
      <c r="L24" s="488"/>
      <c r="M24" s="488"/>
      <c r="N24" s="488"/>
      <c r="O24" s="488"/>
    </row>
    <row r="25" spans="2:20" x14ac:dyDescent="0.2">
      <c r="C25" s="372" t="s">
        <v>215</v>
      </c>
      <c r="D25" s="168"/>
      <c r="E25" s="368">
        <f>IF($D$14='Hoja Auxiliar'!$B$35,'Hoja Auxiliar'!C24,"")</f>
        <v>3</v>
      </c>
      <c r="F25" s="368">
        <f>IF($D$14='Hoja Auxiliar'!$B$35,'Hoja Auxiliar'!L24,"")</f>
        <v>3</v>
      </c>
      <c r="G25" s="368">
        <f>IF($D$14='Hoja Auxiliar'!$B$35,'Hoja Auxiliar'!U24,"")</f>
        <v>3</v>
      </c>
      <c r="H25" s="368">
        <f>IF($D$14='Hoja Auxiliar'!$B$35,'Hoja Auxiliar'!AD24,"")</f>
        <v>3</v>
      </c>
      <c r="I25" s="368">
        <f>IF($D$14='Hoja Auxiliar'!$B$35,'Hoja Auxiliar'!AM24,"")</f>
        <v>3</v>
      </c>
      <c r="J25" s="242">
        <f>IF($D$14='Hoja Auxiliar'!$B$35,'Hoja Auxiliar'!AV24,"")</f>
        <v>3</v>
      </c>
      <c r="L25" s="193"/>
      <c r="M25" s="193"/>
      <c r="N25" s="193"/>
      <c r="O25" s="193"/>
    </row>
    <row r="26" spans="2:20" ht="43.15" customHeight="1" x14ac:dyDescent="0.2">
      <c r="C26" s="373" t="str">
        <f>'Informacion del AEP'!C88</f>
        <v>Número de usuarios activos</v>
      </c>
      <c r="D26" s="378" t="str">
        <f>'Informacion del AEP'!D88</f>
        <v>Usuarios</v>
      </c>
      <c r="E26" s="379">
        <f>INDEX('Informacion del AEP'!$F$88:$K$88,MATCH('Precio Mayorista'!E20,'Informacion del AEP'!$F$82:$K$82,0))</f>
        <v>1000000</v>
      </c>
      <c r="F26" s="379">
        <f>INDEX('Informacion del AEP'!$F$88:$K$88,MATCH('Precio Mayorista'!F20,'Informacion del AEP'!$F$82:$K$82,0))</f>
        <v>900000</v>
      </c>
      <c r="G26" s="379">
        <f>INDEX('Informacion del AEP'!$F$88:$K$88,MATCH('Precio Mayorista'!G20,'Informacion del AEP'!$F$82:$K$82,0))</f>
        <v>800000</v>
      </c>
      <c r="H26" s="379">
        <f>INDEX('Informacion del AEP'!$F$88:$K$88,MATCH('Precio Mayorista'!H20,'Informacion del AEP'!$F$82:$K$82,0))</f>
        <v>700000</v>
      </c>
      <c r="I26" s="379">
        <f>INDEX('Informacion del AEP'!$F$88:$K$88,MATCH('Precio Mayorista'!I20,'Informacion del AEP'!$F$82:$K$82,0))</f>
        <v>600000</v>
      </c>
      <c r="J26" s="380">
        <f>INDEX('Informacion del AEP'!$F$88:$K$88,MATCH('Precio Mayorista'!J20,'Informacion del AEP'!$F$82:$K$82,0))</f>
        <v>500000</v>
      </c>
      <c r="L26" s="488"/>
      <c r="M26" s="488"/>
      <c r="N26" s="488"/>
      <c r="O26" s="488"/>
    </row>
    <row r="27" spans="2:20" ht="13.5" thickBot="1" x14ac:dyDescent="0.25">
      <c r="B27" s="280"/>
      <c r="C27" s="374" t="s">
        <v>232</v>
      </c>
      <c r="D27" s="281" t="s">
        <v>152</v>
      </c>
      <c r="E27" s="370">
        <f>IF(OR($D$14='Hoja Auxiliar'!$B$33,$D$14='Hoja Auxiliar'!$B$34, AND($D$14='Hoja Auxiliar'!$B$35,E26&gt;$D$69)),INDEX($D$65:$J$65,MATCH(E24,$D$29:$J$29,0)),IF(OR($D$14='Hoja Auxiliar'!$B$32),0,$D$43))</f>
        <v>800000</v>
      </c>
      <c r="F27" s="370">
        <f>IF(OR($D$14='Hoja Auxiliar'!$B$33,$D$14='Hoja Auxiliar'!$B$34, AND($D$14='Hoja Auxiliar'!$B$35,F26&gt;$D$69)),INDEX($D$65:$J$65,MATCH(F24,$D$29:$J$29,0)),IF(OR($D$14='Hoja Auxiliar'!$B$32),0,$D$43))</f>
        <v>800000</v>
      </c>
      <c r="G27" s="370">
        <f>IF(OR($D$14='Hoja Auxiliar'!$B$33,$D$14='Hoja Auxiliar'!$B$34, AND($D$14='Hoja Auxiliar'!$B$35,G26&gt;$D$69)),INDEX($D$65:$J$65,MATCH(G24,$D$29:$J$29,0)),IF(OR($D$14='Hoja Auxiliar'!$B$32),0,$D$43))</f>
        <v>800000</v>
      </c>
      <c r="H27" s="370">
        <f>IF(OR($D$14='Hoja Auxiliar'!$B$33,$D$14='Hoja Auxiliar'!$B$34, AND($D$14='Hoja Auxiliar'!$B$35,H26&gt;$D$69)),INDEX($D$65:$J$65,MATCH(H24,$D$29:$J$29,0)),IF(OR($D$14='Hoja Auxiliar'!$B$32),0,$D$43))</f>
        <v>500000</v>
      </c>
      <c r="I27" s="370">
        <f>IF(OR($D$14='Hoja Auxiliar'!$B$33,$D$14='Hoja Auxiliar'!$B$34, AND($D$14='Hoja Auxiliar'!$B$35,I26&gt;$D$69)),INDEX($D$65:$J$65,MATCH(I24,$D$29:$J$29,0)),IF(OR($D$14='Hoja Auxiliar'!$B$32),0,$D$43))</f>
        <v>400000</v>
      </c>
      <c r="J27" s="370">
        <f>IF(OR($D$14='Hoja Auxiliar'!$B$33,$D$14='Hoja Auxiliar'!$B$34, AND($D$14='Hoja Auxiliar'!$B$35,J26&gt;$D$69)),INDEX($D$65:$J$65,MATCH(J24,$D$29:$J$29,0)),IF(OR($D$14='Hoja Auxiliar'!$B$32),0,$D$43))</f>
        <v>400000</v>
      </c>
      <c r="Q27" s="249"/>
      <c r="R27" s="249"/>
      <c r="S27" s="249"/>
      <c r="T27" s="249"/>
    </row>
    <row r="28" spans="2:20" x14ac:dyDescent="0.2">
      <c r="B28" s="280"/>
      <c r="C28" s="365"/>
      <c r="D28" s="278"/>
      <c r="E28" s="366"/>
      <c r="F28" s="280"/>
      <c r="Q28" s="249"/>
      <c r="R28" s="249"/>
      <c r="S28" s="249"/>
      <c r="T28" s="249"/>
    </row>
    <row r="29" spans="2:20" ht="13.5" customHeight="1" x14ac:dyDescent="0.2">
      <c r="C29" s="190" t="s">
        <v>167</v>
      </c>
      <c r="D29" s="191">
        <v>0</v>
      </c>
      <c r="E29" s="191">
        <v>1</v>
      </c>
      <c r="F29" s="191">
        <v>2</v>
      </c>
      <c r="G29" s="191">
        <v>3</v>
      </c>
      <c r="H29" s="191">
        <v>4</v>
      </c>
      <c r="I29" s="191">
        <v>5</v>
      </c>
      <c r="J29" s="191">
        <v>6</v>
      </c>
      <c r="L29" s="488"/>
      <c r="M29" s="488"/>
      <c r="N29" s="488"/>
      <c r="O29" s="488"/>
      <c r="Q29" s="249"/>
      <c r="R29" s="249"/>
      <c r="S29" s="249"/>
      <c r="T29" s="249"/>
    </row>
    <row r="30" spans="2:20" ht="18" customHeight="1" x14ac:dyDescent="0.2">
      <c r="C30" s="25" t="s">
        <v>174</v>
      </c>
      <c r="D30" s="170"/>
      <c r="E30" s="170"/>
      <c r="F30" s="170"/>
      <c r="G30" s="170"/>
      <c r="H30" s="170"/>
      <c r="I30" s="170"/>
      <c r="J30" s="170"/>
      <c r="L30" s="488"/>
      <c r="M30" s="488"/>
      <c r="N30" s="488"/>
      <c r="O30" s="488"/>
      <c r="Q30" s="361"/>
      <c r="R30" s="361"/>
      <c r="S30" s="249"/>
      <c r="T30" s="249"/>
    </row>
    <row r="31" spans="2:20" ht="12.6" customHeight="1" x14ac:dyDescent="0.2">
      <c r="C31" s="167" t="s">
        <v>180</v>
      </c>
      <c r="D31" s="192"/>
      <c r="E31" s="192">
        <v>1000000.01</v>
      </c>
      <c r="F31" s="192"/>
      <c r="G31" s="188"/>
      <c r="H31" s="188"/>
      <c r="I31" s="188"/>
      <c r="J31" s="188"/>
      <c r="L31" s="488"/>
      <c r="M31" s="488"/>
      <c r="N31" s="488"/>
      <c r="O31" s="488"/>
      <c r="Q31" s="361"/>
      <c r="R31" s="361"/>
      <c r="S31" s="249"/>
      <c r="T31" s="249"/>
    </row>
    <row r="32" spans="2:20" ht="15" customHeight="1" x14ac:dyDescent="0.2">
      <c r="C32" s="167" t="s">
        <v>181</v>
      </c>
      <c r="D32" s="192">
        <v>1000000</v>
      </c>
      <c r="E32" s="192"/>
      <c r="F32" s="192"/>
      <c r="G32" s="188"/>
      <c r="H32" s="188"/>
      <c r="I32" s="188"/>
      <c r="J32" s="188"/>
      <c r="L32" s="488"/>
      <c r="M32" s="488"/>
      <c r="N32" s="488"/>
      <c r="O32" s="488"/>
      <c r="Q32" s="361"/>
      <c r="R32" s="361"/>
      <c r="S32" s="249"/>
      <c r="T32" s="249"/>
    </row>
    <row r="33" spans="2:20" ht="15" customHeight="1" x14ac:dyDescent="0.2">
      <c r="B33" s="143"/>
      <c r="C33" s="25" t="s">
        <v>163</v>
      </c>
      <c r="D33" s="192"/>
      <c r="E33" s="192"/>
      <c r="F33" s="192"/>
      <c r="G33" s="188"/>
      <c r="H33" s="188"/>
      <c r="I33" s="188"/>
      <c r="J33" s="188"/>
      <c r="L33" s="488"/>
      <c r="M33" s="488"/>
      <c r="N33" s="488"/>
      <c r="O33" s="488"/>
      <c r="Q33" s="361"/>
      <c r="R33" s="361"/>
      <c r="S33" s="249"/>
      <c r="T33" s="249"/>
    </row>
    <row r="34" spans="2:20" ht="15" customHeight="1" x14ac:dyDescent="0.2">
      <c r="C34" s="167" t="s">
        <v>164</v>
      </c>
      <c r="D34" s="192">
        <v>1</v>
      </c>
      <c r="E34" s="192">
        <v>100000001</v>
      </c>
      <c r="F34" s="192">
        <v>200000001</v>
      </c>
      <c r="G34" s="192">
        <v>400000001</v>
      </c>
      <c r="H34" s="192">
        <v>750000001</v>
      </c>
      <c r="I34" s="192">
        <v>1100000001</v>
      </c>
      <c r="J34" s="192">
        <v>2400000001</v>
      </c>
      <c r="L34" s="488"/>
      <c r="M34" s="488"/>
      <c r="N34" s="488"/>
      <c r="O34" s="488"/>
      <c r="Q34" s="361"/>
      <c r="R34" s="361"/>
      <c r="S34" s="249"/>
      <c r="T34" s="249"/>
    </row>
    <row r="35" spans="2:20" ht="15.6" customHeight="1" x14ac:dyDescent="0.2">
      <c r="C35" s="167" t="s">
        <v>165</v>
      </c>
      <c r="D35" s="192">
        <v>100000000</v>
      </c>
      <c r="E35" s="192">
        <v>200000000</v>
      </c>
      <c r="F35" s="192">
        <v>400000000</v>
      </c>
      <c r="G35" s="192">
        <v>750000000</v>
      </c>
      <c r="H35" s="192">
        <v>1100000000</v>
      </c>
      <c r="I35" s="192">
        <v>2400000000</v>
      </c>
      <c r="J35" s="192">
        <v>3400000000</v>
      </c>
      <c r="L35" s="488"/>
      <c r="M35" s="488"/>
      <c r="N35" s="488"/>
      <c r="O35" s="488"/>
      <c r="Q35" s="361"/>
      <c r="R35" s="249"/>
      <c r="S35" s="249"/>
      <c r="T35" s="249"/>
    </row>
    <row r="36" spans="2:20" ht="10.9" customHeight="1" x14ac:dyDescent="0.2">
      <c r="C36" s="167"/>
      <c r="D36" s="192"/>
      <c r="E36" s="192"/>
      <c r="F36" s="192"/>
      <c r="G36" s="188"/>
      <c r="H36" s="188"/>
      <c r="I36" s="188"/>
      <c r="J36" s="188"/>
      <c r="L36" s="488"/>
      <c r="M36" s="488"/>
      <c r="N36" s="488"/>
      <c r="O36" s="488"/>
      <c r="Q36" s="361"/>
      <c r="R36" s="249"/>
      <c r="S36" s="249"/>
      <c r="T36" s="249"/>
    </row>
    <row r="37" spans="2:20" ht="12.6" customHeight="1" x14ac:dyDescent="0.2">
      <c r="C37" s="25" t="s">
        <v>187</v>
      </c>
      <c r="D37" s="192"/>
      <c r="E37" s="192"/>
      <c r="F37" s="192"/>
      <c r="G37" s="188"/>
      <c r="H37" s="188"/>
      <c r="I37" s="188"/>
      <c r="J37" s="188"/>
      <c r="L37" s="488"/>
      <c r="M37" s="488"/>
      <c r="N37" s="488"/>
      <c r="O37" s="488"/>
      <c r="Q37" s="361"/>
      <c r="R37" s="249"/>
      <c r="S37" s="249"/>
      <c r="T37" s="249"/>
    </row>
    <row r="38" spans="2:20" ht="13.9" customHeight="1" x14ac:dyDescent="0.2">
      <c r="C38" s="167" t="s">
        <v>190</v>
      </c>
      <c r="D38" s="192">
        <v>0</v>
      </c>
      <c r="E38" s="192">
        <v>100000001</v>
      </c>
      <c r="F38" s="192">
        <v>200000001</v>
      </c>
      <c r="G38" s="192">
        <v>400000001</v>
      </c>
      <c r="H38" s="192">
        <v>750000001</v>
      </c>
      <c r="I38" s="192">
        <v>1100000001</v>
      </c>
      <c r="J38" s="192">
        <v>2400000001</v>
      </c>
      <c r="L38" s="488"/>
      <c r="M38" s="488"/>
      <c r="N38" s="488"/>
      <c r="O38" s="488"/>
      <c r="Q38" s="546" t="str">
        <f>IF(D14='Hoja Auxiliar'!$B$35,"&gt;&gt;Rango según datos consumidos","")</f>
        <v>&gt;&gt;Rango según datos consumidos</v>
      </c>
      <c r="R38" s="249"/>
      <c r="S38" s="249"/>
      <c r="T38" s="249"/>
    </row>
    <row r="39" spans="2:20" ht="12.6" customHeight="1" x14ac:dyDescent="0.2">
      <c r="C39" s="167" t="s">
        <v>191</v>
      </c>
      <c r="D39" s="192">
        <v>100000000</v>
      </c>
      <c r="E39" s="192">
        <v>200000000</v>
      </c>
      <c r="F39" s="192">
        <v>400000000</v>
      </c>
      <c r="G39" s="192">
        <v>750000000</v>
      </c>
      <c r="H39" s="192">
        <v>1100000000</v>
      </c>
      <c r="I39" s="192">
        <v>2400000000</v>
      </c>
      <c r="J39" s="192">
        <v>3400000000</v>
      </c>
      <c r="L39" s="488"/>
      <c r="M39" s="488"/>
      <c r="N39" s="488"/>
      <c r="O39" s="488"/>
      <c r="Q39" s="546"/>
      <c r="R39" s="249"/>
      <c r="S39" s="249"/>
      <c r="T39" s="249"/>
    </row>
    <row r="40" spans="2:20" ht="6.6" customHeight="1" x14ac:dyDescent="0.2">
      <c r="C40" s="167"/>
      <c r="D40" s="192"/>
      <c r="E40" s="192"/>
      <c r="F40" s="192"/>
      <c r="G40" s="188"/>
      <c r="H40" s="188"/>
      <c r="I40" s="188"/>
      <c r="J40" s="188"/>
      <c r="L40" s="488"/>
      <c r="M40" s="488"/>
      <c r="N40" s="488"/>
      <c r="O40" s="488"/>
      <c r="Q40" s="405"/>
      <c r="R40" s="249"/>
      <c r="S40" s="249"/>
      <c r="T40" s="249"/>
    </row>
    <row r="41" spans="2:20" ht="13.9" customHeight="1" x14ac:dyDescent="0.2">
      <c r="C41" s="25" t="s">
        <v>218</v>
      </c>
      <c r="D41" s="192"/>
      <c r="E41" s="192">
        <v>0</v>
      </c>
      <c r="F41" s="192"/>
      <c r="G41" s="188"/>
      <c r="H41" s="188"/>
      <c r="I41" s="188"/>
      <c r="J41" s="188"/>
      <c r="L41" s="488"/>
      <c r="M41" s="488"/>
      <c r="N41" s="488"/>
      <c r="O41" s="488"/>
      <c r="Q41" s="249"/>
      <c r="R41" s="249"/>
      <c r="S41" s="249"/>
      <c r="T41" s="249"/>
    </row>
    <row r="42" spans="2:20" ht="11.65" customHeight="1" x14ac:dyDescent="0.2">
      <c r="C42" s="167" t="s">
        <v>188</v>
      </c>
      <c r="D42" s="192">
        <v>0</v>
      </c>
      <c r="E42" s="192">
        <v>0</v>
      </c>
      <c r="F42" s="192">
        <v>0</v>
      </c>
      <c r="G42" s="192">
        <v>0</v>
      </c>
      <c r="H42" s="188"/>
      <c r="I42" s="188"/>
      <c r="J42" s="188"/>
      <c r="L42" s="488"/>
      <c r="M42" s="488"/>
      <c r="N42" s="488"/>
      <c r="O42" s="488"/>
      <c r="Q42" s="546" t="str">
        <f>IF(D14='Hoja Auxiliar'!$B$35,"&gt;&gt;Rango según usuarios activos","")</f>
        <v>&gt;&gt;Rango según usuarios activos</v>
      </c>
      <c r="R42" s="249"/>
      <c r="S42" s="249"/>
      <c r="T42" s="249"/>
    </row>
    <row r="43" spans="2:20" ht="13.9" customHeight="1" x14ac:dyDescent="0.2">
      <c r="C43" s="301" t="s">
        <v>189</v>
      </c>
      <c r="D43" s="302">
        <v>0</v>
      </c>
      <c r="E43" s="302">
        <v>0</v>
      </c>
      <c r="F43" s="302">
        <v>0</v>
      </c>
      <c r="G43" s="303"/>
      <c r="H43" s="303"/>
      <c r="I43" s="303"/>
      <c r="J43" s="303"/>
      <c r="L43" s="488"/>
      <c r="M43" s="488"/>
      <c r="N43" s="488"/>
      <c r="O43" s="488"/>
      <c r="Q43" s="546"/>
      <c r="R43" s="249"/>
      <c r="S43" s="249"/>
      <c r="T43" s="249"/>
    </row>
    <row r="44" spans="2:20" ht="16.149999999999999" customHeight="1" x14ac:dyDescent="0.2">
      <c r="C44" s="167"/>
      <c r="D44" s="192"/>
      <c r="E44" s="192"/>
      <c r="F44" s="192"/>
      <c r="G44" s="188"/>
      <c r="H44" s="188"/>
      <c r="I44" s="188"/>
      <c r="J44" s="188"/>
      <c r="L44" s="488"/>
      <c r="M44" s="488"/>
      <c r="N44" s="488"/>
      <c r="O44" s="488"/>
      <c r="Q44" s="361"/>
      <c r="R44" s="249"/>
      <c r="S44" s="249"/>
      <c r="T44" s="249"/>
    </row>
    <row r="45" spans="2:20" x14ac:dyDescent="0.2">
      <c r="C45" s="189" t="s">
        <v>183</v>
      </c>
      <c r="D45" s="299"/>
      <c r="E45" s="299"/>
      <c r="F45" s="299"/>
      <c r="G45" s="299"/>
      <c r="H45" s="299"/>
      <c r="I45" s="299"/>
      <c r="J45" s="299"/>
      <c r="L45" s="488"/>
      <c r="M45" s="488"/>
      <c r="N45" s="488"/>
      <c r="O45" s="488"/>
      <c r="Q45" s="361"/>
      <c r="R45" s="249"/>
      <c r="S45" s="249"/>
      <c r="T45" s="249"/>
    </row>
    <row r="46" spans="2:20" ht="15.6" customHeight="1" x14ac:dyDescent="0.2">
      <c r="C46" s="25" t="s">
        <v>171</v>
      </c>
      <c r="D46" s="223"/>
      <c r="E46" s="223"/>
      <c r="F46" s="223"/>
      <c r="G46" s="223"/>
      <c r="H46" s="223"/>
      <c r="I46" s="223"/>
      <c r="J46" s="223"/>
      <c r="L46" s="488"/>
      <c r="M46" s="488"/>
      <c r="N46" s="488"/>
      <c r="O46" s="488"/>
      <c r="Q46" s="361"/>
      <c r="R46" s="361"/>
      <c r="S46" s="249"/>
      <c r="T46" s="249"/>
    </row>
    <row r="47" spans="2:20" x14ac:dyDescent="0.2">
      <c r="C47" s="169" t="s">
        <v>168</v>
      </c>
      <c r="D47" s="474">
        <v>4.2000000000000003E-2</v>
      </c>
      <c r="E47" s="475">
        <v>0.04</v>
      </c>
      <c r="F47" s="475">
        <v>3.5999999999999997E-2</v>
      </c>
      <c r="G47" s="475">
        <v>3.4000000000000002E-2</v>
      </c>
      <c r="H47" s="475">
        <v>3.2000000000000001E-2</v>
      </c>
      <c r="I47" s="475">
        <v>0.03</v>
      </c>
      <c r="J47" s="475">
        <v>2.8000000000000001E-2</v>
      </c>
      <c r="L47" s="488"/>
      <c r="M47" s="488"/>
      <c r="N47" s="488"/>
      <c r="O47" s="488"/>
      <c r="Q47" s="361"/>
      <c r="R47" s="361"/>
      <c r="S47" s="249"/>
      <c r="T47" s="249"/>
    </row>
    <row r="48" spans="2:20" x14ac:dyDescent="0.2">
      <c r="C48" s="169" t="s">
        <v>149</v>
      </c>
      <c r="D48" s="474">
        <v>2.1000000000000001E-2</v>
      </c>
      <c r="E48" s="475">
        <v>0.02</v>
      </c>
      <c r="F48" s="475">
        <v>1.7999999999999999E-2</v>
      </c>
      <c r="G48" s="475">
        <v>1.7000000000000001E-2</v>
      </c>
      <c r="H48" s="475">
        <v>1.6E-2</v>
      </c>
      <c r="I48" s="475">
        <v>1.4999999999999999E-2</v>
      </c>
      <c r="J48" s="475">
        <v>1.4E-2</v>
      </c>
      <c r="L48" s="488"/>
      <c r="M48" s="488"/>
      <c r="N48" s="488"/>
      <c r="O48" s="488"/>
      <c r="Q48" s="406"/>
      <c r="R48" s="406"/>
      <c r="S48" s="249"/>
      <c r="T48" s="249"/>
    </row>
    <row r="49" spans="2:57" x14ac:dyDescent="0.2">
      <c r="C49" s="169" t="s">
        <v>169</v>
      </c>
      <c r="D49" s="474">
        <v>2.1000000000000001E-2</v>
      </c>
      <c r="E49" s="475">
        <v>0.02</v>
      </c>
      <c r="F49" s="475">
        <v>1.7999999999999999E-2</v>
      </c>
      <c r="G49" s="475">
        <v>1.7000000000000001E-2</v>
      </c>
      <c r="H49" s="475">
        <v>1.6E-2</v>
      </c>
      <c r="I49" s="475">
        <v>1.4999999999999999E-2</v>
      </c>
      <c r="J49" s="475">
        <v>1.4E-2</v>
      </c>
      <c r="L49" s="488"/>
      <c r="M49" s="488"/>
      <c r="N49" s="488"/>
      <c r="O49" s="488"/>
      <c r="Q49" s="361"/>
      <c r="R49" s="361"/>
      <c r="S49" s="249"/>
      <c r="T49" s="249"/>
    </row>
    <row r="50" spans="2:57" ht="4.9000000000000004" customHeight="1" x14ac:dyDescent="0.2">
      <c r="C50" s="182"/>
      <c r="D50" s="188"/>
      <c r="E50" s="188"/>
      <c r="F50" s="188"/>
      <c r="G50" s="188"/>
      <c r="H50" s="188"/>
      <c r="I50" s="188"/>
      <c r="J50" s="188"/>
      <c r="L50" s="488"/>
      <c r="M50" s="488"/>
      <c r="N50" s="488"/>
      <c r="O50" s="488"/>
      <c r="Q50" s="361"/>
      <c r="R50" s="361"/>
      <c r="S50" s="249"/>
      <c r="T50" s="249"/>
    </row>
    <row r="51" spans="2:57" ht="13.15" customHeight="1" x14ac:dyDescent="0.2">
      <c r="C51" s="25" t="s">
        <v>173</v>
      </c>
      <c r="D51" s="466">
        <v>0</v>
      </c>
      <c r="E51" s="466">
        <v>0</v>
      </c>
      <c r="F51" s="466">
        <v>0</v>
      </c>
      <c r="G51" s="466">
        <v>0</v>
      </c>
      <c r="H51" s="466">
        <v>0</v>
      </c>
      <c r="I51" s="466">
        <v>0</v>
      </c>
      <c r="J51" s="466">
        <v>0</v>
      </c>
      <c r="L51" s="488"/>
      <c r="M51" s="488"/>
      <c r="N51" s="488"/>
      <c r="O51" s="488"/>
      <c r="Q51" s="361"/>
      <c r="R51" s="361"/>
      <c r="S51" s="249"/>
      <c r="T51" s="249"/>
    </row>
    <row r="52" spans="2:57" ht="6.6" customHeight="1" x14ac:dyDescent="0.2">
      <c r="C52" s="182"/>
      <c r="D52" s="466"/>
      <c r="E52" s="188"/>
      <c r="F52" s="188"/>
      <c r="G52" s="188"/>
      <c r="H52" s="188"/>
      <c r="I52" s="188"/>
      <c r="J52" s="188"/>
      <c r="L52" s="488"/>
      <c r="M52" s="488"/>
      <c r="N52" s="488"/>
      <c r="O52" s="488"/>
      <c r="Q52" s="249"/>
      <c r="R52" s="249"/>
      <c r="S52" s="249"/>
      <c r="T52" s="249"/>
    </row>
    <row r="53" spans="2:57" x14ac:dyDescent="0.2">
      <c r="B53" s="143"/>
      <c r="C53" s="25" t="s">
        <v>184</v>
      </c>
      <c r="D53" s="466"/>
      <c r="E53" s="188"/>
      <c r="F53" s="188"/>
      <c r="G53" s="188"/>
      <c r="H53" s="188"/>
      <c r="I53" s="188"/>
      <c r="J53" s="188"/>
      <c r="L53" s="488"/>
      <c r="M53" s="488"/>
      <c r="N53" s="488"/>
      <c r="O53" s="488"/>
      <c r="Q53" s="249"/>
      <c r="R53" s="249"/>
      <c r="S53" s="249"/>
      <c r="T53" s="249"/>
    </row>
    <row r="54" spans="2:57" x14ac:dyDescent="0.2">
      <c r="C54" s="169" t="s">
        <v>168</v>
      </c>
      <c r="D54" s="466">
        <v>0</v>
      </c>
      <c r="E54" s="466">
        <v>0</v>
      </c>
      <c r="F54" s="466">
        <v>0</v>
      </c>
      <c r="G54" s="466">
        <v>0</v>
      </c>
      <c r="H54" s="466">
        <v>0</v>
      </c>
      <c r="I54" s="466">
        <v>0</v>
      </c>
      <c r="J54" s="466">
        <v>0</v>
      </c>
      <c r="L54" s="488"/>
      <c r="M54" s="488"/>
      <c r="N54" s="488"/>
      <c r="O54" s="488"/>
      <c r="Q54" s="249"/>
      <c r="R54" s="249"/>
      <c r="S54" s="249"/>
      <c r="T54" s="249"/>
    </row>
    <row r="55" spans="2:57" x14ac:dyDescent="0.2">
      <c r="C55" s="169" t="s">
        <v>149</v>
      </c>
      <c r="D55" s="466">
        <v>0</v>
      </c>
      <c r="E55" s="466">
        <v>0</v>
      </c>
      <c r="F55" s="466">
        <v>0</v>
      </c>
      <c r="G55" s="466">
        <v>0</v>
      </c>
      <c r="H55" s="466">
        <v>0</v>
      </c>
      <c r="I55" s="466">
        <v>0</v>
      </c>
      <c r="J55" s="466">
        <v>0</v>
      </c>
      <c r="L55" s="488"/>
      <c r="M55" s="488"/>
      <c r="N55" s="488"/>
      <c r="O55" s="488"/>
      <c r="Q55" s="249"/>
      <c r="R55" s="249"/>
      <c r="S55" s="249"/>
      <c r="T55" s="249"/>
    </row>
    <row r="56" spans="2:57" x14ac:dyDescent="0.2">
      <c r="C56" s="169" t="s">
        <v>169</v>
      </c>
      <c r="D56" s="466">
        <v>0</v>
      </c>
      <c r="E56" s="466">
        <v>0</v>
      </c>
      <c r="F56" s="466">
        <v>0</v>
      </c>
      <c r="G56" s="466">
        <v>0</v>
      </c>
      <c r="H56" s="466">
        <v>0</v>
      </c>
      <c r="I56" s="466">
        <v>0</v>
      </c>
      <c r="J56" s="466">
        <v>0</v>
      </c>
      <c r="L56" s="488"/>
      <c r="M56" s="488"/>
      <c r="N56" s="488"/>
      <c r="O56" s="488"/>
      <c r="Q56" s="249"/>
      <c r="R56" s="249"/>
      <c r="S56" s="249"/>
      <c r="T56" s="249"/>
    </row>
    <row r="57" spans="2:57" x14ac:dyDescent="0.2">
      <c r="L57" s="488"/>
      <c r="M57" s="488"/>
      <c r="N57" s="488"/>
      <c r="O57" s="488"/>
    </row>
    <row r="58" spans="2:57" ht="12.75" hidden="1" customHeight="1" x14ac:dyDescent="0.2">
      <c r="L58" s="488"/>
      <c r="M58" s="488"/>
      <c r="N58" s="488"/>
      <c r="O58" s="488"/>
    </row>
    <row r="59" spans="2:57" ht="12.75" hidden="1" customHeight="1" x14ac:dyDescent="0.2">
      <c r="L59" s="488"/>
      <c r="M59" s="488"/>
      <c r="N59" s="488"/>
      <c r="O59" s="488"/>
    </row>
    <row r="60" spans="2:57" x14ac:dyDescent="0.2">
      <c r="C60" s="238" t="s">
        <v>182</v>
      </c>
      <c r="D60" s="299"/>
      <c r="E60" s="299"/>
      <c r="F60" s="299"/>
      <c r="G60" s="299"/>
      <c r="H60" s="299"/>
      <c r="I60" s="299"/>
      <c r="J60" s="299"/>
      <c r="L60" s="488"/>
      <c r="M60" s="488"/>
      <c r="N60" s="488"/>
      <c r="O60" s="488"/>
      <c r="P60" s="300"/>
      <c r="Q60" s="300"/>
      <c r="R60" s="300"/>
    </row>
    <row r="61" spans="2:57" s="73" customFormat="1" ht="10.15" customHeight="1" x14ac:dyDescent="0.2">
      <c r="C61" s="143"/>
      <c r="D61" s="161"/>
      <c r="E61" s="161"/>
      <c r="F61" s="161"/>
      <c r="G61" s="161"/>
      <c r="H61" s="161"/>
      <c r="I61" s="161"/>
      <c r="J61" s="161"/>
      <c r="L61" s="488"/>
      <c r="M61" s="488"/>
      <c r="N61" s="488"/>
      <c r="O61" s="488"/>
      <c r="AR61"/>
      <c r="AS61"/>
      <c r="AT61"/>
      <c r="AU61"/>
      <c r="AV61"/>
      <c r="AW61"/>
      <c r="AX61"/>
      <c r="AY61"/>
      <c r="AZ61"/>
      <c r="BA61"/>
      <c r="BB61"/>
      <c r="BC61"/>
      <c r="BD61"/>
      <c r="BE61"/>
    </row>
    <row r="62" spans="2:57" x14ac:dyDescent="0.2">
      <c r="C62" s="25" t="s">
        <v>166</v>
      </c>
      <c r="L62" s="488"/>
      <c r="M62" s="488"/>
      <c r="N62" s="488"/>
      <c r="O62" s="488"/>
    </row>
    <row r="63" spans="2:57" ht="12.4" customHeight="1" x14ac:dyDescent="0.2">
      <c r="B63" s="73"/>
      <c r="C63" s="285" t="s">
        <v>227</v>
      </c>
      <c r="D63" s="229">
        <v>43100</v>
      </c>
      <c r="E63" s="229">
        <v>43100</v>
      </c>
      <c r="F63" s="229">
        <v>0</v>
      </c>
      <c r="G63" s="229">
        <v>0</v>
      </c>
      <c r="H63" s="229">
        <v>0</v>
      </c>
      <c r="I63" s="229">
        <v>0</v>
      </c>
      <c r="J63" s="229">
        <v>0</v>
      </c>
      <c r="L63" s="488"/>
      <c r="M63" s="488"/>
      <c r="N63" s="488"/>
      <c r="O63" s="488"/>
    </row>
    <row r="64" spans="2:57" ht="7.15" customHeight="1" x14ac:dyDescent="0.2">
      <c r="C64" s="18"/>
      <c r="D64" s="229"/>
      <c r="E64" s="230"/>
      <c r="L64" s="488"/>
      <c r="M64" s="488"/>
      <c r="N64" s="488"/>
      <c r="O64" s="488"/>
    </row>
    <row r="65" spans="2:57" x14ac:dyDescent="0.2">
      <c r="B65" s="143"/>
      <c r="C65" s="279" t="s">
        <v>233</v>
      </c>
      <c r="D65" s="231">
        <v>5000</v>
      </c>
      <c r="E65" s="231">
        <v>5000</v>
      </c>
      <c r="F65" s="231">
        <v>400000</v>
      </c>
      <c r="G65" s="231">
        <v>500000</v>
      </c>
      <c r="H65" s="231">
        <v>800000</v>
      </c>
      <c r="I65" s="231">
        <v>800000</v>
      </c>
      <c r="J65" s="231">
        <v>1000000</v>
      </c>
      <c r="L65" s="488"/>
      <c r="M65" s="488"/>
      <c r="N65" s="488"/>
      <c r="O65" s="488"/>
    </row>
    <row r="66" spans="2:57" x14ac:dyDescent="0.2">
      <c r="B66" s="143"/>
      <c r="C66" s="4" t="s">
        <v>216</v>
      </c>
      <c r="D66" s="229">
        <v>6</v>
      </c>
      <c r="E66" s="229">
        <v>6</v>
      </c>
      <c r="F66" s="229">
        <v>3</v>
      </c>
      <c r="G66" s="229">
        <v>3</v>
      </c>
      <c r="H66" s="229">
        <v>3</v>
      </c>
      <c r="I66" s="229">
        <v>3</v>
      </c>
      <c r="J66" s="229">
        <v>3</v>
      </c>
    </row>
    <row r="67" spans="2:57" ht="25.5" x14ac:dyDescent="0.2">
      <c r="C67" s="277" t="s">
        <v>217</v>
      </c>
      <c r="D67" s="244">
        <v>0</v>
      </c>
      <c r="E67" s="244">
        <v>0</v>
      </c>
      <c r="F67" s="244">
        <v>0</v>
      </c>
      <c r="G67" s="244">
        <v>0</v>
      </c>
      <c r="H67" s="244">
        <v>0</v>
      </c>
      <c r="I67" s="244">
        <v>0</v>
      </c>
      <c r="J67" s="244">
        <v>0</v>
      </c>
    </row>
    <row r="68" spans="2:57" x14ac:dyDescent="0.2">
      <c r="C68" s="277"/>
      <c r="D68" s="229"/>
      <c r="E68" s="229"/>
      <c r="F68" s="229"/>
      <c r="G68" s="229"/>
      <c r="H68" s="229"/>
      <c r="I68" s="229"/>
      <c r="J68" s="229"/>
      <c r="S68" s="348"/>
      <c r="T68" s="348"/>
    </row>
    <row r="69" spans="2:57" ht="25.5" x14ac:dyDescent="0.2">
      <c r="B69" s="143"/>
      <c r="C69" s="277" t="s">
        <v>221</v>
      </c>
      <c r="D69" s="465">
        <v>0</v>
      </c>
      <c r="S69" s="3"/>
      <c r="T69" s="348"/>
    </row>
    <row r="70" spans="2:57" x14ac:dyDescent="0.2">
      <c r="I70" s="214"/>
      <c r="J70" s="214"/>
      <c r="K70" s="214"/>
      <c r="L70" s="214"/>
      <c r="M70" s="214"/>
      <c r="N70" s="214"/>
      <c r="O70" s="214"/>
      <c r="P70" s="73"/>
      <c r="Q70" s="73"/>
      <c r="R70" s="73"/>
      <c r="S70" s="218"/>
      <c r="T70" s="218"/>
    </row>
    <row r="71" spans="2:57" ht="33" customHeight="1" x14ac:dyDescent="0.2">
      <c r="C71" s="25" t="s">
        <v>222</v>
      </c>
      <c r="D71" s="467">
        <v>0</v>
      </c>
      <c r="J71" s="214"/>
      <c r="K71" s="214"/>
      <c r="L71" s="488"/>
      <c r="M71" s="488"/>
      <c r="N71" s="488"/>
      <c r="O71" s="488"/>
      <c r="P71" s="73"/>
      <c r="Q71" s="73"/>
      <c r="R71" s="73"/>
      <c r="S71" s="218"/>
      <c r="T71" s="218"/>
    </row>
    <row r="72" spans="2:57" x14ac:dyDescent="0.2">
      <c r="C72" s="143"/>
      <c r="D72" s="214"/>
      <c r="E72" s="214"/>
      <c r="F72" s="214"/>
      <c r="G72" s="214"/>
      <c r="H72" s="214"/>
      <c r="I72" s="214"/>
      <c r="J72" s="214"/>
      <c r="K72" s="73"/>
      <c r="L72" s="73"/>
      <c r="M72" s="73"/>
      <c r="N72" s="218"/>
      <c r="O72" s="218"/>
      <c r="P72" s="218"/>
      <c r="Q72" s="166"/>
      <c r="R72" s="166"/>
      <c r="S72" s="31"/>
    </row>
    <row r="73" spans="2:57" x14ac:dyDescent="0.2">
      <c r="C73" s="545" t="s">
        <v>251</v>
      </c>
      <c r="D73" s="545"/>
      <c r="E73" s="545"/>
      <c r="F73" s="545"/>
      <c r="G73" s="545"/>
      <c r="H73" s="545"/>
      <c r="I73" s="545"/>
      <c r="J73" s="545"/>
      <c r="K73" s="545"/>
      <c r="L73" s="545"/>
      <c r="M73" s="545"/>
      <c r="N73" s="545"/>
      <c r="O73" s="545"/>
      <c r="P73" s="545"/>
      <c r="Q73" s="545"/>
      <c r="R73" s="545"/>
      <c r="S73" s="31"/>
      <c r="T73" s="73"/>
      <c r="U73" s="73"/>
      <c r="V73" s="73"/>
    </row>
    <row r="74" spans="2:57" s="73" customFormat="1" ht="15.6" customHeight="1" x14ac:dyDescent="0.2">
      <c r="C74" s="193"/>
      <c r="D74" s="193"/>
      <c r="E74" s="193"/>
      <c r="F74" s="193"/>
      <c r="N74" s="168"/>
      <c r="O74" s="168"/>
      <c r="P74" s="168"/>
      <c r="Q74" s="168"/>
      <c r="R74" s="168"/>
      <c r="S74" s="168"/>
      <c r="AR74"/>
      <c r="AS74"/>
      <c r="AT74"/>
      <c r="AU74"/>
      <c r="AV74"/>
      <c r="AW74"/>
      <c r="AX74"/>
      <c r="AY74"/>
      <c r="AZ74"/>
      <c r="BA74"/>
      <c r="BB74"/>
      <c r="BC74"/>
      <c r="BD74"/>
      <c r="BE74"/>
    </row>
    <row r="75" spans="2:57" ht="40.15" customHeight="1" x14ac:dyDescent="0.2">
      <c r="D75" s="210" t="s">
        <v>109</v>
      </c>
      <c r="F75" s="88" t="s">
        <v>52</v>
      </c>
      <c r="G75" s="158" t="s">
        <v>231</v>
      </c>
      <c r="H75" s="226"/>
      <c r="N75" s="31"/>
      <c r="O75" s="31"/>
      <c r="P75" s="31"/>
      <c r="Q75" s="31"/>
      <c r="R75" s="31"/>
      <c r="S75" s="31"/>
      <c r="T75" s="168"/>
      <c r="U75" s="168"/>
      <c r="V75" s="168"/>
    </row>
    <row r="76" spans="2:57" x14ac:dyDescent="0.2">
      <c r="C76" t="str">
        <f>IF(Supuestos!B48="","",Supuestos!B48)</f>
        <v>Datos</v>
      </c>
      <c r="D76" s="481">
        <v>0</v>
      </c>
      <c r="F76" s="314" t="b">
        <f>G76=C76</f>
        <v>1</v>
      </c>
      <c r="G76" s="314" t="str">
        <f>IF(Supuestos!B48="","",Supuestos!B48)</f>
        <v>Datos</v>
      </c>
      <c r="I76" s="304" t="s">
        <v>146</v>
      </c>
      <c r="N76" s="31"/>
      <c r="O76" s="31"/>
      <c r="S76" s="31"/>
      <c r="T76" s="73"/>
      <c r="V76" s="73"/>
    </row>
    <row r="77" spans="2:57" s="26" customFormat="1" ht="38.65" customHeight="1" x14ac:dyDescent="0.2">
      <c r="C77" t="str">
        <f>IF(Supuestos!B49="","",Supuestos!B49)</f>
        <v>Originación voz on-net local</v>
      </c>
      <c r="D77" s="481">
        <v>0</v>
      </c>
      <c r="F77" s="314" t="b">
        <f t="shared" ref="F77:F94" si="0">G77=C77</f>
        <v>1</v>
      </c>
      <c r="G77" s="314" t="str">
        <f>IF(Supuestos!B49="","",Supuestos!B49)</f>
        <v>Originación voz on-net local</v>
      </c>
      <c r="I77" s="305" t="s">
        <v>145</v>
      </c>
      <c r="N77" s="212"/>
      <c r="O77" s="212"/>
      <c r="S77" s="212"/>
      <c r="T77" s="184"/>
      <c r="V77" s="184"/>
      <c r="AR77"/>
      <c r="AS77"/>
      <c r="AT77"/>
      <c r="AU77"/>
      <c r="AV77"/>
      <c r="AW77"/>
      <c r="AX77"/>
      <c r="AY77"/>
      <c r="AZ77"/>
      <c r="BA77"/>
      <c r="BB77"/>
      <c r="BC77"/>
      <c r="BD77"/>
      <c r="BE77"/>
    </row>
    <row r="78" spans="2:57" s="26" customFormat="1" ht="38.65" customHeight="1" x14ac:dyDescent="0.2">
      <c r="C78" t="str">
        <f>IF(Supuestos!B50="","",Supuestos!B50)</f>
        <v>Originación voz off-net móvil local</v>
      </c>
      <c r="D78" s="481">
        <v>6.8362999999999993E-2</v>
      </c>
      <c r="F78" s="314" t="b">
        <f t="shared" si="0"/>
        <v>1</v>
      </c>
      <c r="G78" s="314" t="str">
        <f>IF(Supuestos!B50="","",Supuestos!B50)</f>
        <v>Originación voz off-net móvil local</v>
      </c>
      <c r="N78" s="212"/>
      <c r="O78" s="212"/>
      <c r="S78" s="212"/>
      <c r="T78" s="184"/>
      <c r="U78" s="184"/>
      <c r="V78" s="184"/>
      <c r="AR78"/>
      <c r="AS78"/>
      <c r="AT78"/>
      <c r="AU78"/>
      <c r="AV78"/>
      <c r="AW78"/>
      <c r="AX78"/>
      <c r="AY78"/>
      <c r="AZ78"/>
      <c r="BA78"/>
      <c r="BB78"/>
      <c r="BC78"/>
      <c r="BD78"/>
      <c r="BE78"/>
    </row>
    <row r="79" spans="2:57" s="26" customFormat="1" ht="38.65" customHeight="1" x14ac:dyDescent="0.2">
      <c r="C79" t="str">
        <f>IF(Supuestos!B51="","",Supuestos!B51)</f>
        <v>Originación voz off-net fijo local</v>
      </c>
      <c r="D79" s="481">
        <v>3.5200000000000001E-3</v>
      </c>
      <c r="F79" s="314" t="b">
        <f t="shared" si="0"/>
        <v>1</v>
      </c>
      <c r="G79" s="314" t="str">
        <f>IF(Supuestos!B51="","",Supuestos!B51)</f>
        <v>Originación voz off-net fijo local</v>
      </c>
      <c r="J79" s="224"/>
      <c r="N79" s="212"/>
      <c r="O79" s="212"/>
      <c r="S79" s="212"/>
      <c r="T79" s="306"/>
      <c r="U79" s="184"/>
      <c r="V79" s="184"/>
      <c r="AR79"/>
      <c r="AS79"/>
      <c r="AT79"/>
      <c r="AU79"/>
      <c r="AV79"/>
      <c r="AW79"/>
      <c r="AX79"/>
      <c r="AY79"/>
      <c r="AZ79"/>
      <c r="BA79"/>
      <c r="BB79"/>
      <c r="BC79"/>
      <c r="BD79"/>
      <c r="BE79"/>
    </row>
    <row r="80" spans="2:57" s="26" customFormat="1" ht="38.65" customHeight="1" x14ac:dyDescent="0.2">
      <c r="C80" t="str">
        <f>IF(Supuestos!B52="","",Supuestos!B52)</f>
        <v>Originación voz on-net LDN</v>
      </c>
      <c r="D80" s="481">
        <v>0</v>
      </c>
      <c r="F80" s="314" t="b">
        <f t="shared" si="0"/>
        <v>1</v>
      </c>
      <c r="G80" s="314" t="str">
        <f>IF(Supuestos!B52="","",Supuestos!B52)</f>
        <v>Originación voz on-net LDN</v>
      </c>
      <c r="J80" s="224"/>
      <c r="N80" s="212"/>
      <c r="O80" s="212"/>
      <c r="S80" s="212"/>
      <c r="T80" s="212"/>
      <c r="AR80"/>
      <c r="AS80"/>
      <c r="AT80"/>
      <c r="AU80"/>
      <c r="AV80"/>
      <c r="AW80"/>
      <c r="AX80"/>
      <c r="AY80"/>
      <c r="AZ80"/>
      <c r="BA80"/>
      <c r="BB80"/>
      <c r="BC80"/>
      <c r="BD80"/>
      <c r="BE80"/>
    </row>
    <row r="81" spans="3:57" s="26" customFormat="1" ht="38.65" customHeight="1" x14ac:dyDescent="0.2">
      <c r="C81" t="str">
        <f>IF(Supuestos!B53="","",Supuestos!B53)</f>
        <v>Originación voz off-net móvil LDN</v>
      </c>
      <c r="D81" s="481">
        <v>6.8362999999999993E-2</v>
      </c>
      <c r="F81" s="314" t="b">
        <f t="shared" si="0"/>
        <v>1</v>
      </c>
      <c r="G81" s="314" t="str">
        <f>IF(Supuestos!B53="","",Supuestos!B53)</f>
        <v>Originación voz off-net móvil LDN</v>
      </c>
      <c r="J81" s="224"/>
      <c r="T81" s="212"/>
      <c r="AR81"/>
      <c r="AS81"/>
      <c r="AT81"/>
      <c r="AU81"/>
      <c r="AV81"/>
      <c r="AW81"/>
      <c r="AX81"/>
      <c r="AY81"/>
      <c r="AZ81"/>
      <c r="BA81"/>
      <c r="BB81"/>
      <c r="BC81"/>
      <c r="BD81"/>
      <c r="BE81"/>
    </row>
    <row r="82" spans="3:57" s="26" customFormat="1" ht="38.65" customHeight="1" x14ac:dyDescent="0.2">
      <c r="C82" t="str">
        <f>IF(Supuestos!B54="","",Supuestos!B54)</f>
        <v>Originación voz off-net fijo LDN</v>
      </c>
      <c r="D82" s="481">
        <v>3.5200000000000001E-3</v>
      </c>
      <c r="F82" s="314" t="b">
        <f t="shared" si="0"/>
        <v>1</v>
      </c>
      <c r="G82" s="314" t="str">
        <f>IF(Supuestos!B54="","",Supuestos!B54)</f>
        <v>Originación voz off-net fijo LDN</v>
      </c>
      <c r="J82" s="224"/>
      <c r="S82" s="212"/>
      <c r="T82" s="212"/>
      <c r="AR82"/>
      <c r="AS82"/>
      <c r="AT82"/>
      <c r="AU82"/>
      <c r="AV82"/>
      <c r="AW82"/>
      <c r="AX82"/>
      <c r="AY82"/>
      <c r="AZ82"/>
      <c r="BA82"/>
      <c r="BB82"/>
      <c r="BC82"/>
      <c r="BD82"/>
      <c r="BE82"/>
    </row>
    <row r="83" spans="3:57" s="26" customFormat="1" ht="38.65" customHeight="1" x14ac:dyDescent="0.2">
      <c r="C83" t="str">
        <f>IF(Supuestos!B55="","",Supuestos!B55)</f>
        <v>Originación voz internacional USA-Canadá</v>
      </c>
      <c r="D83" s="481">
        <v>0.09</v>
      </c>
      <c r="F83" s="314" t="b">
        <f t="shared" si="0"/>
        <v>1</v>
      </c>
      <c r="G83" s="314" t="str">
        <f>IF(Supuestos!B55="","",Supuestos!B55)</f>
        <v>Originación voz internacional USA-Canadá</v>
      </c>
      <c r="J83" s="224"/>
      <c r="S83" s="212"/>
      <c r="T83" s="212"/>
      <c r="AR83"/>
      <c r="AS83"/>
      <c r="AT83"/>
      <c r="AU83"/>
      <c r="AV83"/>
      <c r="AW83"/>
      <c r="AX83"/>
      <c r="AY83"/>
      <c r="AZ83"/>
      <c r="BA83"/>
      <c r="BB83"/>
      <c r="BC83"/>
      <c r="BD83"/>
      <c r="BE83"/>
    </row>
    <row r="84" spans="3:57" s="26" customFormat="1" ht="38.65" customHeight="1" x14ac:dyDescent="0.2">
      <c r="C84" t="str">
        <f>IF(Supuestos!B56="","",Supuestos!B56)</f>
        <v>Originación voz internacional Mundial Centroamérica</v>
      </c>
      <c r="D84" s="481">
        <v>2.5</v>
      </c>
      <c r="F84" s="314" t="b">
        <f t="shared" si="0"/>
        <v>1</v>
      </c>
      <c r="G84" s="314" t="str">
        <f>IF(Supuestos!B56="","",Supuestos!B56)</f>
        <v>Originación voz internacional Mundial Centroamérica</v>
      </c>
      <c r="J84" s="224"/>
      <c r="S84" s="212"/>
      <c r="T84" s="212"/>
      <c r="AR84"/>
      <c r="AS84"/>
      <c r="AT84"/>
      <c r="AU84"/>
      <c r="AV84"/>
      <c r="AW84"/>
      <c r="AX84"/>
      <c r="AY84"/>
      <c r="AZ84"/>
      <c r="BA84"/>
      <c r="BB84"/>
      <c r="BC84"/>
      <c r="BD84"/>
      <c r="BE84"/>
    </row>
    <row r="85" spans="3:57" s="26" customFormat="1" ht="38.65" customHeight="1" x14ac:dyDescent="0.2">
      <c r="C85" t="str">
        <f>IF(Supuestos!B57="","",Supuestos!B57)</f>
        <v>Originación voz internacional Mundial LATAM y Caribe</v>
      </c>
      <c r="D85" s="481">
        <v>5</v>
      </c>
      <c r="F85" s="314" t="b">
        <f t="shared" si="0"/>
        <v>1</v>
      </c>
      <c r="G85" s="314" t="str">
        <f>IF(Supuestos!B57="","",Supuestos!B57)</f>
        <v>Originación voz internacional Mundial LATAM y Caribe</v>
      </c>
      <c r="J85" s="224"/>
      <c r="S85" s="212"/>
      <c r="T85" s="212"/>
    </row>
    <row r="86" spans="3:57" s="26" customFormat="1" ht="38.65" customHeight="1" x14ac:dyDescent="0.2">
      <c r="C86" t="str">
        <f>IF(Supuestos!B58="","",Supuestos!B58)</f>
        <v>Originación voz internacional Europa</v>
      </c>
      <c r="D86" s="481">
        <v>5</v>
      </c>
      <c r="F86" s="314" t="b">
        <f t="shared" si="0"/>
        <v>1</v>
      </c>
      <c r="G86" s="314" t="str">
        <f>IF(Supuestos!B58="","",Supuestos!B58)</f>
        <v>Originación voz internacional Europa</v>
      </c>
      <c r="J86" s="224"/>
      <c r="S86" s="212"/>
      <c r="T86" s="212"/>
    </row>
    <row r="87" spans="3:57" s="26" customFormat="1" ht="38.65" customHeight="1" x14ac:dyDescent="0.2">
      <c r="C87" t="str">
        <f>IF(Supuestos!B59="","",Supuestos!B59)</f>
        <v>Originación voz internacional Mundial Otros geográficos</v>
      </c>
      <c r="D87" s="481">
        <v>5</v>
      </c>
      <c r="F87" s="314" t="b">
        <f t="shared" si="0"/>
        <v>1</v>
      </c>
      <c r="G87" s="314" t="str">
        <f>IF(Supuestos!B59="","",Supuestos!B59)</f>
        <v>Originación voz internacional Mundial Otros geográficos</v>
      </c>
      <c r="J87" s="224"/>
      <c r="N87" s="212"/>
      <c r="O87" s="212"/>
      <c r="P87" s="212"/>
      <c r="Q87" s="212"/>
      <c r="R87" s="212"/>
      <c r="S87" s="212"/>
    </row>
    <row r="88" spans="3:57" s="26" customFormat="1" ht="38.65" customHeight="1" x14ac:dyDescent="0.2">
      <c r="C88" t="str">
        <f>IF(Supuestos!B60="","",Supuestos!B60)</f>
        <v>Originación voz internacional Cuba</v>
      </c>
      <c r="D88" s="481">
        <v>15</v>
      </c>
      <c r="F88" s="314" t="b">
        <f t="shared" si="0"/>
        <v>1</v>
      </c>
      <c r="G88" s="314" t="str">
        <f>IF(Supuestos!B60="","",Supuestos!B60)</f>
        <v>Originación voz internacional Cuba</v>
      </c>
      <c r="J88" s="224"/>
      <c r="N88" s="212"/>
      <c r="O88" s="212"/>
      <c r="P88" s="212"/>
      <c r="Q88" s="212"/>
      <c r="R88" s="212"/>
      <c r="S88" s="212"/>
    </row>
    <row r="89" spans="3:57" s="26" customFormat="1" ht="38.65" customHeight="1" x14ac:dyDescent="0.2">
      <c r="C89" t="str">
        <f>IF(Supuestos!B61="","",Supuestos!B61)</f>
        <v>Originación voz Mundial destinos no geográficos</v>
      </c>
      <c r="D89" s="481">
        <v>75</v>
      </c>
      <c r="F89" s="314" t="b">
        <f t="shared" si="0"/>
        <v>1</v>
      </c>
      <c r="G89" s="314" t="str">
        <f>IF(Supuestos!B61="","",Supuestos!B61)</f>
        <v>Originación voz Mundial destinos no geográficos</v>
      </c>
      <c r="J89" s="224"/>
      <c r="N89" s="212"/>
      <c r="O89" s="212"/>
      <c r="P89" s="212"/>
      <c r="Q89" s="212"/>
      <c r="R89" s="212"/>
      <c r="S89" s="212"/>
    </row>
    <row r="90" spans="3:57" s="26" customFormat="1" ht="38.65" customHeight="1" x14ac:dyDescent="0.2">
      <c r="C90" t="str">
        <f>IF(Supuestos!B62="","",Supuestos!B66)</f>
        <v>Otros servicios (incluyendo marcaciones especiales)</v>
      </c>
      <c r="D90" s="481">
        <v>0.98</v>
      </c>
      <c r="F90" s="314" t="b">
        <f t="shared" si="0"/>
        <v>1</v>
      </c>
      <c r="G90" s="314" t="str">
        <f>IF(Supuestos!B66="","",Supuestos!B66)</f>
        <v>Otros servicios (incluyendo marcaciones especiales)</v>
      </c>
      <c r="I90" s="535" t="s">
        <v>223</v>
      </c>
      <c r="J90" s="536"/>
      <c r="K90" s="536"/>
      <c r="L90" s="536"/>
      <c r="M90" s="536"/>
      <c r="N90" s="536"/>
      <c r="O90" s="537"/>
    </row>
    <row r="91" spans="3:57" s="26" customFormat="1" ht="38.65" customHeight="1" x14ac:dyDescent="0.2">
      <c r="C91" t="str">
        <f>IF(Supuestos!B63="","",Supuestos!B62)</f>
        <v>Originación SMS on-net</v>
      </c>
      <c r="D91" s="481">
        <v>0</v>
      </c>
      <c r="F91" s="314" t="b">
        <f t="shared" si="0"/>
        <v>1</v>
      </c>
      <c r="G91" s="314" t="str">
        <f>IF(Supuestos!B62="","",Supuestos!B62)</f>
        <v>Originación SMS on-net</v>
      </c>
      <c r="J91" s="224"/>
      <c r="N91" s="212"/>
      <c r="O91" s="212"/>
      <c r="P91" s="212"/>
      <c r="Q91" s="212"/>
      <c r="R91" s="212"/>
      <c r="S91" s="212"/>
    </row>
    <row r="92" spans="3:57" s="26" customFormat="1" ht="38.65" customHeight="1" x14ac:dyDescent="0.2">
      <c r="C92" t="str">
        <f>IF(Supuestos!B64="","",Supuestos!B63)</f>
        <v>Originación SMS - off-net nacional</v>
      </c>
      <c r="D92" s="481">
        <v>1.6256E-2</v>
      </c>
      <c r="F92" s="314" t="b">
        <f t="shared" si="0"/>
        <v>1</v>
      </c>
      <c r="G92" s="314" t="str">
        <f>IF(Supuestos!B63="","",Supuestos!B63)</f>
        <v>Originación SMS - off-net nacional</v>
      </c>
      <c r="J92" s="224"/>
      <c r="N92" s="212"/>
      <c r="O92" s="212"/>
      <c r="P92" s="212"/>
      <c r="Q92" s="212"/>
      <c r="R92" s="212"/>
      <c r="S92" s="212"/>
    </row>
    <row r="93" spans="3:57" s="26" customFormat="1" ht="38.65" customHeight="1" x14ac:dyDescent="0.2">
      <c r="C93" t="str">
        <f>IF(Supuestos!B65="","",Supuestos!B64)</f>
        <v>Originación SMS internacional (USA-Canadá)</v>
      </c>
      <c r="D93" s="481">
        <v>0.5</v>
      </c>
      <c r="F93" s="314" t="b">
        <f t="shared" si="0"/>
        <v>1</v>
      </c>
      <c r="G93" s="314" t="str">
        <f>IF(Supuestos!B64="","",Supuestos!B64)</f>
        <v>Originación SMS internacional (USA-Canadá)</v>
      </c>
      <c r="J93" s="224"/>
      <c r="N93" s="212"/>
      <c r="O93" s="212"/>
    </row>
    <row r="94" spans="3:57" s="26" customFormat="1" ht="38.65" customHeight="1" x14ac:dyDescent="0.2">
      <c r="C94" t="str">
        <f>IF(Supuestos!B66="","",Supuestos!B65)</f>
        <v>Originación SMS internacional (Resto del Mundo)</v>
      </c>
      <c r="D94" s="481">
        <v>0.75</v>
      </c>
      <c r="F94" s="314" t="b">
        <f t="shared" si="0"/>
        <v>1</v>
      </c>
      <c r="G94" s="314" t="str">
        <f>IF(Supuestos!B65="","",Supuestos!B65)</f>
        <v>Originación SMS internacional (Resto del Mundo)</v>
      </c>
      <c r="J94" s="225"/>
    </row>
    <row r="95" spans="3:57" x14ac:dyDescent="0.2">
      <c r="C95" s="227"/>
      <c r="E95" s="31"/>
      <c r="H95" s="224"/>
    </row>
    <row r="96" spans="3:57" x14ac:dyDescent="0.2">
      <c r="E96" s="31"/>
    </row>
    <row r="97" spans="2:18" s="148" customFormat="1" ht="15.6" customHeight="1" x14ac:dyDescent="0.2">
      <c r="B97" s="148" t="s">
        <v>111</v>
      </c>
      <c r="C97" s="544" t="s">
        <v>177</v>
      </c>
      <c r="D97" s="544"/>
      <c r="E97" s="544"/>
      <c r="F97" s="544"/>
      <c r="G97" s="544"/>
      <c r="H97" s="544"/>
      <c r="I97" s="544"/>
      <c r="J97" s="544"/>
      <c r="K97" s="544"/>
      <c r="L97" s="544"/>
      <c r="M97" s="544"/>
      <c r="N97" s="544"/>
      <c r="O97" s="544"/>
      <c r="P97" s="544"/>
      <c r="Q97" s="544"/>
      <c r="R97" s="544"/>
    </row>
    <row r="99" spans="2:18" x14ac:dyDescent="0.2">
      <c r="C99" s="47" t="s">
        <v>28</v>
      </c>
      <c r="D99" s="160" t="s">
        <v>110</v>
      </c>
      <c r="E99" s="160"/>
    </row>
    <row r="100" spans="2:18" ht="51" customHeight="1" x14ac:dyDescent="0.2">
      <c r="C100" s="26" t="s">
        <v>112</v>
      </c>
      <c r="D100" s="482">
        <v>2.1940000000000002E-3</v>
      </c>
      <c r="I100" s="538" t="s">
        <v>179</v>
      </c>
      <c r="J100" s="539"/>
      <c r="K100" s="539"/>
      <c r="L100" s="539"/>
      <c r="M100" s="539"/>
      <c r="N100" s="539"/>
      <c r="O100" s="540"/>
    </row>
    <row r="101" spans="2:18" ht="64.900000000000006" customHeight="1" x14ac:dyDescent="0.2">
      <c r="C101" s="18" t="s">
        <v>108</v>
      </c>
      <c r="D101" s="95">
        <v>5000000</v>
      </c>
      <c r="I101" s="541" t="s">
        <v>253</v>
      </c>
      <c r="J101" s="542"/>
      <c r="K101" s="542"/>
      <c r="L101" s="542"/>
      <c r="M101" s="542"/>
      <c r="N101" s="542"/>
      <c r="O101" s="543"/>
    </row>
    <row r="103" spans="2:18" ht="84" customHeight="1" x14ac:dyDescent="0.2"/>
  </sheetData>
  <mergeCells count="15">
    <mergeCell ref="C7:F7"/>
    <mergeCell ref="C6:F6"/>
    <mergeCell ref="C18:R18"/>
    <mergeCell ref="L21:O24"/>
    <mergeCell ref="L26:O26"/>
    <mergeCell ref="F14:I14"/>
    <mergeCell ref="L29:O65"/>
    <mergeCell ref="I90:O90"/>
    <mergeCell ref="I100:O100"/>
    <mergeCell ref="I101:O101"/>
    <mergeCell ref="C97:R97"/>
    <mergeCell ref="C73:R73"/>
    <mergeCell ref="Q38:Q39"/>
    <mergeCell ref="Q42:Q43"/>
    <mergeCell ref="L71:O71"/>
  </mergeCells>
  <conditionalFormatting sqref="F76:F94">
    <cfRule type="cellIs" dxfId="18" priority="3" operator="equal">
      <formula>TRUE</formula>
    </cfRule>
  </conditionalFormatting>
  <dataValidations count="3">
    <dataValidation showInputMessage="1" showErrorMessage="1" sqref="D31" xr:uid="{8B64DAEA-5986-45DA-A31C-8994633DAB70}"/>
    <dataValidation type="custom" allowBlank="1" showInputMessage="1" showErrorMessage="1" sqref="D32" xr:uid="{1D699ECA-9E49-47A7-BAE5-2CA1C88C8674}">
      <formula1>#REF!="Facturación"&amp;" total"</formula1>
    </dataValidation>
    <dataValidation type="custom" allowBlank="1" showInputMessage="1" showErrorMessage="1" sqref="E31:J32" xr:uid="{D1A74385-D160-4D55-BCA4-3E21A0D78C6D}">
      <formula1>#REF!="Facturación"&amp;" total"</formula1>
    </dataValidation>
  </dataValidations>
  <hyperlinks>
    <hyperlink ref="C3" location="'Resultados &gt;&gt;'!A1" display="Ir a Resultados &gt;&gt;" xr:uid="{F6564960-E4A2-4EFC-8B07-D992B1AEA6DC}"/>
    <hyperlink ref="I77" r:id="rId1" xr:uid="{AAD75105-4393-4AAA-A7DC-7DF37AF5864E}"/>
  </hyperlinks>
  <pageMargins left="0.7" right="0.7" top="0.75" bottom="0.75" header="0.3" footer="0.3"/>
  <pageSetup paperSize="9" orientation="portrait" r:id="rId2"/>
  <extLst>
    <ext xmlns:x14="http://schemas.microsoft.com/office/spreadsheetml/2009/9/main" uri="{78C0D931-6437-407d-A8EE-F0AAD7539E65}">
      <x14:conditionalFormattings>
        <x14:conditionalFormatting xmlns:xm="http://schemas.microsoft.com/office/excel/2006/main">
          <x14:cfRule type="expression" priority="127" id="{3A41E047-2F1D-4133-AF4E-3FC70C2CB8A9}">
            <xm:f>$D$14='Hoja Auxiliar'!$B$32</xm:f>
            <x14:dxf>
              <font>
                <color rgb="FF0000FF"/>
              </font>
              <fill>
                <patternFill>
                  <bgColor theme="5" tint="0.79998168889431442"/>
                </patternFill>
              </fill>
            </x14:dxf>
          </x14:cfRule>
          <xm:sqref>D31:J32</xm:sqref>
        </x14:conditionalFormatting>
        <x14:conditionalFormatting xmlns:xm="http://schemas.microsoft.com/office/excel/2006/main">
          <x14:cfRule type="expression" priority="128" id="{3FCEBA95-593C-4363-BD30-8BED139BFB6C}">
            <xm:f>$D$14='Hoja Auxiliar'!$B$35</xm:f>
            <x14:dxf>
              <font>
                <color rgb="FF0000FF"/>
              </font>
              <fill>
                <patternFill>
                  <bgColor theme="5" tint="0.79998168889431442"/>
                </patternFill>
              </fill>
            </x14:dxf>
          </x14:cfRule>
          <x14:cfRule type="expression" priority="129" id="{4CEFACD4-DE37-4EB5-97E7-0E6648FB42E8}">
            <xm:f>$D$14='Hoja Auxiliar'!$B$32</xm:f>
            <x14:dxf>
              <font>
                <color rgb="FF0000FF"/>
              </font>
              <fill>
                <patternFill>
                  <bgColor theme="5" tint="0.79998168889431442"/>
                </patternFill>
              </fill>
            </x14:dxf>
          </x14:cfRule>
          <xm:sqref>D47:J49</xm:sqref>
        </x14:conditionalFormatting>
        <x14:conditionalFormatting xmlns:xm="http://schemas.microsoft.com/office/excel/2006/main">
          <x14:cfRule type="expression" priority="130" id="{A83839B6-33A7-4B4D-AB6A-DB9E1312AC41}">
            <xm:f>$D$14='Hoja Auxiliar'!$B$33</xm:f>
            <x14:dxf>
              <font>
                <color rgb="FF0000FF"/>
              </font>
              <fill>
                <patternFill>
                  <bgColor theme="5" tint="0.79998168889431442"/>
                </patternFill>
              </fill>
            </x14:dxf>
          </x14:cfRule>
          <xm:sqref>D63:J63 D34:J35 D54:J56 D51:J51</xm:sqref>
        </x14:conditionalFormatting>
        <x14:conditionalFormatting xmlns:xm="http://schemas.microsoft.com/office/excel/2006/main">
          <x14:cfRule type="expression" priority="134" id="{63A77D6C-7BA4-4AF4-9CC4-021A1355138F}">
            <xm:f>$D$14='Hoja Auxiliar'!$B$34</xm:f>
            <x14:dxf>
              <font>
                <color rgb="FF0000FF"/>
              </font>
              <fill>
                <patternFill>
                  <bgColor theme="5" tint="0.79998168889431442"/>
                </patternFill>
              </fill>
            </x14:dxf>
          </x14:cfRule>
          <xm:sqref>D71 D65</xm:sqref>
        </x14:conditionalFormatting>
        <x14:conditionalFormatting xmlns:xm="http://schemas.microsoft.com/office/excel/2006/main">
          <x14:cfRule type="expression" priority="136" id="{132AC0F4-40B5-4F6F-ACED-FE9F5D40DCBD}">
            <xm:f>$D$14='Hoja Auxiliar'!$B$35</xm:f>
            <x14:dxf>
              <font>
                <color rgb="FF0000FF"/>
              </font>
              <fill>
                <patternFill>
                  <bgColor theme="5" tint="0.79998168889431442"/>
                </patternFill>
              </fill>
            </x14:dxf>
          </x14:cfRule>
          <xm:sqref>D42:J43 D63:J63 D69</xm:sqref>
        </x14:conditionalFormatting>
        <x14:conditionalFormatting xmlns:xm="http://schemas.microsoft.com/office/excel/2006/main">
          <x14:cfRule type="expression" priority="140" id="{7E2B9426-A665-4861-BB14-D9870232ADA6}">
            <xm:f>$D$14='Hoja Auxiliar'!$B$33</xm:f>
            <x14:dxf>
              <font>
                <color rgb="FF0000FF"/>
              </font>
              <fill>
                <patternFill>
                  <bgColor theme="5" tint="0.79998168889431442"/>
                </patternFill>
              </fill>
            </x14:dxf>
          </x14:cfRule>
          <x14:cfRule type="expression" priority="141" id="{BDFFBBCF-22C0-409B-AAD5-DA72FAD3A118}">
            <xm:f>$D$14='Hoja Auxiliar'!$B$35</xm:f>
            <x14:dxf>
              <font>
                <color rgb="FF0000FF"/>
              </font>
              <fill>
                <patternFill>
                  <bgColor theme="5" tint="0.79998168889431442"/>
                </patternFill>
              </fill>
            </x14:dxf>
          </x14:cfRule>
          <xm:sqref>D66:J66</xm:sqref>
        </x14:conditionalFormatting>
        <x14:conditionalFormatting xmlns:xm="http://schemas.microsoft.com/office/excel/2006/main">
          <x14:cfRule type="expression" priority="142" id="{0D299F70-0211-4AA9-AE32-F4787D41C20D}">
            <xm:f>$D$14='Hoja Auxiliar'!$B$35</xm:f>
            <x14:dxf>
              <font>
                <color theme="0"/>
              </font>
              <fill>
                <patternFill>
                  <bgColor theme="6"/>
                </patternFill>
              </fill>
            </x14:dxf>
          </x14:cfRule>
          <xm:sqref>D18:J18 D29:J29 Q38 Q42</xm:sqref>
        </x14:conditionalFormatting>
        <x14:conditionalFormatting xmlns:xm="http://schemas.microsoft.com/office/excel/2006/main">
          <x14:cfRule type="expression" priority="146" id="{822F19BE-2C65-4F35-94CB-153068C4CBF7}">
            <xm:f>$D$14='Hoja Auxiliar'!$B$35</xm:f>
            <x14:dxf>
              <font>
                <color rgb="FF0000FF"/>
              </font>
              <fill>
                <patternFill>
                  <bgColor theme="5" tint="0.79998168889431442"/>
                </patternFill>
              </fill>
            </x14:dxf>
          </x14:cfRule>
          <x14:cfRule type="expression" priority="147" id="{3B1D1004-3CA2-488E-B9C4-70485F71CA16}">
            <xm:f>$D$14='Hoja Auxiliar'!$B$33</xm:f>
            <x14:dxf>
              <font>
                <color rgb="FF0000FF"/>
              </font>
              <fill>
                <patternFill>
                  <bgColor theme="5" tint="0.79998168889431442"/>
                </patternFill>
              </fill>
            </x14:dxf>
          </x14:cfRule>
          <xm:sqref>D65:J65</xm:sqref>
        </x14:conditionalFormatting>
        <x14:conditionalFormatting xmlns:xm="http://schemas.microsoft.com/office/excel/2006/main">
          <x14:cfRule type="expression" priority="148" id="{B646FCD0-3010-4829-BFE7-2177C97EB8E6}">
            <xm:f>$D$14='Hoja Auxiliar'!B$34</xm:f>
            <x14:dxf>
              <fill>
                <patternFill>
                  <bgColor theme="5" tint="0.79998168889431442"/>
                </patternFill>
              </fill>
            </x14:dxf>
          </x14:cfRule>
          <xm:sqref>D66 D54:D56</xm:sqref>
        </x14:conditionalFormatting>
        <x14:conditionalFormatting xmlns:xm="http://schemas.microsoft.com/office/excel/2006/main">
          <x14:cfRule type="expression" priority="2" id="{81F51997-1AE4-446E-8BC6-636B70C7C9FC}">
            <xm:f>$D$14='Hoja Auxiliar'!C$34</xm:f>
            <x14:dxf>
              <fill>
                <patternFill>
                  <bgColor theme="5" tint="0.79998168889431442"/>
                </patternFill>
              </fill>
            </x14:dxf>
          </x14:cfRule>
          <xm:sqref>E54:J56</xm:sqref>
        </x14:conditionalFormatting>
        <x14:conditionalFormatting xmlns:xm="http://schemas.microsoft.com/office/excel/2006/main">
          <x14:cfRule type="expression" priority="1" id="{E220A7F1-BA3A-4695-9357-5AA73D4A0914}">
            <xm:f>$D$14='Hoja Auxiliar'!$B$33</xm:f>
            <x14:dxf>
              <font>
                <color rgb="FF0000FF"/>
              </font>
              <fill>
                <patternFill>
                  <bgColor theme="5" tint="0.79998168889431442"/>
                </patternFill>
              </fill>
            </x14:dxf>
          </x14:cfRule>
          <xm:sqref>D38:J39</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A78C07D4-B1AA-48ED-9F78-F283F93DDEB9}">
          <x14:formula1>
            <xm:f>'Hoja Auxiliar'!$B$32:$B$35</xm:f>
          </x14:formula1>
          <xm:sqref>D14</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C7B58-272B-4ADE-A84F-29067EC4B958}">
  <sheetPr>
    <tabColor theme="9" tint="0.79998168889431442"/>
  </sheetPr>
  <dimension ref="A1:BI118"/>
  <sheetViews>
    <sheetView showGridLines="0" zoomScaleNormal="100" workbookViewId="0"/>
  </sheetViews>
  <sheetFormatPr baseColWidth="10" defaultColWidth="8.7109375" defaultRowHeight="12.75" x14ac:dyDescent="0.2"/>
  <cols>
    <col min="2" max="2" width="28.7109375" customWidth="1"/>
    <col min="3" max="3" width="13.140625" customWidth="1"/>
    <col min="5" max="5" width="27.28515625" customWidth="1"/>
    <col min="6" max="11" width="16.28515625" customWidth="1"/>
    <col min="12" max="12" width="12.7109375" customWidth="1"/>
    <col min="13" max="13" width="13" customWidth="1"/>
    <col min="14" max="14" width="19" customWidth="1"/>
    <col min="15" max="15" width="19.28515625" customWidth="1"/>
    <col min="16" max="19" width="16.28515625" customWidth="1"/>
    <col min="20" max="22" width="15.42578125" customWidth="1"/>
    <col min="24" max="24" width="16.42578125" customWidth="1"/>
    <col min="25" max="25" width="13.7109375" customWidth="1"/>
    <col min="26" max="26" width="15.28515625" customWidth="1"/>
    <col min="27" max="27" width="14.7109375" customWidth="1"/>
    <col min="28" max="28" width="12.85546875" customWidth="1"/>
    <col min="29" max="29" width="16.28515625" customWidth="1"/>
    <col min="30" max="30" width="13" customWidth="1"/>
    <col min="31" max="31" width="12" customWidth="1"/>
    <col min="32" max="35" width="12.7109375" bestFit="1" customWidth="1"/>
    <col min="36" max="36" width="11.85546875" bestFit="1" customWidth="1"/>
    <col min="37" max="37" width="12.7109375" bestFit="1" customWidth="1"/>
    <col min="40" max="40" width="12.7109375" customWidth="1"/>
    <col min="41" max="41" width="12.28515625" customWidth="1"/>
    <col min="42" max="42" width="12.7109375" customWidth="1"/>
    <col min="43" max="43" width="11.5703125" customWidth="1"/>
    <col min="44" max="44" width="10.140625" customWidth="1"/>
    <col min="45" max="45" width="12.42578125" customWidth="1"/>
  </cols>
  <sheetData>
    <row r="1" spans="2:61" s="1" customFormat="1" ht="20.25" x14ac:dyDescent="0.3">
      <c r="B1" s="1" t="s">
        <v>282</v>
      </c>
    </row>
    <row r="3" spans="2:61" ht="20.100000000000001" customHeight="1" x14ac:dyDescent="0.2">
      <c r="B3" s="17" t="s">
        <v>24</v>
      </c>
      <c r="C3" s="418"/>
      <c r="E3" s="168"/>
      <c r="F3" s="168"/>
      <c r="G3" s="168"/>
      <c r="H3" s="416"/>
      <c r="I3" s="416"/>
      <c r="J3" s="416"/>
      <c r="K3" s="416"/>
      <c r="L3" s="416"/>
    </row>
    <row r="4" spans="2:61" ht="20.100000000000001" customHeight="1" x14ac:dyDescent="0.2">
      <c r="E4" s="31"/>
    </row>
    <row r="5" spans="2:61" s="200" customFormat="1" ht="12" customHeight="1" x14ac:dyDescent="0.2">
      <c r="B5" s="404" t="str">
        <f>'Hoja Auxiliar'!$B$32</f>
        <v xml:space="preserve">Facturación total </v>
      </c>
      <c r="F5" s="197"/>
      <c r="G5" s="198"/>
      <c r="H5" s="199"/>
      <c r="I5" s="199"/>
      <c r="J5" s="199"/>
    </row>
    <row r="6" spans="2:61" ht="13.5" thickBot="1" x14ac:dyDescent="0.25"/>
    <row r="7" spans="2:61" s="73" customFormat="1" x14ac:dyDescent="0.2">
      <c r="B7" s="419" t="s">
        <v>299</v>
      </c>
      <c r="C7" s="420"/>
      <c r="E7" s="360" t="s">
        <v>267</v>
      </c>
      <c r="F7" s="359"/>
      <c r="G7" s="359"/>
      <c r="H7" s="359"/>
      <c r="I7" s="359"/>
      <c r="J7" s="359"/>
      <c r="K7" s="359"/>
      <c r="M7" s="360" t="s">
        <v>297</v>
      </c>
      <c r="N7" s="359"/>
      <c r="O7" s="359"/>
      <c r="P7" s="359"/>
      <c r="Q7" s="359"/>
      <c r="R7" s="359"/>
      <c r="S7" s="359"/>
      <c r="T7" s="359"/>
      <c r="U7" s="359"/>
      <c r="V7" s="359"/>
      <c r="W7" s="359"/>
      <c r="X7" s="359"/>
      <c r="Y7" s="359"/>
      <c r="Z7" s="359"/>
      <c r="AA7" s="359"/>
      <c r="AB7" s="359"/>
      <c r="AC7" s="359"/>
      <c r="AD7" s="359"/>
      <c r="AE7" s="359"/>
      <c r="AF7" s="359"/>
      <c r="AG7" s="359"/>
      <c r="AH7" s="359"/>
      <c r="AI7" s="359"/>
      <c r="AJ7" s="359"/>
      <c r="AK7" s="359"/>
      <c r="AL7" s="359"/>
      <c r="AM7" s="359"/>
      <c r="AN7" s="359"/>
      <c r="AO7" s="359"/>
      <c r="AP7" s="359"/>
      <c r="AQ7" s="359"/>
      <c r="AR7" s="359"/>
      <c r="AS7" s="359"/>
    </row>
    <row r="8" spans="2:61" ht="12" customHeight="1" x14ac:dyDescent="0.2">
      <c r="B8" s="421"/>
      <c r="C8" s="422"/>
    </row>
    <row r="9" spans="2:61" ht="12" customHeight="1" x14ac:dyDescent="0.2">
      <c r="B9" s="423" t="s">
        <v>43</v>
      </c>
      <c r="C9" s="433"/>
      <c r="E9" s="360" t="s">
        <v>43</v>
      </c>
      <c r="M9" s="360" t="s">
        <v>43</v>
      </c>
      <c r="X9" s="304"/>
      <c r="Y9" s="304"/>
      <c r="Z9" s="73"/>
      <c r="AA9" s="73"/>
      <c r="AB9" s="73"/>
      <c r="AC9" s="73"/>
      <c r="AD9" s="73"/>
      <c r="AE9" s="73"/>
      <c r="AF9" s="73"/>
      <c r="AG9" s="73"/>
      <c r="AH9" s="73"/>
      <c r="AI9" s="73"/>
      <c r="AJ9" s="73"/>
      <c r="AK9" s="73"/>
      <c r="AL9" s="73"/>
      <c r="AM9" s="73"/>
      <c r="AN9" s="73"/>
      <c r="AO9" s="73"/>
      <c r="AP9" s="73"/>
      <c r="AQ9" s="73"/>
      <c r="AR9" s="73"/>
      <c r="AS9" s="73"/>
      <c r="AT9" s="73"/>
      <c r="AU9" s="73"/>
      <c r="AV9" s="73"/>
      <c r="AW9" s="73"/>
      <c r="AX9" s="73"/>
      <c r="AY9" s="73"/>
      <c r="AZ9" s="73"/>
      <c r="BA9" s="73"/>
      <c r="BB9" s="73"/>
      <c r="BC9" s="73"/>
      <c r="BD9" s="73"/>
      <c r="BE9" s="73"/>
      <c r="BF9" s="73"/>
      <c r="BG9" s="73"/>
      <c r="BH9" s="73"/>
      <c r="BI9" s="73"/>
    </row>
    <row r="10" spans="2:61" ht="12" customHeight="1" x14ac:dyDescent="0.2">
      <c r="B10" s="424" t="s">
        <v>170</v>
      </c>
      <c r="C10" s="434"/>
      <c r="E10" s="286" t="s">
        <v>170</v>
      </c>
      <c r="F10" s="19" t="s">
        <v>259</v>
      </c>
      <c r="G10" s="19" t="s">
        <v>260</v>
      </c>
      <c r="H10" s="19" t="s">
        <v>261</v>
      </c>
      <c r="I10" s="19" t="s">
        <v>262</v>
      </c>
      <c r="J10" s="19" t="s">
        <v>263</v>
      </c>
      <c r="K10" s="19" t="s">
        <v>264</v>
      </c>
      <c r="M10" s="381" t="s">
        <v>172</v>
      </c>
      <c r="N10" s="304" t="s">
        <v>259</v>
      </c>
      <c r="O10" s="304" t="s">
        <v>260</v>
      </c>
      <c r="P10" s="304" t="s">
        <v>261</v>
      </c>
      <c r="Q10" s="304" t="s">
        <v>262</v>
      </c>
      <c r="R10" s="304" t="s">
        <v>263</v>
      </c>
      <c r="S10" s="304" t="s">
        <v>264</v>
      </c>
      <c r="T10" s="19"/>
      <c r="U10" s="19"/>
      <c r="V10" s="19"/>
      <c r="X10" s="381"/>
      <c r="Y10" s="304"/>
      <c r="Z10" s="304"/>
      <c r="AA10" s="304"/>
      <c r="AB10" s="304"/>
      <c r="AC10" s="304"/>
      <c r="AD10" s="304"/>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row>
    <row r="11" spans="2:61" ht="12" customHeight="1" x14ac:dyDescent="0.2">
      <c r="B11" s="426" t="s">
        <v>168</v>
      </c>
      <c r="C11" s="476">
        <f>SUMPRODUCT(F11:K11,N11:S11)/SUM(N11:S11)</f>
        <v>3.2358974358974356E-2</v>
      </c>
      <c r="E11" s="239" t="s">
        <v>168</v>
      </c>
      <c r="F11" s="409">
        <f>INDEX('Precio Mayorista'!$D$47:$J$49,MATCH($E11,'Precio Mayorista'!$C$47:$C$49,0),MATCH('Precio Mayorista'!E$24,'Precio Mayorista'!$D$29:$J$29,0))</f>
        <v>0.03</v>
      </c>
      <c r="G11" s="409">
        <f>INDEX('Precio Mayorista'!$D$47:$J$49,MATCH($E11,'Precio Mayorista'!$C$47:$C$49,0),MATCH('Precio Mayorista'!F$24,'Precio Mayorista'!$D$29:$J$29,0))</f>
        <v>0.03</v>
      </c>
      <c r="H11" s="409">
        <f>INDEX('Precio Mayorista'!$D$47:$J$49,MATCH($E11,'Precio Mayorista'!$C$47:$C$49,0),MATCH('Precio Mayorista'!G$24,'Precio Mayorista'!$D$29:$J$29,0))</f>
        <v>3.2000000000000001E-2</v>
      </c>
      <c r="I11" s="409">
        <f>INDEX('Precio Mayorista'!$D$47:$J$49,MATCH($E11,'Precio Mayorista'!$C$47:$C$49,0),MATCH('Precio Mayorista'!H$24,'Precio Mayorista'!$D$29:$J$29,0))</f>
        <v>3.4000000000000002E-2</v>
      </c>
      <c r="J11" s="409">
        <f>INDEX('Precio Mayorista'!$D$47:$J$49,MATCH($E11,'Precio Mayorista'!$C$47:$C$49,0),MATCH('Precio Mayorista'!I$24,'Precio Mayorista'!$D$29:$J$29,0))</f>
        <v>3.5999999999999997E-2</v>
      </c>
      <c r="K11" s="409">
        <f>INDEX('Precio Mayorista'!$D$47:$J$49,MATCH($E11,'Precio Mayorista'!$C$47:$C$49,0),MATCH('Precio Mayorista'!J$24,'Precio Mayorista'!$D$29:$J$29,0))</f>
        <v>3.5999999999999997E-2</v>
      </c>
      <c r="M11" s="358" t="s">
        <v>168</v>
      </c>
      <c r="N11" s="382">
        <f>INDEX('Informacion del AEP'!$F$84:$K$92,MATCH('Precios mayoristas efectivos'!$M11,'Informacion del AEP'!$B$84:$B$92,0),MATCH('Precios mayoristas efectivos'!N$10,'Informacion del AEP'!$F$82:$K$82,0))/3</f>
        <v>30000000</v>
      </c>
      <c r="O11" s="382">
        <f>INDEX('Informacion del AEP'!$F$84:$K$92,MATCH('Precios mayoristas efectivos'!$M11,'Informacion del AEP'!$B$84:$B$92,0),MATCH('Precios mayoristas efectivos'!O$10,'Informacion del AEP'!$F$82:$K$82,0))/3</f>
        <v>26666666.666666668</v>
      </c>
      <c r="P11" s="382">
        <f>INDEX('Informacion del AEP'!$F$84:$K$92,MATCH('Precios mayoristas efectivos'!$M11,'Informacion del AEP'!$B$84:$B$92,0),MATCH('Precios mayoristas efectivos'!P$10,'Informacion del AEP'!$F$82:$K$82,0))/3</f>
        <v>23333333.333333332</v>
      </c>
      <c r="Q11" s="382">
        <f>INDEX('Informacion del AEP'!$F$84:$K$92,MATCH('Precios mayoristas efectivos'!$M11,'Informacion del AEP'!$B$84:$B$92,0),MATCH('Precios mayoristas efectivos'!Q$10,'Informacion del AEP'!$F$82:$K$82,0))/3</f>
        <v>20000000</v>
      </c>
      <c r="R11" s="382">
        <f>INDEX('Informacion del AEP'!$F$84:$K$92,MATCH('Precios mayoristas efectivos'!$M11,'Informacion del AEP'!$B$84:$B$92,0),MATCH('Precios mayoristas efectivos'!R$10,'Informacion del AEP'!$F$82:$K$82,0))/3</f>
        <v>16666666.666666666</v>
      </c>
      <c r="S11" s="382">
        <f>INDEX('Informacion del AEP'!$F$84:$K$92,MATCH('Precios mayoristas efectivos'!$M11,'Informacion del AEP'!$B$84:$B$92,0),MATCH('Precios mayoristas efectivos'!S$10,'Informacion del AEP'!$F$82:$K$82,0))/3</f>
        <v>13333333.333333334</v>
      </c>
      <c r="X11" s="358"/>
      <c r="Y11" s="382"/>
      <c r="Z11" s="382"/>
      <c r="AA11" s="382"/>
      <c r="AB11" s="382"/>
      <c r="AC11" s="382"/>
      <c r="AD11" s="382"/>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row>
    <row r="12" spans="2:61" ht="12" customHeight="1" x14ac:dyDescent="0.2">
      <c r="B12" s="426" t="s">
        <v>149</v>
      </c>
      <c r="C12" s="476">
        <f>SUMPRODUCT(F12:K12,N12:S12)/SUM(N12:S12)</f>
        <v>1.6222222222222221E-2</v>
      </c>
      <c r="E12" s="239" t="s">
        <v>149</v>
      </c>
      <c r="F12" s="409">
        <f>INDEX('Precio Mayorista'!$D$47:$J$49,MATCH($E12,'Precio Mayorista'!$C$47:$C$49,0),MATCH('Precio Mayorista'!E$24,'Precio Mayorista'!$D$29:$J$29,0))</f>
        <v>1.4999999999999999E-2</v>
      </c>
      <c r="G12" s="409">
        <f>INDEX('Precio Mayorista'!$D$47:$J$49,MATCH($E12,'Precio Mayorista'!$C$47:$C$49,0),MATCH('Precio Mayorista'!F$24,'Precio Mayorista'!$D$29:$J$29,0))</f>
        <v>1.4999999999999999E-2</v>
      </c>
      <c r="H12" s="409">
        <f>INDEX('Precio Mayorista'!$D$47:$J$49,MATCH($E12,'Precio Mayorista'!$C$47:$C$49,0),MATCH('Precio Mayorista'!G$24,'Precio Mayorista'!$D$29:$J$29,0))</f>
        <v>1.6E-2</v>
      </c>
      <c r="I12" s="409">
        <f>INDEX('Precio Mayorista'!$D$47:$J$49,MATCH($E12,'Precio Mayorista'!$C$47:$C$49,0),MATCH('Precio Mayorista'!H$24,'Precio Mayorista'!$D$29:$J$29,0))</f>
        <v>1.7000000000000001E-2</v>
      </c>
      <c r="J12" s="409">
        <f>INDEX('Precio Mayorista'!$D$47:$J$49,MATCH($E12,'Precio Mayorista'!$C$47:$C$49,0),MATCH('Precio Mayorista'!I$24,'Precio Mayorista'!$D$29:$J$29,0))</f>
        <v>1.7999999999999999E-2</v>
      </c>
      <c r="K12" s="409">
        <f>INDEX('Precio Mayorista'!$D$47:$J$49,MATCH($E12,'Precio Mayorista'!$C$47:$C$49,0),MATCH('Precio Mayorista'!J$24,'Precio Mayorista'!$D$29:$J$29,0))</f>
        <v>1.7999999999999999E-2</v>
      </c>
      <c r="M12" s="358" t="s">
        <v>149</v>
      </c>
      <c r="N12" s="382">
        <f>INDEX('Informacion del AEP'!$F$84:$K$92,MATCH('Precios mayoristas efectivos'!$M12,'Informacion del AEP'!$B$84:$B$92,0),MATCH('Precios mayoristas efectivos'!N$10,'Informacion del AEP'!$F$82:$K$82,0))/3</f>
        <v>3333333.3333333335</v>
      </c>
      <c r="O12" s="382">
        <f>INDEX('Informacion del AEP'!$F$84:$K$92,MATCH('Precios mayoristas efectivos'!$M12,'Informacion del AEP'!$B$84:$B$92,0),MATCH('Precios mayoristas efectivos'!O$10,'Informacion del AEP'!$F$82:$K$82,0))/3</f>
        <v>3000000</v>
      </c>
      <c r="P12" s="382">
        <f>INDEX('Informacion del AEP'!$F$84:$K$92,MATCH('Precios mayoristas efectivos'!$M12,'Informacion del AEP'!$B$84:$B$92,0),MATCH('Precios mayoristas efectivos'!P$10,'Informacion del AEP'!$F$82:$K$82,0))/3</f>
        <v>2666666.6666666665</v>
      </c>
      <c r="Q12" s="382">
        <f>INDEX('Informacion del AEP'!$F$84:$K$92,MATCH('Precios mayoristas efectivos'!$M12,'Informacion del AEP'!$B$84:$B$92,0),MATCH('Precios mayoristas efectivos'!Q$10,'Informacion del AEP'!$F$82:$K$82,0))/3</f>
        <v>2333333.3333333335</v>
      </c>
      <c r="R12" s="382">
        <f>INDEX('Informacion del AEP'!$F$84:$K$92,MATCH('Precios mayoristas efectivos'!$M12,'Informacion del AEP'!$B$84:$B$92,0),MATCH('Precios mayoristas efectivos'!R$10,'Informacion del AEP'!$F$82:$K$82,0))/3</f>
        <v>2000000</v>
      </c>
      <c r="S12" s="382">
        <f>INDEX('Informacion del AEP'!$F$84:$K$92,MATCH('Precios mayoristas efectivos'!$M12,'Informacion del AEP'!$B$84:$B$92,0),MATCH('Precios mayoristas efectivos'!S$10,'Informacion del AEP'!$F$82:$K$82,0))/3</f>
        <v>1666666.6666666667</v>
      </c>
      <c r="X12" s="358"/>
      <c r="Y12" s="382"/>
      <c r="Z12" s="382"/>
      <c r="AA12" s="382"/>
      <c r="AB12" s="382"/>
      <c r="AC12" s="382"/>
      <c r="AD12" s="382"/>
      <c r="AE12" s="73"/>
      <c r="AF12" s="73"/>
      <c r="AG12" s="73"/>
      <c r="AH12" s="73"/>
      <c r="AI12" s="73"/>
      <c r="AJ12" s="73"/>
      <c r="AK12" s="73"/>
      <c r="AL12" s="73"/>
      <c r="AM12" s="73"/>
      <c r="AN12" s="73"/>
      <c r="AO12" s="73"/>
      <c r="AP12" s="73"/>
      <c r="AQ12" s="73"/>
      <c r="AR12" s="73"/>
      <c r="AS12" s="73"/>
      <c r="AT12" s="73"/>
      <c r="AU12" s="73"/>
      <c r="AV12" s="73"/>
      <c r="AW12" s="73"/>
      <c r="AX12" s="73"/>
      <c r="AY12" s="73"/>
      <c r="AZ12" s="73"/>
      <c r="BA12" s="73"/>
      <c r="BB12" s="73"/>
      <c r="BC12" s="73"/>
      <c r="BD12" s="73"/>
      <c r="BE12" s="73"/>
      <c r="BF12" s="73"/>
      <c r="BG12" s="73"/>
      <c r="BH12" s="73"/>
      <c r="BI12" s="73"/>
    </row>
    <row r="13" spans="2:61" ht="12" customHeight="1" x14ac:dyDescent="0.2">
      <c r="B13" s="426" t="s">
        <v>169</v>
      </c>
      <c r="C13" s="476">
        <f>SUMPRODUCT(F13:K13,N13:S13)/SUM(N13:S13)</f>
        <v>1.58125E-2</v>
      </c>
      <c r="E13" s="239" t="s">
        <v>169</v>
      </c>
      <c r="F13" s="409">
        <f>INDEX('Precio Mayorista'!$D$47:$J$49,MATCH($E13,'Precio Mayorista'!$C$47:$C$49,0),MATCH('Precio Mayorista'!E$24,'Precio Mayorista'!$D$29:$J$29,0))</f>
        <v>1.4999999999999999E-2</v>
      </c>
      <c r="G13" s="409">
        <f>INDEX('Precio Mayorista'!$D$47:$J$49,MATCH($E13,'Precio Mayorista'!$C$47:$C$49,0),MATCH('Precio Mayorista'!F$24,'Precio Mayorista'!$D$29:$J$29,0))</f>
        <v>1.4999999999999999E-2</v>
      </c>
      <c r="H13" s="409">
        <f>INDEX('Precio Mayorista'!$D$47:$J$49,MATCH($E13,'Precio Mayorista'!$C$47:$C$49,0),MATCH('Precio Mayorista'!G$24,'Precio Mayorista'!$D$29:$J$29,0))</f>
        <v>1.6E-2</v>
      </c>
      <c r="I13" s="409">
        <f>INDEX('Precio Mayorista'!$D$47:$J$49,MATCH($E13,'Precio Mayorista'!$C$47:$C$49,0),MATCH('Precio Mayorista'!H$24,'Precio Mayorista'!$D$29:$J$29,0))</f>
        <v>1.7000000000000001E-2</v>
      </c>
      <c r="J13" s="409">
        <f>INDEX('Precio Mayorista'!$D$47:$J$49,MATCH($E13,'Precio Mayorista'!$C$47:$C$49,0),MATCH('Precio Mayorista'!I$24,'Precio Mayorista'!$D$29:$J$29,0))</f>
        <v>1.7999999999999999E-2</v>
      </c>
      <c r="K13" s="409">
        <f>INDEX('Precio Mayorista'!$D$47:$J$49,MATCH($E13,'Precio Mayorista'!$C$47:$C$49,0),MATCH('Precio Mayorista'!J$24,'Precio Mayorista'!$D$29:$J$29,0))</f>
        <v>1.7999999999999999E-2</v>
      </c>
      <c r="M13" s="358" t="s">
        <v>169</v>
      </c>
      <c r="N13" s="382">
        <f>INDEX('Informacion del AEP'!$F$84:$K$92,MATCH('Precios mayoristas efectivos'!$M13,'Informacion del AEP'!$B$84:$B$92,0),MATCH('Precios mayoristas efectivos'!N$10,'Informacion del AEP'!$F$82:$K$82,0))/3</f>
        <v>1666666666.6666667</v>
      </c>
      <c r="O13" s="382">
        <f>INDEX('Informacion del AEP'!$F$84:$K$92,MATCH('Precios mayoristas efectivos'!$M13,'Informacion del AEP'!$B$84:$B$92,0),MATCH('Precios mayoristas efectivos'!O$10,'Informacion del AEP'!$F$82:$K$82,0))/3</f>
        <v>1333333333.3333333</v>
      </c>
      <c r="P13" s="382">
        <f>INDEX('Informacion del AEP'!$F$84:$K$92,MATCH('Precios mayoristas efectivos'!$M13,'Informacion del AEP'!$B$84:$B$92,0),MATCH('Precios mayoristas efectivos'!P$10,'Informacion del AEP'!$F$82:$K$82,0))/3</f>
        <v>1000000000</v>
      </c>
      <c r="Q13" s="382">
        <f>INDEX('Informacion del AEP'!$F$84:$K$92,MATCH('Precios mayoristas efectivos'!$M13,'Informacion del AEP'!$B$84:$B$92,0),MATCH('Precios mayoristas efectivos'!Q$10,'Informacion del AEP'!$F$82:$K$82,0))/3</f>
        <v>666666666.66666663</v>
      </c>
      <c r="R13" s="382">
        <f>INDEX('Informacion del AEP'!$F$84:$K$92,MATCH('Precios mayoristas efectivos'!$M13,'Informacion del AEP'!$B$84:$B$92,0),MATCH('Precios mayoristas efectivos'!R$10,'Informacion del AEP'!$F$82:$K$82,0))/3</f>
        <v>333333333.33333331</v>
      </c>
      <c r="S13" s="382">
        <f>INDEX('Informacion del AEP'!$F$84:$K$92,MATCH('Precios mayoristas efectivos'!$M13,'Informacion del AEP'!$B$84:$B$92,0),MATCH('Precios mayoristas efectivos'!S$10,'Informacion del AEP'!$F$82:$K$82,0))/3</f>
        <v>333333333.33333331</v>
      </c>
      <c r="X13" s="358"/>
      <c r="Y13" s="382"/>
      <c r="Z13" s="382"/>
      <c r="AA13" s="382"/>
      <c r="AB13" s="382"/>
      <c r="AC13" s="382"/>
      <c r="AD13" s="382"/>
      <c r="AE13" s="73"/>
      <c r="AF13" s="73"/>
      <c r="AG13" s="73"/>
      <c r="AH13" s="73"/>
      <c r="AI13" s="73"/>
      <c r="AJ13" s="73"/>
      <c r="AK13" s="73"/>
      <c r="AL13" s="73"/>
      <c r="AM13" s="73"/>
      <c r="AN13" s="73"/>
      <c r="AO13" s="73"/>
      <c r="AP13" s="73"/>
      <c r="AQ13" s="73"/>
      <c r="AR13" s="73"/>
      <c r="AS13" s="73"/>
      <c r="AT13" s="73"/>
      <c r="AU13" s="73"/>
      <c r="AV13" s="73"/>
      <c r="AW13" s="73"/>
      <c r="AX13" s="73"/>
      <c r="AY13" s="73"/>
      <c r="AZ13" s="73"/>
      <c r="BA13" s="73"/>
      <c r="BB13" s="73"/>
      <c r="BC13" s="73"/>
      <c r="BD13" s="73"/>
      <c r="BE13" s="73"/>
      <c r="BF13" s="73"/>
      <c r="BG13" s="73"/>
      <c r="BH13" s="73"/>
      <c r="BI13" s="73"/>
    </row>
    <row r="14" spans="2:61" ht="12" customHeight="1" x14ac:dyDescent="0.2">
      <c r="B14" s="435"/>
      <c r="C14" s="434"/>
      <c r="E14" s="358"/>
      <c r="M14" s="358" t="s">
        <v>0</v>
      </c>
      <c r="N14" s="382">
        <f>SUM(N11:N13)</f>
        <v>1700000000</v>
      </c>
      <c r="O14" s="382">
        <f t="shared" ref="O14:S14" si="0">SUM(O11:O13)</f>
        <v>1363000000</v>
      </c>
      <c r="P14" s="382">
        <f t="shared" si="0"/>
        <v>1026000000</v>
      </c>
      <c r="Q14" s="382">
        <f t="shared" si="0"/>
        <v>689000000</v>
      </c>
      <c r="R14" s="382">
        <f t="shared" si="0"/>
        <v>352000000</v>
      </c>
      <c r="S14" s="382">
        <f t="shared" si="0"/>
        <v>348333333.33333331</v>
      </c>
      <c r="X14" s="358"/>
      <c r="Y14" s="382"/>
      <c r="Z14" s="382"/>
      <c r="AA14" s="382"/>
      <c r="AB14" s="382"/>
      <c r="AC14" s="382"/>
      <c r="AD14" s="382"/>
      <c r="AE14" s="73"/>
      <c r="AF14" s="73"/>
      <c r="AG14" s="73"/>
      <c r="AH14" s="73"/>
      <c r="AI14" s="73"/>
      <c r="AJ14" s="73"/>
      <c r="AK14" s="73"/>
      <c r="AL14" s="73"/>
      <c r="AM14" s="73"/>
      <c r="AN14" s="73"/>
      <c r="AO14" s="73"/>
      <c r="AP14" s="73"/>
      <c r="AQ14" s="73"/>
      <c r="AR14" s="73"/>
      <c r="AS14" s="73"/>
      <c r="AT14" s="73"/>
      <c r="AU14" s="73"/>
      <c r="AV14" s="73"/>
      <c r="AW14" s="73"/>
      <c r="AX14" s="73"/>
      <c r="AY14" s="73"/>
      <c r="AZ14" s="73"/>
      <c r="BA14" s="73"/>
      <c r="BB14" s="73"/>
      <c r="BC14" s="73"/>
      <c r="BD14" s="73"/>
      <c r="BE14" s="73"/>
      <c r="BF14" s="73"/>
      <c r="BG14" s="73"/>
      <c r="BH14" s="73"/>
      <c r="BI14" s="73"/>
    </row>
    <row r="15" spans="2:61" ht="12" customHeight="1" x14ac:dyDescent="0.2">
      <c r="B15" s="435"/>
      <c r="C15" s="434"/>
      <c r="E15" s="358"/>
      <c r="M15" s="358"/>
      <c r="N15" s="73"/>
      <c r="O15" s="73"/>
      <c r="P15" s="73"/>
      <c r="Q15" s="73"/>
      <c r="R15" s="73"/>
      <c r="S15" s="73"/>
      <c r="X15" s="358"/>
      <c r="Y15" s="382"/>
      <c r="Z15" s="382"/>
      <c r="AA15" s="382"/>
      <c r="AB15" s="382"/>
      <c r="AC15" s="382"/>
      <c r="AD15" s="382"/>
      <c r="AE15" s="73"/>
      <c r="AF15" s="73"/>
      <c r="AG15" s="73"/>
      <c r="AH15" s="73"/>
      <c r="AI15" s="73"/>
      <c r="AJ15" s="73"/>
      <c r="AK15" s="73"/>
      <c r="AL15" s="73"/>
      <c r="AM15" s="73"/>
      <c r="AN15" s="73"/>
      <c r="AO15" s="73"/>
      <c r="AP15" s="73"/>
      <c r="AQ15" s="73"/>
      <c r="AR15" s="73"/>
      <c r="AS15" s="73"/>
      <c r="AT15" s="73"/>
      <c r="AU15" s="73"/>
      <c r="AV15" s="73"/>
      <c r="AW15" s="73"/>
      <c r="AX15" s="73"/>
      <c r="AY15" s="73"/>
      <c r="AZ15" s="73"/>
      <c r="BA15" s="73"/>
      <c r="BB15" s="73"/>
      <c r="BC15" s="73"/>
      <c r="BD15" s="73"/>
      <c r="BE15" s="73"/>
      <c r="BF15" s="73"/>
      <c r="BG15" s="73"/>
      <c r="BH15" s="73"/>
      <c r="BI15" s="73"/>
    </row>
    <row r="16" spans="2:61" ht="12" customHeight="1" x14ac:dyDescent="0.2">
      <c r="B16" s="423" t="s">
        <v>152</v>
      </c>
      <c r="C16" s="422"/>
      <c r="E16" s="360" t="s">
        <v>152</v>
      </c>
      <c r="M16" s="360" t="s">
        <v>152</v>
      </c>
      <c r="X16" s="73"/>
      <c r="Y16" s="73"/>
      <c r="Z16" s="73"/>
      <c r="AA16" s="73"/>
      <c r="AB16" s="73"/>
      <c r="AC16" s="73"/>
      <c r="AD16" s="73"/>
      <c r="AE16" s="73"/>
      <c r="AF16" s="73"/>
      <c r="AG16" s="73"/>
      <c r="AH16" s="73"/>
      <c r="AI16" s="73"/>
      <c r="AJ16" s="73"/>
      <c r="AK16" s="73"/>
      <c r="AL16" s="73"/>
      <c r="AM16" s="73"/>
      <c r="AN16" s="73"/>
      <c r="AO16" s="73"/>
      <c r="AP16" s="73"/>
      <c r="AQ16" s="73"/>
      <c r="AR16" s="73"/>
      <c r="AS16" s="73"/>
      <c r="AT16" s="73"/>
      <c r="AU16" s="73"/>
      <c r="AV16" s="73"/>
      <c r="AW16" s="73"/>
      <c r="AX16" s="73"/>
      <c r="AY16" s="73"/>
      <c r="AZ16" s="73"/>
      <c r="BA16" s="73"/>
      <c r="BB16" s="73"/>
      <c r="BC16" s="73"/>
      <c r="BD16" s="73"/>
      <c r="BE16" s="73"/>
      <c r="BF16" s="73"/>
      <c r="BG16" s="73"/>
      <c r="BH16" s="73"/>
      <c r="BI16" s="73"/>
    </row>
    <row r="17" spans="1:45" ht="28.15" customHeight="1" thickBot="1" x14ac:dyDescent="0.25">
      <c r="B17" s="431" t="s">
        <v>170</v>
      </c>
      <c r="C17" s="432">
        <v>0</v>
      </c>
      <c r="E17" s="286" t="s">
        <v>170</v>
      </c>
      <c r="F17" s="19" t="s">
        <v>259</v>
      </c>
      <c r="G17" s="19" t="s">
        <v>260</v>
      </c>
      <c r="H17" s="19" t="s">
        <v>261</v>
      </c>
      <c r="I17" s="19" t="s">
        <v>262</v>
      </c>
      <c r="J17" s="19" t="s">
        <v>263</v>
      </c>
      <c r="K17" s="19" t="s">
        <v>264</v>
      </c>
      <c r="M17" s="286" t="s">
        <v>172</v>
      </c>
      <c r="N17" s="19" t="s">
        <v>259</v>
      </c>
      <c r="O17" s="19" t="s">
        <v>260</v>
      </c>
      <c r="P17" s="19" t="s">
        <v>261</v>
      </c>
      <c r="Q17" s="19" t="s">
        <v>262</v>
      </c>
      <c r="R17" s="19" t="s">
        <v>263</v>
      </c>
      <c r="S17" s="19" t="s">
        <v>264</v>
      </c>
      <c r="T17" s="19"/>
      <c r="U17" s="19"/>
      <c r="V17" s="19"/>
    </row>
    <row r="18" spans="1:45" ht="12" customHeight="1" x14ac:dyDescent="0.2">
      <c r="C18" s="417"/>
      <c r="E18" s="286"/>
      <c r="F18" s="18">
        <v>0</v>
      </c>
      <c r="G18" s="18">
        <v>0</v>
      </c>
      <c r="H18" s="18">
        <v>0</v>
      </c>
      <c r="I18" s="18">
        <v>0</v>
      </c>
      <c r="J18" s="18">
        <v>0</v>
      </c>
      <c r="K18" s="18">
        <v>0</v>
      </c>
      <c r="N18">
        <v>0</v>
      </c>
      <c r="O18">
        <v>0</v>
      </c>
      <c r="P18">
        <v>0</v>
      </c>
      <c r="Q18">
        <v>0</v>
      </c>
      <c r="R18">
        <v>0</v>
      </c>
      <c r="S18">
        <v>0</v>
      </c>
    </row>
    <row r="20" spans="1:45" s="200" customFormat="1" ht="12" customHeight="1" x14ac:dyDescent="0.2">
      <c r="B20" s="196" t="str">
        <f>'Hoja Auxiliar'!$B$33</f>
        <v>Bolsa de tráfico</v>
      </c>
      <c r="F20" s="197"/>
      <c r="G20" s="198"/>
      <c r="H20" s="199"/>
      <c r="I20" s="199"/>
      <c r="J20" s="199"/>
    </row>
    <row r="21" spans="1:45" s="73" customFormat="1" ht="12" customHeight="1" thickBot="1" x14ac:dyDescent="0.25">
      <c r="A21"/>
      <c r="B21"/>
      <c r="C21"/>
      <c r="D21"/>
      <c r="E21"/>
      <c r="F21"/>
      <c r="G21"/>
      <c r="H21"/>
      <c r="I21"/>
      <c r="J21"/>
      <c r="K21"/>
      <c r="L21"/>
      <c r="M21"/>
      <c r="N21"/>
      <c r="O21"/>
      <c r="P21"/>
      <c r="Q21"/>
      <c r="R21"/>
      <c r="S21"/>
      <c r="T21"/>
      <c r="U21"/>
      <c r="V21"/>
      <c r="W21"/>
      <c r="X21"/>
      <c r="Y21"/>
      <c r="Z21"/>
      <c r="AA21"/>
      <c r="AB21"/>
      <c r="AC21"/>
    </row>
    <row r="22" spans="1:45" s="73" customFormat="1" x14ac:dyDescent="0.2">
      <c r="B22" s="419" t="s">
        <v>299</v>
      </c>
      <c r="C22" s="420"/>
      <c r="E22" s="360" t="s">
        <v>267</v>
      </c>
      <c r="F22" s="359"/>
      <c r="G22" s="359"/>
      <c r="H22" s="359"/>
      <c r="I22" s="359"/>
      <c r="J22" s="359"/>
      <c r="K22" s="359"/>
      <c r="M22" s="360" t="s">
        <v>297</v>
      </c>
      <c r="N22" s="359"/>
      <c r="O22" s="359"/>
      <c r="P22" s="359"/>
      <c r="Q22" s="359"/>
      <c r="R22" s="359"/>
      <c r="S22" s="359"/>
      <c r="W22" s="360" t="s">
        <v>298</v>
      </c>
      <c r="X22" s="360"/>
      <c r="Y22" s="360"/>
      <c r="Z22" s="360"/>
      <c r="AA22" s="360"/>
      <c r="AB22" s="360"/>
      <c r="AC22" s="360"/>
      <c r="AE22" s="360" t="s">
        <v>293</v>
      </c>
      <c r="AF22" s="360"/>
      <c r="AG22" s="360"/>
      <c r="AH22" s="360"/>
      <c r="AI22" s="360"/>
      <c r="AJ22" s="360"/>
      <c r="AK22" s="360"/>
      <c r="AL22" s="304"/>
      <c r="AM22" s="360" t="s">
        <v>292</v>
      </c>
      <c r="AN22" s="360"/>
      <c r="AO22" s="360"/>
      <c r="AP22" s="360"/>
      <c r="AQ22" s="360"/>
      <c r="AR22" s="360"/>
      <c r="AS22" s="360"/>
    </row>
    <row r="23" spans="1:45" s="73" customFormat="1" ht="12" customHeight="1" x14ac:dyDescent="0.2">
      <c r="A23"/>
      <c r="B23" s="421"/>
      <c r="C23" s="422"/>
      <c r="D23"/>
      <c r="E23"/>
      <c r="F23"/>
      <c r="G23"/>
      <c r="H23"/>
      <c r="I23"/>
      <c r="J23"/>
      <c r="K23"/>
      <c r="L23"/>
      <c r="M23"/>
      <c r="N23"/>
      <c r="O23"/>
      <c r="P23"/>
      <c r="Q23"/>
      <c r="R23"/>
      <c r="S23"/>
      <c r="T23"/>
      <c r="U23"/>
      <c r="V23"/>
    </row>
    <row r="24" spans="1:45" s="73" customFormat="1" ht="12" customHeight="1" x14ac:dyDescent="0.2">
      <c r="A24"/>
      <c r="B24" s="423" t="s">
        <v>43</v>
      </c>
      <c r="C24" s="422"/>
      <c r="D24"/>
      <c r="E24" s="360" t="s">
        <v>43</v>
      </c>
      <c r="F24"/>
      <c r="G24"/>
      <c r="H24"/>
      <c r="I24"/>
      <c r="J24"/>
      <c r="K24"/>
      <c r="L24"/>
      <c r="M24"/>
      <c r="N24"/>
      <c r="O24"/>
      <c r="P24"/>
      <c r="Q24"/>
      <c r="R24"/>
      <c r="S24"/>
      <c r="T24"/>
      <c r="U24"/>
      <c r="V24"/>
    </row>
    <row r="25" spans="1:45" s="73" customFormat="1" ht="12" customHeight="1" x14ac:dyDescent="0.2">
      <c r="A25"/>
      <c r="B25" s="424" t="s">
        <v>170</v>
      </c>
      <c r="C25" s="425"/>
      <c r="D25"/>
      <c r="E25" s="286" t="s">
        <v>170</v>
      </c>
      <c r="F25" s="19" t="s">
        <v>259</v>
      </c>
      <c r="G25" s="19" t="s">
        <v>260</v>
      </c>
      <c r="H25" s="19" t="s">
        <v>261</v>
      </c>
      <c r="I25" s="19" t="s">
        <v>262</v>
      </c>
      <c r="J25" s="19" t="s">
        <v>263</v>
      </c>
      <c r="K25" s="19" t="s">
        <v>264</v>
      </c>
      <c r="L25"/>
      <c r="M25" s="286" t="s">
        <v>172</v>
      </c>
      <c r="N25" s="19" t="s">
        <v>259</v>
      </c>
      <c r="O25" s="19" t="s">
        <v>260</v>
      </c>
      <c r="P25" s="19" t="s">
        <v>261</v>
      </c>
      <c r="Q25" s="19" t="s">
        <v>262</v>
      </c>
      <c r="R25" s="19" t="s">
        <v>263</v>
      </c>
      <c r="S25" s="19" t="s">
        <v>264</v>
      </c>
      <c r="T25" s="19"/>
      <c r="U25" s="19"/>
      <c r="V25" s="19"/>
      <c r="W25" s="286" t="s">
        <v>170</v>
      </c>
      <c r="X25" s="19" t="s">
        <v>259</v>
      </c>
      <c r="Y25" s="19" t="s">
        <v>260</v>
      </c>
      <c r="Z25" s="19" t="s">
        <v>261</v>
      </c>
      <c r="AA25" s="19" t="s">
        <v>262</v>
      </c>
      <c r="AB25" s="19" t="s">
        <v>263</v>
      </c>
      <c r="AC25" s="19" t="s">
        <v>264</v>
      </c>
      <c r="AD25" s="168"/>
      <c r="AE25" s="286" t="s">
        <v>172</v>
      </c>
      <c r="AF25" s="19" t="s">
        <v>259</v>
      </c>
      <c r="AG25" s="19" t="s">
        <v>260</v>
      </c>
      <c r="AH25" s="19" t="s">
        <v>261</v>
      </c>
      <c r="AI25" s="19" t="s">
        <v>262</v>
      </c>
      <c r="AJ25" s="19" t="s">
        <v>263</v>
      </c>
      <c r="AK25" s="19" t="s">
        <v>264</v>
      </c>
      <c r="AM25" s="286" t="s">
        <v>170</v>
      </c>
      <c r="AN25" s="19" t="s">
        <v>259</v>
      </c>
      <c r="AO25" s="19" t="s">
        <v>260</v>
      </c>
      <c r="AP25" s="19" t="s">
        <v>261</v>
      </c>
      <c r="AQ25" s="19" t="s">
        <v>262</v>
      </c>
      <c r="AR25" s="19" t="s">
        <v>263</v>
      </c>
      <c r="AS25" s="19" t="s">
        <v>264</v>
      </c>
    </row>
    <row r="26" spans="1:45" s="73" customFormat="1" ht="15" customHeight="1" x14ac:dyDescent="0.2">
      <c r="A26"/>
      <c r="B26" s="426" t="s">
        <v>168</v>
      </c>
      <c r="C26" s="476">
        <f>SUMPRODUCT(F26:K26,N26:S26)/SUM(N26:S26)</f>
        <v>0</v>
      </c>
      <c r="D26"/>
      <c r="E26" s="239" t="s">
        <v>168</v>
      </c>
      <c r="F26" s="436">
        <f t="shared" ref="F26:K28" si="1">X26/N26</f>
        <v>0</v>
      </c>
      <c r="G26" s="436">
        <f t="shared" si="1"/>
        <v>0</v>
      </c>
      <c r="H26" s="436">
        <f t="shared" si="1"/>
        <v>0</v>
      </c>
      <c r="I26" s="436">
        <f t="shared" si="1"/>
        <v>0</v>
      </c>
      <c r="J26" s="436">
        <f t="shared" si="1"/>
        <v>0</v>
      </c>
      <c r="K26" s="436">
        <f t="shared" si="1"/>
        <v>0</v>
      </c>
      <c r="L26"/>
      <c r="M26" s="239" t="s">
        <v>287</v>
      </c>
      <c r="N26" s="283">
        <f>INDEX('Informacion del AEP'!$F$84:$K$93,MATCH('Precios mayoristas efectivos'!$M26,'Informacion del AEP'!$B$84:$B$93,0),MATCH('Precios mayoristas efectivos'!N$25,'Informacion del AEP'!$F$82:$K$82,0))/3</f>
        <v>30000000</v>
      </c>
      <c r="O26" s="283">
        <f>INDEX('Informacion del AEP'!$F$84:$K$93,MATCH('Precios mayoristas efectivos'!$M26,'Informacion del AEP'!$B$84:$B$93,0),MATCH('Precios mayoristas efectivos'!O$25,'Informacion del AEP'!$F$82:$K$82,0))/3</f>
        <v>26666666.666666668</v>
      </c>
      <c r="P26" s="283">
        <f>INDEX('Informacion del AEP'!$F$84:$K$93,MATCH('Precios mayoristas efectivos'!$M26,'Informacion del AEP'!$B$84:$B$93,0),MATCH('Precios mayoristas efectivos'!P$25,'Informacion del AEP'!$F$82:$K$82,0))/3</f>
        <v>23333333.333333332</v>
      </c>
      <c r="Q26" s="283">
        <f>INDEX('Informacion del AEP'!$F$84:$K$93,MATCH('Precios mayoristas efectivos'!$M26,'Informacion del AEP'!$B$84:$B$93,0),MATCH('Precios mayoristas efectivos'!Q$25,'Informacion del AEP'!$F$82:$K$82,0))/3</f>
        <v>20000000</v>
      </c>
      <c r="R26" s="283">
        <f>INDEX('Informacion del AEP'!$F$84:$K$93,MATCH('Precios mayoristas efectivos'!$M26,'Informacion del AEP'!$B$84:$B$93,0),MATCH('Precios mayoristas efectivos'!R$25,'Informacion del AEP'!$F$82:$K$82,0))/3</f>
        <v>16666666.666666666</v>
      </c>
      <c r="S26" s="283">
        <f>INDEX('Informacion del AEP'!$F$84:$K$93,MATCH('Precios mayoristas efectivos'!$M26,'Informacion del AEP'!$B$84:$B$93,0),MATCH('Precios mayoristas efectivos'!S$25,'Informacion del AEP'!$F$82:$K$82,0))/3</f>
        <v>13333333.333333334</v>
      </c>
      <c r="T26"/>
      <c r="U26"/>
      <c r="V26"/>
      <c r="W26" s="239" t="s">
        <v>168</v>
      </c>
      <c r="X26" s="411">
        <f t="shared" ref="X26:AC28" si="2">X36+X46</f>
        <v>0</v>
      </c>
      <c r="Y26" s="411">
        <f t="shared" si="2"/>
        <v>0</v>
      </c>
      <c r="Z26" s="411">
        <f t="shared" si="2"/>
        <v>0</v>
      </c>
      <c r="AA26" s="411">
        <f t="shared" si="2"/>
        <v>0</v>
      </c>
      <c r="AB26" s="411">
        <f t="shared" si="2"/>
        <v>0</v>
      </c>
      <c r="AC26" s="411">
        <f t="shared" si="2"/>
        <v>0</v>
      </c>
      <c r="AD26" s="168"/>
      <c r="AE26" s="286"/>
      <c r="AF26" s="382">
        <f>INDEX('Precio Mayorista'!$E$26:$J$26,MATCH('Precios mayoristas efectivos'!AF$25,'Precio Mayorista'!$E$20:$J$20,0))</f>
        <v>1000000</v>
      </c>
      <c r="AG26" s="382">
        <f>INDEX('Precio Mayorista'!$E$26:$J$26,MATCH('Precios mayoristas efectivos'!AG$25,'Precio Mayorista'!$E$20:$J$20,0))</f>
        <v>900000</v>
      </c>
      <c r="AH26" s="382">
        <f>INDEX('Precio Mayorista'!$E$26:$J$26,MATCH('Precios mayoristas efectivos'!AH$25,'Precio Mayorista'!$E$20:$J$20,0))</f>
        <v>800000</v>
      </c>
      <c r="AI26" s="382">
        <f>INDEX('Precio Mayorista'!$E$26:$J$26,MATCH('Precios mayoristas efectivos'!AI$25,'Precio Mayorista'!$E$20:$J$20,0))</f>
        <v>700000</v>
      </c>
      <c r="AJ26" s="382">
        <f>INDEX('Precio Mayorista'!$E$26:$J$26,MATCH('Precios mayoristas efectivos'!AJ$25,'Precio Mayorista'!$E$20:$J$20,0))</f>
        <v>600000</v>
      </c>
      <c r="AK26" s="382">
        <f>INDEX('Precio Mayorista'!$E$26:$J$26,MATCH('Precios mayoristas efectivos'!AK$25,'Precio Mayorista'!$E$20:$J$20,0))</f>
        <v>500000</v>
      </c>
      <c r="AM26" s="358"/>
      <c r="AN26" s="283">
        <f t="shared" ref="AN26:AS26" si="3">AN36+AN46</f>
        <v>600000</v>
      </c>
      <c r="AO26" s="283">
        <f t="shared" si="3"/>
        <v>300000</v>
      </c>
      <c r="AP26" s="283">
        <f t="shared" si="3"/>
        <v>0</v>
      </c>
      <c r="AQ26" s="283">
        <f t="shared" si="3"/>
        <v>600000</v>
      </c>
      <c r="AR26" s="283">
        <f t="shared" si="3"/>
        <v>600000</v>
      </c>
      <c r="AS26" s="283">
        <f t="shared" si="3"/>
        <v>300000</v>
      </c>
    </row>
    <row r="27" spans="1:45" s="73" customFormat="1" ht="12" customHeight="1" x14ac:dyDescent="0.2">
      <c r="A27"/>
      <c r="B27" s="426" t="s">
        <v>149</v>
      </c>
      <c r="C27" s="476">
        <f>SUMPRODUCT(F27:K27,N27:S27)/SUM(N27:S27)</f>
        <v>0</v>
      </c>
      <c r="D27"/>
      <c r="E27" s="239" t="s">
        <v>149</v>
      </c>
      <c r="F27" s="436">
        <f t="shared" si="1"/>
        <v>0</v>
      </c>
      <c r="G27" s="436">
        <f t="shared" si="1"/>
        <v>0</v>
      </c>
      <c r="H27" s="436">
        <f t="shared" si="1"/>
        <v>0</v>
      </c>
      <c r="I27" s="436">
        <f t="shared" si="1"/>
        <v>0</v>
      </c>
      <c r="J27" s="436">
        <f t="shared" si="1"/>
        <v>0</v>
      </c>
      <c r="K27" s="436">
        <f t="shared" si="1"/>
        <v>0</v>
      </c>
      <c r="L27"/>
      <c r="M27" s="239" t="s">
        <v>149</v>
      </c>
      <c r="N27" s="283">
        <f>INDEX('Informacion del AEP'!$F$84:$K$93,MATCH('Precios mayoristas efectivos'!$M27,'Informacion del AEP'!$B$84:$B$93,0),MATCH('Precios mayoristas efectivos'!N$25,'Informacion del AEP'!$F$82:$K$82,0))/3</f>
        <v>3333333.3333333335</v>
      </c>
      <c r="O27" s="283">
        <f>INDEX('Informacion del AEP'!$F$84:$K$93,MATCH('Precios mayoristas efectivos'!$M27,'Informacion del AEP'!$B$84:$B$93,0),MATCH('Precios mayoristas efectivos'!O$25,'Informacion del AEP'!$F$82:$K$82,0))/3</f>
        <v>3000000</v>
      </c>
      <c r="P27" s="283">
        <f>INDEX('Informacion del AEP'!$F$84:$K$93,MATCH('Precios mayoristas efectivos'!$M27,'Informacion del AEP'!$B$84:$B$93,0),MATCH('Precios mayoristas efectivos'!P$25,'Informacion del AEP'!$F$82:$K$82,0))/3</f>
        <v>2666666.6666666665</v>
      </c>
      <c r="Q27" s="283">
        <f>INDEX('Informacion del AEP'!$F$84:$K$93,MATCH('Precios mayoristas efectivos'!$M27,'Informacion del AEP'!$B$84:$B$93,0),MATCH('Precios mayoristas efectivos'!Q$25,'Informacion del AEP'!$F$82:$K$82,0))/3</f>
        <v>2333333.3333333335</v>
      </c>
      <c r="R27" s="283">
        <f>INDEX('Informacion del AEP'!$F$84:$K$93,MATCH('Precios mayoristas efectivos'!$M27,'Informacion del AEP'!$B$84:$B$93,0),MATCH('Precios mayoristas efectivos'!R$25,'Informacion del AEP'!$F$82:$K$82,0))/3</f>
        <v>2000000</v>
      </c>
      <c r="S27" s="283">
        <f>INDEX('Informacion del AEP'!$F$84:$K$93,MATCH('Precios mayoristas efectivos'!$M27,'Informacion del AEP'!$B$84:$B$93,0),MATCH('Precios mayoristas efectivos'!S$25,'Informacion del AEP'!$F$82:$K$82,0))/3</f>
        <v>1666666.6666666667</v>
      </c>
      <c r="T27"/>
      <c r="U27"/>
      <c r="V27"/>
      <c r="W27" s="239" t="s">
        <v>149</v>
      </c>
      <c r="X27" s="411">
        <f t="shared" si="2"/>
        <v>0</v>
      </c>
      <c r="Y27" s="411">
        <f t="shared" si="2"/>
        <v>0</v>
      </c>
      <c r="Z27" s="411">
        <f t="shared" si="2"/>
        <v>0</v>
      </c>
      <c r="AA27" s="411">
        <f t="shared" si="2"/>
        <v>0</v>
      </c>
      <c r="AB27" s="411">
        <f t="shared" si="2"/>
        <v>0</v>
      </c>
      <c r="AC27" s="411">
        <f t="shared" si="2"/>
        <v>0</v>
      </c>
      <c r="AD27" s="168"/>
      <c r="AE27" s="286"/>
      <c r="AF27" s="19"/>
      <c r="AG27" s="19"/>
      <c r="AH27" s="19"/>
      <c r="AI27" s="19"/>
      <c r="AJ27" s="19"/>
      <c r="AK27" s="19"/>
      <c r="AM27" s="358"/>
      <c r="AN27"/>
      <c r="AO27"/>
      <c r="AP27"/>
      <c r="AQ27"/>
      <c r="AR27"/>
      <c r="AS27"/>
    </row>
    <row r="28" spans="1:45" s="73" customFormat="1" ht="12" customHeight="1" x14ac:dyDescent="0.2">
      <c r="A28"/>
      <c r="B28" s="426" t="s">
        <v>169</v>
      </c>
      <c r="C28" s="476">
        <f>SUMPRODUCT(F28:K28,N28:S28)/SUM(N28:S28)</f>
        <v>0</v>
      </c>
      <c r="D28"/>
      <c r="E28" s="239" t="s">
        <v>169</v>
      </c>
      <c r="F28" s="436">
        <f t="shared" si="1"/>
        <v>0</v>
      </c>
      <c r="G28" s="436">
        <f t="shared" si="1"/>
        <v>0</v>
      </c>
      <c r="H28" s="436">
        <f t="shared" si="1"/>
        <v>0</v>
      </c>
      <c r="I28" s="436">
        <f t="shared" si="1"/>
        <v>0</v>
      </c>
      <c r="J28" s="436">
        <f t="shared" si="1"/>
        <v>0</v>
      </c>
      <c r="K28" s="436">
        <f t="shared" si="1"/>
        <v>0</v>
      </c>
      <c r="L28"/>
      <c r="M28" s="239" t="s">
        <v>169</v>
      </c>
      <c r="N28" s="283">
        <f>INDEX('Informacion del AEP'!$F$84:$K$93,MATCH('Precios mayoristas efectivos'!$M28,'Informacion del AEP'!$B$84:$B$93,0),MATCH('Precios mayoristas efectivos'!N$25,'Informacion del AEP'!$F$82:$K$82,0))/3</f>
        <v>1666666666.6666667</v>
      </c>
      <c r="O28" s="283">
        <f>INDEX('Informacion del AEP'!$F$84:$K$93,MATCH('Precios mayoristas efectivos'!$M28,'Informacion del AEP'!$B$84:$B$93,0),MATCH('Precios mayoristas efectivos'!O$25,'Informacion del AEP'!$F$82:$K$82,0))/3</f>
        <v>1333333333.3333333</v>
      </c>
      <c r="P28" s="283">
        <f>INDEX('Informacion del AEP'!$F$84:$K$93,MATCH('Precios mayoristas efectivos'!$M28,'Informacion del AEP'!$B$84:$B$93,0),MATCH('Precios mayoristas efectivos'!P$25,'Informacion del AEP'!$F$82:$K$82,0))/3</f>
        <v>1000000000</v>
      </c>
      <c r="Q28" s="283">
        <f>INDEX('Informacion del AEP'!$F$84:$K$93,MATCH('Precios mayoristas efectivos'!$M28,'Informacion del AEP'!$B$84:$B$93,0),MATCH('Precios mayoristas efectivos'!Q$25,'Informacion del AEP'!$F$82:$K$82,0))/3</f>
        <v>666666666.66666663</v>
      </c>
      <c r="R28" s="283">
        <f>INDEX('Informacion del AEP'!$F$84:$K$93,MATCH('Precios mayoristas efectivos'!$M28,'Informacion del AEP'!$B$84:$B$93,0),MATCH('Precios mayoristas efectivos'!R$25,'Informacion del AEP'!$F$82:$K$82,0))/3</f>
        <v>333333333.33333331</v>
      </c>
      <c r="S28" s="283">
        <f>INDEX('Informacion del AEP'!$F$84:$K$93,MATCH('Precios mayoristas efectivos'!$M28,'Informacion del AEP'!$B$84:$B$93,0),MATCH('Precios mayoristas efectivos'!S$25,'Informacion del AEP'!$F$82:$K$82,0))/3</f>
        <v>333333333.33333331</v>
      </c>
      <c r="T28"/>
      <c r="U28"/>
      <c r="V28"/>
      <c r="W28" s="239" t="s">
        <v>169</v>
      </c>
      <c r="X28" s="411">
        <f t="shared" si="2"/>
        <v>0</v>
      </c>
      <c r="Y28" s="411">
        <f t="shared" si="2"/>
        <v>0</v>
      </c>
      <c r="Z28" s="411">
        <f t="shared" si="2"/>
        <v>0</v>
      </c>
      <c r="AA28" s="411">
        <f t="shared" si="2"/>
        <v>0</v>
      </c>
      <c r="AB28" s="411">
        <f t="shared" si="2"/>
        <v>0</v>
      </c>
      <c r="AC28" s="411">
        <f t="shared" si="2"/>
        <v>0</v>
      </c>
      <c r="AD28" s="168"/>
    </row>
    <row r="29" spans="1:45" s="73" customFormat="1" ht="12" customHeight="1" x14ac:dyDescent="0.2">
      <c r="A29"/>
      <c r="B29" s="421"/>
      <c r="C29" s="428"/>
      <c r="D29"/>
      <c r="E29" s="239"/>
      <c r="F29"/>
      <c r="G29"/>
      <c r="H29"/>
      <c r="I29"/>
      <c r="J29"/>
      <c r="K29"/>
      <c r="L29"/>
      <c r="M29" s="239"/>
      <c r="N29" s="283"/>
      <c r="O29" s="283"/>
      <c r="P29" s="283"/>
      <c r="Q29" s="283"/>
      <c r="R29" s="283"/>
      <c r="S29" s="283"/>
      <c r="T29"/>
      <c r="U29"/>
      <c r="V29"/>
      <c r="W29" s="358" t="s">
        <v>0</v>
      </c>
      <c r="X29" s="283">
        <f>SUM(X26:X28)</f>
        <v>0</v>
      </c>
      <c r="Y29" s="283">
        <f t="shared" ref="Y29" si="4">SUM(Y26:Y28)</f>
        <v>0</v>
      </c>
      <c r="Z29" s="283">
        <f t="shared" ref="Z29" si="5">SUM(Z26:Z28)</f>
        <v>0</v>
      </c>
      <c r="AA29" s="283">
        <f t="shared" ref="AA29" si="6">SUM(AA26:AA28)</f>
        <v>0</v>
      </c>
      <c r="AB29" s="283">
        <f t="shared" ref="AB29" si="7">SUM(AB26:AB28)</f>
        <v>0</v>
      </c>
      <c r="AC29" s="283">
        <f t="shared" ref="AC29" si="8">SUM(AC26:AC28)</f>
        <v>0</v>
      </c>
      <c r="AD29" s="168"/>
    </row>
    <row r="30" spans="1:45" s="73" customFormat="1" ht="31.15" customHeight="1" x14ac:dyDescent="0.2">
      <c r="A30"/>
      <c r="B30" s="429"/>
      <c r="C30" s="428"/>
      <c r="D30"/>
      <c r="E30" s="358"/>
      <c r="F30"/>
      <c r="G30"/>
      <c r="H30"/>
      <c r="I30"/>
      <c r="J30"/>
      <c r="K30"/>
      <c r="L30"/>
      <c r="M30" s="488"/>
      <c r="N30" s="488"/>
      <c r="O30" s="488"/>
      <c r="P30" s="488"/>
      <c r="Q30" s="488"/>
      <c r="R30" s="488"/>
      <c r="S30" s="488"/>
      <c r="T30"/>
      <c r="U30"/>
      <c r="V30"/>
      <c r="W30" s="358"/>
      <c r="X30" s="283"/>
      <c r="Y30" s="283"/>
      <c r="Z30" s="283"/>
      <c r="AA30" s="283"/>
      <c r="AB30" s="283"/>
      <c r="AC30" s="283"/>
      <c r="AD30" s="168"/>
    </row>
    <row r="31" spans="1:45" s="73" customFormat="1" ht="12" customHeight="1" x14ac:dyDescent="0.2">
      <c r="A31"/>
      <c r="B31" s="429"/>
      <c r="C31" s="428"/>
      <c r="F31"/>
      <c r="G31"/>
      <c r="H31"/>
      <c r="I31"/>
      <c r="J31"/>
      <c r="K31"/>
      <c r="L31"/>
      <c r="M31"/>
      <c r="N31"/>
      <c r="O31"/>
      <c r="P31"/>
      <c r="Q31"/>
      <c r="R31"/>
      <c r="S31"/>
      <c r="T31"/>
      <c r="U31"/>
      <c r="V31"/>
      <c r="AD31" s="168"/>
    </row>
    <row r="32" spans="1:45" s="73" customFormat="1" ht="12" customHeight="1" x14ac:dyDescent="0.2">
      <c r="A32"/>
      <c r="B32" s="423" t="s">
        <v>152</v>
      </c>
      <c r="C32" s="430"/>
      <c r="D32"/>
      <c r="E32" s="360" t="s">
        <v>152</v>
      </c>
      <c r="L32"/>
      <c r="M32" s="360" t="s">
        <v>288</v>
      </c>
      <c r="N32" s="359"/>
      <c r="O32" s="359"/>
      <c r="P32" s="359"/>
      <c r="Q32" s="359"/>
      <c r="R32" s="359"/>
      <c r="S32" s="359"/>
      <c r="W32" s="360" t="s">
        <v>295</v>
      </c>
      <c r="X32" s="360"/>
      <c r="Y32" s="360"/>
      <c r="Z32" s="360"/>
      <c r="AA32" s="360"/>
      <c r="AB32" s="360"/>
      <c r="AC32" s="360"/>
      <c r="AE32" s="360" t="s">
        <v>294</v>
      </c>
      <c r="AF32" s="360"/>
      <c r="AG32" s="360"/>
      <c r="AH32" s="360"/>
      <c r="AI32" s="360"/>
      <c r="AJ32" s="360"/>
      <c r="AK32" s="360"/>
      <c r="AM32" s="360" t="s">
        <v>296</v>
      </c>
      <c r="AN32" s="360"/>
      <c r="AO32" s="360"/>
      <c r="AP32" s="360"/>
      <c r="AQ32" s="360"/>
      <c r="AR32" s="360"/>
      <c r="AS32" s="360"/>
    </row>
    <row r="33" spans="1:45" s="73" customFormat="1" ht="12" customHeight="1" thickBot="1" x14ac:dyDescent="0.25">
      <c r="A33"/>
      <c r="B33" s="431" t="s">
        <v>170</v>
      </c>
      <c r="C33" s="432">
        <f>SUMPRODUCT(F34:K34,AF26:AK26)/SUM(AF26:AK26)</f>
        <v>0.53333333333333333</v>
      </c>
      <c r="D33"/>
      <c r="E33" s="286" t="s">
        <v>170</v>
      </c>
      <c r="F33" s="19" t="s">
        <v>259</v>
      </c>
      <c r="G33" s="19" t="s">
        <v>260</v>
      </c>
      <c r="H33" s="19" t="s">
        <v>261</v>
      </c>
      <c r="I33" s="19" t="s">
        <v>262</v>
      </c>
      <c r="J33" s="19" t="s">
        <v>263</v>
      </c>
      <c r="K33" s="19" t="s">
        <v>264</v>
      </c>
      <c r="L33"/>
      <c r="M33"/>
      <c r="N33"/>
      <c r="O33"/>
      <c r="P33"/>
      <c r="Q33"/>
      <c r="R33"/>
      <c r="S33"/>
      <c r="T33"/>
      <c r="U33"/>
      <c r="V33"/>
    </row>
    <row r="34" spans="1:45" s="73" customFormat="1" ht="12" customHeight="1" x14ac:dyDescent="0.2">
      <c r="A34"/>
      <c r="C34" s="414"/>
      <c r="D34"/>
      <c r="E34" s="286"/>
      <c r="F34" s="437">
        <f t="shared" ref="F34:K34" si="9">AN26/AF26</f>
        <v>0.6</v>
      </c>
      <c r="G34" s="437">
        <f t="shared" si="9"/>
        <v>0.33333333333333331</v>
      </c>
      <c r="H34" s="437">
        <f t="shared" si="9"/>
        <v>0</v>
      </c>
      <c r="I34" s="437">
        <f t="shared" si="9"/>
        <v>0.8571428571428571</v>
      </c>
      <c r="J34" s="437">
        <f t="shared" si="9"/>
        <v>1</v>
      </c>
      <c r="K34" s="437">
        <f t="shared" si="9"/>
        <v>0.6</v>
      </c>
      <c r="L34"/>
      <c r="M34" s="18"/>
      <c r="N34" s="304"/>
      <c r="O34"/>
      <c r="P34"/>
      <c r="Q34"/>
      <c r="R34"/>
      <c r="S34"/>
      <c r="T34"/>
      <c r="U34"/>
      <c r="V34"/>
    </row>
    <row r="35" spans="1:45" s="73" customFormat="1" ht="12" customHeight="1" x14ac:dyDescent="0.2">
      <c r="A35"/>
      <c r="B35"/>
      <c r="C35"/>
      <c r="D35"/>
      <c r="E35" s="286"/>
      <c r="F35" s="19"/>
      <c r="G35" s="19"/>
      <c r="H35" s="19"/>
      <c r="I35" s="19"/>
      <c r="J35" s="19"/>
      <c r="K35" s="19"/>
      <c r="L35"/>
      <c r="M35" s="381" t="s">
        <v>172</v>
      </c>
      <c r="N35" s="304" t="s">
        <v>259</v>
      </c>
      <c r="O35" s="304" t="s">
        <v>260</v>
      </c>
      <c r="P35" s="304" t="s">
        <v>261</v>
      </c>
      <c r="Q35" s="304" t="s">
        <v>262</v>
      </c>
      <c r="R35" s="304" t="s">
        <v>263</v>
      </c>
      <c r="S35" s="304" t="s">
        <v>264</v>
      </c>
      <c r="T35"/>
      <c r="U35"/>
      <c r="V35"/>
      <c r="W35" s="286" t="s">
        <v>170</v>
      </c>
      <c r="X35" s="412" t="s">
        <v>259</v>
      </c>
      <c r="Y35" s="412" t="s">
        <v>260</v>
      </c>
      <c r="Z35" s="412" t="s">
        <v>261</v>
      </c>
      <c r="AA35" s="412" t="s">
        <v>262</v>
      </c>
      <c r="AB35" s="412" t="s">
        <v>263</v>
      </c>
      <c r="AC35" s="412" t="s">
        <v>264</v>
      </c>
      <c r="AE35" s="286" t="s">
        <v>172</v>
      </c>
      <c r="AF35" s="19" t="s">
        <v>259</v>
      </c>
      <c r="AG35" s="19" t="s">
        <v>260</v>
      </c>
      <c r="AH35" s="19" t="s">
        <v>261</v>
      </c>
      <c r="AI35" s="19" t="s">
        <v>262</v>
      </c>
      <c r="AJ35" s="19" t="s">
        <v>263</v>
      </c>
      <c r="AK35" s="19" t="s">
        <v>264</v>
      </c>
      <c r="AL35"/>
      <c r="AM35" s="286" t="s">
        <v>170</v>
      </c>
      <c r="AN35" s="304" t="s">
        <v>259</v>
      </c>
      <c r="AO35" s="304" t="s">
        <v>260</v>
      </c>
      <c r="AP35" s="304" t="s">
        <v>261</v>
      </c>
      <c r="AQ35" s="304" t="s">
        <v>262</v>
      </c>
      <c r="AR35" s="304" t="s">
        <v>263</v>
      </c>
      <c r="AS35" s="304" t="s">
        <v>264</v>
      </c>
    </row>
    <row r="36" spans="1:45" s="73" customFormat="1" ht="12" customHeight="1" x14ac:dyDescent="0.2">
      <c r="A36"/>
      <c r="B36"/>
      <c r="C36"/>
      <c r="D36"/>
      <c r="E36" s="286"/>
      <c r="F36" s="19"/>
      <c r="G36" s="19"/>
      <c r="H36" s="19"/>
      <c r="I36" s="19"/>
      <c r="J36" s="19"/>
      <c r="K36" s="19"/>
      <c r="L36"/>
      <c r="M36" s="239" t="s">
        <v>287</v>
      </c>
      <c r="N36" s="387">
        <f t="shared" ref="N36:S38" si="10">N$39*N53</f>
        <v>42352941.176470585</v>
      </c>
      <c r="O36" s="387">
        <f t="shared" si="10"/>
        <v>46955245.781364635</v>
      </c>
      <c r="P36" s="387">
        <f t="shared" si="10"/>
        <v>25016244.314489927</v>
      </c>
      <c r="Q36" s="387">
        <f t="shared" si="10"/>
        <v>21770682.148040637</v>
      </c>
      <c r="R36" s="387">
        <f t="shared" si="10"/>
        <v>18939393.939393938</v>
      </c>
      <c r="S36" s="387">
        <f t="shared" si="10"/>
        <v>15311004.784688998</v>
      </c>
      <c r="T36"/>
      <c r="U36"/>
      <c r="V36"/>
      <c r="W36" s="239" t="s">
        <v>168</v>
      </c>
      <c r="X36" s="283">
        <f t="shared" ref="X36:AC38" si="11">X$39*X53</f>
        <v>0</v>
      </c>
      <c r="Y36" s="283">
        <f t="shared" si="11"/>
        <v>0</v>
      </c>
      <c r="Z36" s="283">
        <f t="shared" si="11"/>
        <v>0</v>
      </c>
      <c r="AA36" s="283">
        <f t="shared" si="11"/>
        <v>0</v>
      </c>
      <c r="AB36" s="283">
        <f t="shared" si="11"/>
        <v>0</v>
      </c>
      <c r="AC36" s="283">
        <f t="shared" si="11"/>
        <v>0</v>
      </c>
      <c r="AD36"/>
      <c r="AE36" s="286"/>
      <c r="AF36" s="382">
        <f>INDEX('Precio Mayorista'!$E$27:$J$27,MATCH('Precios mayoristas efectivos'!AF$35,'Precio Mayorista'!$E$20:$J$20,0))</f>
        <v>800000</v>
      </c>
      <c r="AG36" s="382">
        <f>INDEX('Precio Mayorista'!$E$27:$J$27,MATCH('Precios mayoristas efectivos'!AG$35,'Precio Mayorista'!$E$20:$J$20,0))</f>
        <v>800000</v>
      </c>
      <c r="AH36" s="382">
        <f>INDEX('Precio Mayorista'!$E$27:$J$27,MATCH('Precios mayoristas efectivos'!AH$35,'Precio Mayorista'!$E$20:$J$20,0))</f>
        <v>800000</v>
      </c>
      <c r="AI36" s="382">
        <f>INDEX('Precio Mayorista'!$E$27:$J$27,MATCH('Precios mayoristas efectivos'!AI$35,'Precio Mayorista'!$E$20:$J$20,0))</f>
        <v>500000</v>
      </c>
      <c r="AJ36" s="382">
        <f>INDEX('Precio Mayorista'!$E$27:$J$27,MATCH('Precios mayoristas efectivos'!AJ$35,'Precio Mayorista'!$E$20:$J$20,0))</f>
        <v>400000</v>
      </c>
      <c r="AK36" s="382">
        <f>INDEX('Precio Mayorista'!$E$27:$J$27,MATCH('Precios mayoristas efectivos'!AK$35,'Precio Mayorista'!$E$20:$J$20,0))</f>
        <v>400000</v>
      </c>
      <c r="AL36"/>
      <c r="AM36" s="415"/>
      <c r="AN36" s="382">
        <f>INDEX('Precio Mayorista'!$D$63:$J$63,1,MATCH('Precio Mayorista'!E$24,'Precio Mayorista'!$D$29:$J$29,0))</f>
        <v>0</v>
      </c>
      <c r="AO36" s="382">
        <f>INDEX('Precio Mayorista'!$D$63:$J$63,1,MATCH('Precio Mayorista'!F$24,'Precio Mayorista'!$D$29:$J$29,0))</f>
        <v>0</v>
      </c>
      <c r="AP36" s="382">
        <f>INDEX('Precio Mayorista'!$D$63:$J$63,1,MATCH('Precio Mayorista'!G$24,'Precio Mayorista'!$D$29:$J$29,0))</f>
        <v>0</v>
      </c>
      <c r="AQ36" s="382">
        <f>INDEX('Precio Mayorista'!$D$63:$J$63,1,MATCH('Precio Mayorista'!H$24,'Precio Mayorista'!$D$29:$J$29,0))</f>
        <v>0</v>
      </c>
      <c r="AR36" s="382">
        <f>INDEX('Precio Mayorista'!$D$63:$J$63,1,MATCH('Precio Mayorista'!I$24,'Precio Mayorista'!$D$29:$J$29,0))</f>
        <v>0</v>
      </c>
      <c r="AS36" s="382">
        <f>INDEX('Precio Mayorista'!$D$63:$J$63,1,MATCH('Precio Mayorista'!J$24,'Precio Mayorista'!$D$29:$J$29,0))</f>
        <v>0</v>
      </c>
    </row>
    <row r="37" spans="1:45" s="73" customFormat="1" x14ac:dyDescent="0.2">
      <c r="A37"/>
      <c r="B37"/>
      <c r="C37"/>
      <c r="D37"/>
      <c r="E37"/>
      <c r="F37"/>
      <c r="G37"/>
      <c r="H37"/>
      <c r="I37"/>
      <c r="J37"/>
      <c r="K37"/>
      <c r="L37"/>
      <c r="M37" s="358" t="s">
        <v>149</v>
      </c>
      <c r="N37" s="387">
        <f t="shared" si="10"/>
        <v>4705882.3529411769</v>
      </c>
      <c r="O37" s="387">
        <f t="shared" si="10"/>
        <v>5282465.150403522</v>
      </c>
      <c r="P37" s="387">
        <f t="shared" si="10"/>
        <v>2858999.3502274202</v>
      </c>
      <c r="Q37" s="387">
        <f t="shared" si="10"/>
        <v>2539912.9172714083</v>
      </c>
      <c r="R37" s="387">
        <f t="shared" si="10"/>
        <v>2272727.2727272729</v>
      </c>
      <c r="S37" s="387">
        <f t="shared" si="10"/>
        <v>1913875.5980861248</v>
      </c>
      <c r="T37"/>
      <c r="U37"/>
      <c r="V37"/>
      <c r="W37" s="358" t="s">
        <v>149</v>
      </c>
      <c r="X37" s="382">
        <f t="shared" si="11"/>
        <v>0</v>
      </c>
      <c r="Y37" s="382">
        <f t="shared" si="11"/>
        <v>0</v>
      </c>
      <c r="Z37" s="382">
        <f t="shared" si="11"/>
        <v>0</v>
      </c>
      <c r="AA37" s="382">
        <f t="shared" si="11"/>
        <v>0</v>
      </c>
      <c r="AB37" s="382">
        <f t="shared" si="11"/>
        <v>0</v>
      </c>
      <c r="AC37" s="382">
        <f t="shared" si="11"/>
        <v>0</v>
      </c>
      <c r="AD37"/>
      <c r="AE37" s="286"/>
      <c r="AF37" s="19"/>
      <c r="AG37" s="19"/>
      <c r="AH37" s="19"/>
      <c r="AI37" s="19"/>
      <c r="AJ37" s="19"/>
      <c r="AK37" s="19"/>
      <c r="AL37"/>
      <c r="AM37"/>
      <c r="AN37"/>
      <c r="AO37"/>
      <c r="AP37"/>
      <c r="AQ37"/>
      <c r="AR37"/>
      <c r="AS37"/>
    </row>
    <row r="38" spans="1:45" s="73" customFormat="1" ht="25.5" x14ac:dyDescent="0.2">
      <c r="M38" s="358" t="s">
        <v>169</v>
      </c>
      <c r="N38" s="387">
        <f>N$39*N55</f>
        <v>2352941176.4705882</v>
      </c>
      <c r="O38" s="387">
        <f t="shared" si="10"/>
        <v>2347762289.0682316</v>
      </c>
      <c r="P38" s="387">
        <f t="shared" si="10"/>
        <v>1072124756.3352826</v>
      </c>
      <c r="Q38" s="387">
        <f t="shared" si="10"/>
        <v>725689404.93468797</v>
      </c>
      <c r="R38" s="387">
        <f t="shared" si="10"/>
        <v>378787878.78787875</v>
      </c>
      <c r="S38" s="387">
        <f t="shared" si="10"/>
        <v>382775119.61722487</v>
      </c>
      <c r="T38"/>
      <c r="U38"/>
      <c r="V38"/>
      <c r="W38" s="358" t="s">
        <v>169</v>
      </c>
      <c r="X38" s="382">
        <f t="shared" si="11"/>
        <v>0</v>
      </c>
      <c r="Y38" s="382">
        <f t="shared" si="11"/>
        <v>0</v>
      </c>
      <c r="Z38" s="382">
        <f t="shared" si="11"/>
        <v>0</v>
      </c>
      <c r="AA38" s="382">
        <f t="shared" si="11"/>
        <v>0</v>
      </c>
      <c r="AB38" s="382">
        <f t="shared" si="11"/>
        <v>0</v>
      </c>
      <c r="AC38" s="382">
        <f t="shared" si="11"/>
        <v>0</v>
      </c>
      <c r="AD38"/>
      <c r="AE38"/>
      <c r="AF38"/>
      <c r="AG38"/>
      <c r="AH38"/>
      <c r="AI38"/>
      <c r="AJ38"/>
      <c r="AK38"/>
      <c r="AL38"/>
      <c r="AM38"/>
      <c r="AN38"/>
      <c r="AO38"/>
      <c r="AP38"/>
      <c r="AQ38"/>
      <c r="AR38"/>
      <c r="AS38"/>
    </row>
    <row r="39" spans="1:45" s="73" customFormat="1" x14ac:dyDescent="0.2">
      <c r="A39"/>
      <c r="B39"/>
      <c r="C39"/>
      <c r="D39"/>
      <c r="E39"/>
      <c r="F39"/>
      <c r="G39"/>
      <c r="H39"/>
      <c r="I39"/>
      <c r="J39"/>
      <c r="K39"/>
      <c r="L39"/>
      <c r="M39" s="358" t="s">
        <v>0</v>
      </c>
      <c r="N39" s="382">
        <f>INDEX('Precio Mayorista'!$D$35:$J$35,MATCH('Precio Mayorista'!E$24,'Precio Mayorista'!$D$29:$J$29,0))</f>
        <v>2400000000</v>
      </c>
      <c r="O39" s="382">
        <f>INDEX('Precio Mayorista'!$D$35:$J$35,MATCH('Precio Mayorista'!F$24,'Precio Mayorista'!$D$29:$J$29,0))</f>
        <v>2400000000</v>
      </c>
      <c r="P39" s="382">
        <f>INDEX('Precio Mayorista'!$D$35:$J$35,MATCH('Precio Mayorista'!G$24,'Precio Mayorista'!$D$29:$J$29,0))</f>
        <v>1100000000</v>
      </c>
      <c r="Q39" s="382">
        <f>INDEX('Precio Mayorista'!$D$35:$J$35,MATCH('Precio Mayorista'!H$24,'Precio Mayorista'!$D$29:$J$29,0))</f>
        <v>750000000</v>
      </c>
      <c r="R39" s="382">
        <f>INDEX('Precio Mayorista'!$D$35:$J$35,MATCH('Precio Mayorista'!I$24,'Precio Mayorista'!$D$29:$J$29,0))</f>
        <v>400000000</v>
      </c>
      <c r="S39" s="382">
        <f>INDEX('Precio Mayorista'!$D$35:$J$35,MATCH('Precio Mayorista'!J$24,'Precio Mayorista'!$D$29:$J$29,0))</f>
        <v>400000000</v>
      </c>
      <c r="T39"/>
      <c r="U39"/>
      <c r="V39"/>
      <c r="W39" s="358" t="s">
        <v>0</v>
      </c>
      <c r="X39" s="382">
        <f>INDEX('Precio Mayorista'!$D$51:$J$51,MATCH('Precio Mayorista'!E$24,'Precio Mayorista'!$D$29:$J$29,0))</f>
        <v>0</v>
      </c>
      <c r="Y39" s="382">
        <f>INDEX('Precio Mayorista'!$D$51:$J$51,MATCH('Precio Mayorista'!F$24,'Precio Mayorista'!$D$29:$J$29,0))</f>
        <v>0</v>
      </c>
      <c r="Z39" s="382">
        <f>INDEX('Precio Mayorista'!$D$51:$J$51,MATCH('Precio Mayorista'!G$24,'Precio Mayorista'!$D$29:$J$29,0))</f>
        <v>0</v>
      </c>
      <c r="AA39" s="382">
        <f>INDEX('Precio Mayorista'!$D$51:$J$51,MATCH('Precio Mayorista'!H$24,'Precio Mayorista'!$D$29:$J$29,0))</f>
        <v>0</v>
      </c>
      <c r="AB39" s="382">
        <f>INDEX('Precio Mayorista'!$D$51:$J$51,MATCH('Precio Mayorista'!I$24,'Precio Mayorista'!$D$29:$J$29,0))</f>
        <v>0</v>
      </c>
      <c r="AC39" s="382">
        <f>INDEX('Precio Mayorista'!$D$51:$J$51,MATCH('Precio Mayorista'!J$24,'Precio Mayorista'!$D$29:$J$29,0))</f>
        <v>0</v>
      </c>
      <c r="AD39"/>
      <c r="AE39"/>
      <c r="AF39"/>
      <c r="AG39"/>
      <c r="AH39"/>
      <c r="AI39"/>
      <c r="AJ39"/>
      <c r="AK39"/>
      <c r="AL39"/>
      <c r="AM39"/>
      <c r="AN39"/>
      <c r="AO39"/>
      <c r="AP39"/>
      <c r="AQ39"/>
      <c r="AR39"/>
      <c r="AS39"/>
    </row>
    <row r="40" spans="1:45" s="73" customFormat="1" x14ac:dyDescent="0.2">
      <c r="A40" s="362"/>
      <c r="B40" s="362"/>
      <c r="C40" s="362"/>
      <c r="D40" s="362"/>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row>
    <row r="41" spans="1:45" s="73" customFormat="1" x14ac:dyDescent="0.2">
      <c r="A41"/>
      <c r="B41"/>
      <c r="C41"/>
      <c r="D41"/>
      <c r="E41"/>
      <c r="F41"/>
      <c r="G41"/>
      <c r="H41"/>
      <c r="I41"/>
      <c r="J41"/>
      <c r="K41"/>
      <c r="L41" s="157"/>
      <c r="M41"/>
      <c r="N41"/>
      <c r="O41"/>
      <c r="P41"/>
      <c r="Q41"/>
      <c r="R41"/>
      <c r="S41"/>
      <c r="T41"/>
      <c r="U41"/>
      <c r="V41"/>
      <c r="W41"/>
      <c r="X41"/>
      <c r="Y41"/>
      <c r="Z41"/>
      <c r="AA41"/>
      <c r="AB41"/>
      <c r="AC41"/>
      <c r="AD41"/>
      <c r="AE41"/>
      <c r="AF41"/>
      <c r="AG41"/>
      <c r="AH41"/>
      <c r="AI41"/>
      <c r="AJ41"/>
      <c r="AK41"/>
      <c r="AL41"/>
      <c r="AM41"/>
      <c r="AN41"/>
      <c r="AO41"/>
      <c r="AP41"/>
      <c r="AQ41"/>
      <c r="AR41"/>
      <c r="AS41"/>
    </row>
    <row r="42" spans="1:45" x14ac:dyDescent="0.2">
      <c r="L42" s="391"/>
    </row>
    <row r="43" spans="1:45" x14ac:dyDescent="0.2">
      <c r="L43" s="392"/>
      <c r="M43" s="360" t="s">
        <v>289</v>
      </c>
      <c r="N43" s="360"/>
      <c r="O43" s="360"/>
      <c r="P43" s="360"/>
      <c r="Q43" s="360"/>
      <c r="R43" s="360"/>
      <c r="S43" s="360"/>
      <c r="W43" s="360" t="s">
        <v>291</v>
      </c>
      <c r="X43" s="360"/>
      <c r="Y43" s="360"/>
      <c r="Z43" s="360"/>
      <c r="AA43" s="360"/>
      <c r="AB43" s="360"/>
      <c r="AC43" s="360"/>
      <c r="AE43" s="360" t="s">
        <v>303</v>
      </c>
      <c r="AF43" s="360"/>
      <c r="AG43" s="360"/>
      <c r="AH43" s="360"/>
      <c r="AI43" s="360"/>
      <c r="AJ43" s="360"/>
      <c r="AK43" s="360"/>
      <c r="AM43" s="360" t="s">
        <v>305</v>
      </c>
      <c r="AN43" s="360"/>
      <c r="AO43" s="360"/>
      <c r="AP43" s="360"/>
      <c r="AQ43" s="360"/>
      <c r="AR43" s="360"/>
      <c r="AS43" s="360"/>
    </row>
    <row r="44" spans="1:45" x14ac:dyDescent="0.2">
      <c r="L44" s="392"/>
      <c r="X44" s="283"/>
      <c r="Y44" s="283"/>
      <c r="Z44" s="283"/>
      <c r="AA44" s="283"/>
      <c r="AB44" s="283"/>
      <c r="AC44" s="283"/>
    </row>
    <row r="45" spans="1:45" x14ac:dyDescent="0.2">
      <c r="L45" s="393"/>
      <c r="M45" s="286" t="s">
        <v>172</v>
      </c>
      <c r="N45" s="19" t="s">
        <v>259</v>
      </c>
      <c r="O45" s="19" t="s">
        <v>260</v>
      </c>
      <c r="P45" s="19" t="s">
        <v>261</v>
      </c>
      <c r="Q45" s="19" t="s">
        <v>262</v>
      </c>
      <c r="R45" s="19" t="s">
        <v>263</v>
      </c>
      <c r="S45" s="19" t="s">
        <v>264</v>
      </c>
      <c r="W45" s="381" t="s">
        <v>170</v>
      </c>
      <c r="X45" s="413" t="s">
        <v>259</v>
      </c>
      <c r="Y45" s="413" t="s">
        <v>260</v>
      </c>
      <c r="Z45" s="413" t="s">
        <v>261</v>
      </c>
      <c r="AA45" s="413" t="s">
        <v>262</v>
      </c>
      <c r="AB45" s="413" t="s">
        <v>263</v>
      </c>
      <c r="AC45" s="413" t="s">
        <v>264</v>
      </c>
      <c r="AE45" s="286" t="s">
        <v>172</v>
      </c>
      <c r="AF45" s="19" t="s">
        <v>259</v>
      </c>
      <c r="AG45" s="19" t="s">
        <v>260</v>
      </c>
      <c r="AH45" s="19" t="s">
        <v>261</v>
      </c>
      <c r="AI45" s="19" t="s">
        <v>262</v>
      </c>
      <c r="AJ45" s="19" t="s">
        <v>263</v>
      </c>
      <c r="AK45" s="19" t="s">
        <v>264</v>
      </c>
      <c r="AM45" s="286" t="s">
        <v>170</v>
      </c>
      <c r="AN45" s="19" t="s">
        <v>259</v>
      </c>
      <c r="AO45" s="19" t="s">
        <v>260</v>
      </c>
      <c r="AP45" s="19" t="s">
        <v>261</v>
      </c>
      <c r="AQ45" s="19" t="s">
        <v>262</v>
      </c>
      <c r="AR45" s="19" t="s">
        <v>263</v>
      </c>
      <c r="AS45" s="19" t="s">
        <v>264</v>
      </c>
    </row>
    <row r="46" spans="1:45" ht="25.5" x14ac:dyDescent="0.2">
      <c r="M46" s="239" t="s">
        <v>168</v>
      </c>
      <c r="N46" s="411">
        <f t="shared" ref="N46:O47" si="12">IF((N26-N36)&lt;=0,0,N26-N36)</f>
        <v>0</v>
      </c>
      <c r="O46" s="411">
        <f t="shared" si="12"/>
        <v>0</v>
      </c>
      <c r="P46" s="411">
        <f t="shared" ref="P46:S46" si="13">IF((P26-P36)&lt;=0,0,P26-P36)</f>
        <v>0</v>
      </c>
      <c r="Q46" s="411">
        <f t="shared" si="13"/>
        <v>0</v>
      </c>
      <c r="R46" s="411">
        <f t="shared" si="13"/>
        <v>0</v>
      </c>
      <c r="S46" s="411">
        <f t="shared" si="13"/>
        <v>0</v>
      </c>
      <c r="W46" s="358" t="s">
        <v>168</v>
      </c>
      <c r="X46" s="385">
        <f>N46*INDEX('Precio Mayorista'!$D$54:$J$56,MATCH($W46,'Precio Mayorista'!$C$54:$C$56,0),MATCH('Precio Mayorista'!E$24,'Precio Mayorista'!$D$29:$J$29,0))</f>
        <v>0</v>
      </c>
      <c r="Y46" s="385">
        <f>O46*INDEX('Precio Mayorista'!$D$54:$J$56,MATCH($W46,'Precio Mayorista'!$C$54:$C$56,0),MATCH('Precio Mayorista'!F$24,'Precio Mayorista'!$D$29:$J$29,0))</f>
        <v>0</v>
      </c>
      <c r="Z46" s="385">
        <f>P46*INDEX('Precio Mayorista'!$D$54:$J$56,MATCH($W46,'Precio Mayorista'!$C$54:$C$56,0),MATCH('Precio Mayorista'!G$24,'Precio Mayorista'!$D$29:$J$29,0))</f>
        <v>0</v>
      </c>
      <c r="AA46" s="385">
        <f>Q46*INDEX('Precio Mayorista'!$D$54:$J$56,MATCH($W46,'Precio Mayorista'!$C$54:$C$56,0),MATCH('Precio Mayorista'!H$24,'Precio Mayorista'!$D$29:$J$29,0))</f>
        <v>0</v>
      </c>
      <c r="AB46" s="385">
        <f>R46*INDEX('Precio Mayorista'!$D$54:$J$56,MATCH($W46,'Precio Mayorista'!$C$54:$C$56,0),MATCH('Precio Mayorista'!I$24,'Precio Mayorista'!$D$29:$J$29,0))</f>
        <v>0</v>
      </c>
      <c r="AC46" s="385">
        <f>S46*INDEX('Precio Mayorista'!$D$54:$J$56,MATCH($W46,'Precio Mayorista'!$C$54:$C$56,0),MATCH('Precio Mayorista'!J$24,'Precio Mayorista'!$D$29:$J$29,0))</f>
        <v>0</v>
      </c>
      <c r="AE46" s="286"/>
      <c r="AF46" s="283">
        <f t="shared" ref="AF46:AK46" si="14">AF26-AF36</f>
        <v>200000</v>
      </c>
      <c r="AG46" s="283">
        <f t="shared" si="14"/>
        <v>100000</v>
      </c>
      <c r="AH46" s="283">
        <f t="shared" si="14"/>
        <v>0</v>
      </c>
      <c r="AI46" s="283">
        <f t="shared" si="14"/>
        <v>200000</v>
      </c>
      <c r="AJ46" s="283">
        <f t="shared" si="14"/>
        <v>200000</v>
      </c>
      <c r="AK46" s="283">
        <f t="shared" si="14"/>
        <v>100000</v>
      </c>
      <c r="AM46" s="286"/>
      <c r="AN46" s="385">
        <f>AF46*INDEX('Precio Mayorista'!$D$66:$J$66,MATCH('Precio Mayorista'!E24,'Precio Mayorista'!$D$29:$J$29,0))</f>
        <v>600000</v>
      </c>
      <c r="AO46" s="385">
        <f>AG46*INDEX('Precio Mayorista'!$D$66:$J$66,MATCH('Precio Mayorista'!F24,'Precio Mayorista'!$D$29:$J$29,0))</f>
        <v>300000</v>
      </c>
      <c r="AP46" s="385">
        <f>AH46*INDEX('Precio Mayorista'!$D$66:$J$66,MATCH('Precio Mayorista'!G24,'Precio Mayorista'!$D$29:$J$29,0))</f>
        <v>0</v>
      </c>
      <c r="AQ46" s="385">
        <f>AI46*INDEX('Precio Mayorista'!$D$66:$J$66,MATCH('Precio Mayorista'!H24,'Precio Mayorista'!$D$29:$J$29,0))</f>
        <v>600000</v>
      </c>
      <c r="AR46" s="385">
        <f>AJ46*INDEX('Precio Mayorista'!$D$66:$J$66,MATCH('Precio Mayorista'!I24,'Precio Mayorista'!$D$29:$J$29,0))</f>
        <v>600000</v>
      </c>
      <c r="AS46" s="385">
        <f>AK46*INDEX('Precio Mayorista'!$D$66:$J$66,MATCH('Precio Mayorista'!J24,'Precio Mayorista'!$D$29:$J$29,0))</f>
        <v>300000</v>
      </c>
    </row>
    <row r="47" spans="1:45" x14ac:dyDescent="0.2">
      <c r="M47" s="239" t="s">
        <v>149</v>
      </c>
      <c r="N47" s="411">
        <f t="shared" si="12"/>
        <v>0</v>
      </c>
      <c r="O47" s="411">
        <f t="shared" si="12"/>
        <v>0</v>
      </c>
      <c r="P47" s="411">
        <f t="shared" ref="P47:S47" si="15">IF((P27-P37)&lt;=0,0,P27-P37)</f>
        <v>0</v>
      </c>
      <c r="Q47" s="411">
        <f t="shared" si="15"/>
        <v>0</v>
      </c>
      <c r="R47" s="411">
        <f t="shared" si="15"/>
        <v>0</v>
      </c>
      <c r="S47" s="411">
        <f t="shared" si="15"/>
        <v>0</v>
      </c>
      <c r="W47" s="358" t="s">
        <v>149</v>
      </c>
      <c r="X47" s="385">
        <f>N47*INDEX('Precio Mayorista'!$D$54:$J$56,MATCH($W47,'Precio Mayorista'!$C$54:$C$56,0),MATCH('Precio Mayorista'!E$24,'Precio Mayorista'!$D$29:$J$29,0))</f>
        <v>0</v>
      </c>
      <c r="Y47" s="385">
        <f>O47*INDEX('Precio Mayorista'!$D$54:$J$56,MATCH($W47,'Precio Mayorista'!$C$54:$C$56,0),MATCH('Precio Mayorista'!F$24,'Precio Mayorista'!$D$29:$J$29,0))</f>
        <v>0</v>
      </c>
      <c r="Z47" s="385">
        <f>P47*INDEX('Precio Mayorista'!$D$54:$J$56,MATCH($W47,'Precio Mayorista'!$C$54:$C$56,0),MATCH('Precio Mayorista'!G$24,'Precio Mayorista'!$D$29:$J$29,0))</f>
        <v>0</v>
      </c>
      <c r="AA47" s="385">
        <f>Q47*INDEX('Precio Mayorista'!$D$54:$J$56,MATCH($W47,'Precio Mayorista'!$C$54:$C$56,0),MATCH('Precio Mayorista'!H$24,'Precio Mayorista'!$D$29:$J$29,0))</f>
        <v>0</v>
      </c>
      <c r="AB47" s="385">
        <f>R47*INDEX('Precio Mayorista'!$D$54:$J$56,MATCH($W47,'Precio Mayorista'!$C$54:$C$56,0),MATCH('Precio Mayorista'!I$24,'Precio Mayorista'!$D$29:$J$29,0))</f>
        <v>0</v>
      </c>
      <c r="AC47" s="385">
        <f>S47*INDEX('Precio Mayorista'!$D$54:$J$56,MATCH($W47,'Precio Mayorista'!$C$54:$C$56,0),MATCH('Precio Mayorista'!J$24,'Precio Mayorista'!$D$29:$J$29,0))</f>
        <v>0</v>
      </c>
      <c r="AD47" s="73"/>
      <c r="AE47" s="73"/>
      <c r="AF47" s="73"/>
      <c r="AG47" s="73"/>
      <c r="AH47" s="73"/>
    </row>
    <row r="48" spans="1:45" ht="25.5" x14ac:dyDescent="0.2">
      <c r="A48" s="18"/>
      <c r="B48" s="18"/>
      <c r="C48" s="18"/>
      <c r="D48" s="18"/>
      <c r="M48" s="239" t="s">
        <v>169</v>
      </c>
      <c r="N48" s="411">
        <f>IF((N28-N38)&lt;=0,0,N28-N38)</f>
        <v>0</v>
      </c>
      <c r="O48" s="411">
        <f t="shared" ref="O48" si="16">IF((O28-O38)&lt;=0,0,O28-O38)</f>
        <v>0</v>
      </c>
      <c r="P48" s="411">
        <f t="shared" ref="P48:S48" si="17">IF((P28-P38)&lt;=0,0,P28-P38)</f>
        <v>0</v>
      </c>
      <c r="Q48" s="411">
        <f t="shared" si="17"/>
        <v>0</v>
      </c>
      <c r="R48" s="411">
        <f t="shared" si="17"/>
        <v>0</v>
      </c>
      <c r="S48" s="411">
        <f t="shared" si="17"/>
        <v>0</v>
      </c>
      <c r="W48" s="358" t="s">
        <v>169</v>
      </c>
      <c r="X48" s="385">
        <f>N48*INDEX('Precio Mayorista'!$D$54:$J$56,MATCH($W48,'Precio Mayorista'!$C$54:$C$56,0),MATCH('Precio Mayorista'!E$24,'Precio Mayorista'!$D$29:$J$29,0))</f>
        <v>0</v>
      </c>
      <c r="Y48" s="385">
        <f>O48*INDEX('Precio Mayorista'!$D$54:$J$56,MATCH($W48,'Precio Mayorista'!$C$54:$C$56,0),MATCH('Precio Mayorista'!F$24,'Precio Mayorista'!$D$29:$J$29,0))</f>
        <v>0</v>
      </c>
      <c r="Z48" s="385">
        <f>P48*INDEX('Precio Mayorista'!$D$54:$J$56,MATCH($W48,'Precio Mayorista'!$C$54:$C$56,0),MATCH('Precio Mayorista'!G$24,'Precio Mayorista'!$D$29:$J$29,0))</f>
        <v>0</v>
      </c>
      <c r="AA48" s="385">
        <f>Q48*INDEX('Precio Mayorista'!$D$54:$J$56,MATCH($W48,'Precio Mayorista'!$C$54:$C$56,0),MATCH('Precio Mayorista'!H$24,'Precio Mayorista'!$D$29:$J$29,0))</f>
        <v>0</v>
      </c>
      <c r="AB48" s="385">
        <f>R48*INDEX('Precio Mayorista'!$D$54:$J$56,MATCH($W48,'Precio Mayorista'!$C$54:$C$56,0),MATCH('Precio Mayorista'!I$24,'Precio Mayorista'!$D$29:$J$29,0))</f>
        <v>0</v>
      </c>
      <c r="AC48" s="385">
        <f>S48*INDEX('Precio Mayorista'!$D$54:$J$56,MATCH($W48,'Precio Mayorista'!$C$54:$C$56,0),MATCH('Precio Mayorista'!J$24,'Precio Mayorista'!$D$29:$J$29,0))</f>
        <v>0</v>
      </c>
      <c r="AD48" s="73"/>
      <c r="AE48" s="73"/>
      <c r="AF48" s="73"/>
      <c r="AG48" s="73"/>
      <c r="AH48" s="73"/>
    </row>
    <row r="49" spans="1:45" x14ac:dyDescent="0.2">
      <c r="N49" s="73"/>
      <c r="O49" s="73"/>
      <c r="P49" s="73"/>
      <c r="Q49" s="73"/>
      <c r="R49" s="73"/>
      <c r="S49" s="73"/>
      <c r="W49" s="358"/>
      <c r="X49" s="385"/>
      <c r="Y49" s="385"/>
      <c r="Z49" s="385"/>
      <c r="AA49" s="385"/>
      <c r="AB49" s="385"/>
      <c r="AC49" s="385"/>
      <c r="AD49" s="73"/>
      <c r="AE49" s="73"/>
      <c r="AF49" s="73"/>
      <c r="AG49" s="73"/>
      <c r="AH49" s="73"/>
    </row>
    <row r="50" spans="1:45" x14ac:dyDescent="0.2">
      <c r="M50" s="360" t="s">
        <v>290</v>
      </c>
      <c r="N50" s="359"/>
      <c r="O50" s="359"/>
      <c r="P50" s="359"/>
      <c r="Q50" s="359"/>
      <c r="R50" s="359"/>
      <c r="S50" s="359"/>
      <c r="T50" s="73"/>
      <c r="U50" s="73"/>
      <c r="V50" s="73"/>
      <c r="W50" s="360" t="s">
        <v>290</v>
      </c>
      <c r="X50" s="359"/>
      <c r="Y50" s="359"/>
      <c r="Z50" s="359"/>
      <c r="AA50" s="359"/>
      <c r="AB50" s="359"/>
      <c r="AC50" s="359"/>
      <c r="AD50" s="73"/>
      <c r="AE50" s="73"/>
      <c r="AF50" s="73"/>
      <c r="AG50" s="73"/>
      <c r="AH50" s="73"/>
    </row>
    <row r="51" spans="1:45" x14ac:dyDescent="0.2">
      <c r="AD51" s="73"/>
      <c r="AE51" s="73"/>
      <c r="AF51" s="73"/>
      <c r="AG51" s="73"/>
      <c r="AH51" s="73"/>
    </row>
    <row r="52" spans="1:45" x14ac:dyDescent="0.2">
      <c r="M52" s="286" t="s">
        <v>99</v>
      </c>
      <c r="N52" s="304" t="s">
        <v>259</v>
      </c>
      <c r="O52" s="304" t="s">
        <v>260</v>
      </c>
      <c r="P52" s="304" t="s">
        <v>261</v>
      </c>
      <c r="Q52" s="304" t="s">
        <v>262</v>
      </c>
      <c r="R52" s="304" t="s">
        <v>263</v>
      </c>
      <c r="S52" s="304" t="s">
        <v>264</v>
      </c>
      <c r="W52" s="286" t="s">
        <v>99</v>
      </c>
      <c r="X52" s="304" t="s">
        <v>259</v>
      </c>
      <c r="Y52" s="304" t="s">
        <v>260</v>
      </c>
      <c r="Z52" s="304" t="s">
        <v>261</v>
      </c>
      <c r="AA52" s="304" t="s">
        <v>262</v>
      </c>
      <c r="AB52" s="304" t="s">
        <v>263</v>
      </c>
      <c r="AC52" s="304" t="s">
        <v>264</v>
      </c>
      <c r="AD52" s="73"/>
      <c r="AE52" s="73"/>
      <c r="AF52" s="73"/>
      <c r="AG52" s="73"/>
      <c r="AH52" s="73"/>
    </row>
    <row r="53" spans="1:45" ht="25.5" x14ac:dyDescent="0.2">
      <c r="M53" s="239" t="s">
        <v>168</v>
      </c>
      <c r="N53" s="480">
        <f>N26/$N$56</f>
        <v>1.7647058823529412E-2</v>
      </c>
      <c r="O53" s="384">
        <f>O26/O$56</f>
        <v>1.9564685742235265E-2</v>
      </c>
      <c r="P53" s="384">
        <f>P26/P$56</f>
        <v>2.2742040285899934E-2</v>
      </c>
      <c r="Q53" s="384">
        <f t="shared" ref="Q53:S53" si="18">Q26/Q$56</f>
        <v>2.9027576197387519E-2</v>
      </c>
      <c r="R53" s="384">
        <f t="shared" si="18"/>
        <v>4.7348484848484848E-2</v>
      </c>
      <c r="S53" s="384">
        <f t="shared" si="18"/>
        <v>3.8277511961722493E-2</v>
      </c>
      <c r="W53" s="239" t="s">
        <v>168</v>
      </c>
      <c r="X53" s="480">
        <f>N26/$N$56</f>
        <v>1.7647058823529412E-2</v>
      </c>
      <c r="Y53" s="384">
        <f>O26/Y$56</f>
        <v>1.9564685742235265E-2</v>
      </c>
      <c r="Z53" s="384">
        <f t="shared" ref="Z53:AC53" si="19">P26/Z$56</f>
        <v>2.2742040285899934E-2</v>
      </c>
      <c r="AA53" s="384">
        <f t="shared" si="19"/>
        <v>2.9027576197387519E-2</v>
      </c>
      <c r="AB53" s="384">
        <f t="shared" si="19"/>
        <v>4.7348484848484848E-2</v>
      </c>
      <c r="AC53" s="384">
        <f t="shared" si="19"/>
        <v>3.8277511961722493E-2</v>
      </c>
    </row>
    <row r="54" spans="1:45" x14ac:dyDescent="0.2">
      <c r="M54" s="239" t="s">
        <v>149</v>
      </c>
      <c r="N54" s="480">
        <f t="shared" ref="N54:N55" si="20">N27/$N$56</f>
        <v>1.9607843137254902E-3</v>
      </c>
      <c r="O54" s="384">
        <f t="shared" ref="O54:S55" si="21">O27/O$56</f>
        <v>2.2010271460014674E-3</v>
      </c>
      <c r="P54" s="384">
        <f t="shared" si="21"/>
        <v>2.5990903183885639E-3</v>
      </c>
      <c r="Q54" s="384">
        <f t="shared" si="21"/>
        <v>3.3865505563618775E-3</v>
      </c>
      <c r="R54" s="384">
        <f t="shared" si="21"/>
        <v>5.681818181818182E-3</v>
      </c>
      <c r="S54" s="384">
        <f t="shared" si="21"/>
        <v>4.7846889952153117E-3</v>
      </c>
      <c r="W54" s="239" t="s">
        <v>149</v>
      </c>
      <c r="X54" s="480">
        <f t="shared" ref="X54:X55" si="22">N27/$N$56</f>
        <v>1.9607843137254902E-3</v>
      </c>
      <c r="Y54" s="384">
        <f t="shared" ref="Y54:Y55" si="23">O27/Y$56</f>
        <v>2.2010271460014674E-3</v>
      </c>
      <c r="Z54" s="384">
        <f t="shared" ref="Z54:Z55" si="24">P27/Z$56</f>
        <v>2.5990903183885639E-3</v>
      </c>
      <c r="AA54" s="384">
        <f t="shared" ref="AA54:AA55" si="25">Q27/AA$56</f>
        <v>3.3865505563618775E-3</v>
      </c>
      <c r="AB54" s="384">
        <f t="shared" ref="AB54:AB55" si="26">R27/AB$56</f>
        <v>5.681818181818182E-3</v>
      </c>
      <c r="AC54" s="384">
        <f t="shared" ref="AC54:AC55" si="27">S27/AC$56</f>
        <v>4.7846889952153117E-3</v>
      </c>
    </row>
    <row r="55" spans="1:45" ht="25.5" x14ac:dyDescent="0.2">
      <c r="A55" s="18"/>
      <c r="B55" s="18"/>
      <c r="C55" s="18"/>
      <c r="D55" s="18"/>
      <c r="M55" s="239" t="s">
        <v>169</v>
      </c>
      <c r="N55" s="480">
        <f t="shared" si="20"/>
        <v>0.98039215686274517</v>
      </c>
      <c r="O55" s="384">
        <f t="shared" si="21"/>
        <v>0.97823428711176319</v>
      </c>
      <c r="P55" s="384">
        <f t="shared" si="21"/>
        <v>0.97465886939571145</v>
      </c>
      <c r="Q55" s="384">
        <f t="shared" si="21"/>
        <v>0.96758587324625056</v>
      </c>
      <c r="R55" s="384">
        <f t="shared" si="21"/>
        <v>0.94696969696969691</v>
      </c>
      <c r="S55" s="384">
        <f t="shared" si="21"/>
        <v>0.9569377990430622</v>
      </c>
      <c r="W55" s="239" t="s">
        <v>169</v>
      </c>
      <c r="X55" s="480">
        <f t="shared" si="22"/>
        <v>0.98039215686274517</v>
      </c>
      <c r="Y55" s="384">
        <f t="shared" si="23"/>
        <v>0.97823428711176319</v>
      </c>
      <c r="Z55" s="384">
        <f t="shared" si="24"/>
        <v>0.97465886939571145</v>
      </c>
      <c r="AA55" s="384">
        <f t="shared" si="25"/>
        <v>0.96758587324625056</v>
      </c>
      <c r="AB55" s="384">
        <f t="shared" si="26"/>
        <v>0.94696969696969691</v>
      </c>
      <c r="AC55" s="384">
        <f t="shared" si="27"/>
        <v>0.9569377990430622</v>
      </c>
    </row>
    <row r="56" spans="1:45" x14ac:dyDescent="0.2">
      <c r="M56" s="358" t="s">
        <v>0</v>
      </c>
      <c r="N56" s="382">
        <f>SUM(N26:N28)</f>
        <v>1700000000</v>
      </c>
      <c r="O56" s="382">
        <f t="shared" ref="O56:S56" si="28">SUM(O26:O28)</f>
        <v>1363000000</v>
      </c>
      <c r="P56" s="382">
        <f t="shared" si="28"/>
        <v>1026000000</v>
      </c>
      <c r="Q56" s="382">
        <f t="shared" si="28"/>
        <v>689000000</v>
      </c>
      <c r="R56" s="382">
        <f t="shared" si="28"/>
        <v>352000000</v>
      </c>
      <c r="S56" s="382">
        <f t="shared" si="28"/>
        <v>348333333.33333331</v>
      </c>
      <c r="W56" s="358" t="s">
        <v>0</v>
      </c>
      <c r="X56" s="382">
        <f>SUM(N26:N28)</f>
        <v>1700000000</v>
      </c>
      <c r="Y56" s="382">
        <f t="shared" ref="Y56:AC56" si="29">SUM(O26:O28)</f>
        <v>1363000000</v>
      </c>
      <c r="Z56" s="382">
        <f t="shared" si="29"/>
        <v>1026000000</v>
      </c>
      <c r="AA56" s="382">
        <f t="shared" si="29"/>
        <v>689000000</v>
      </c>
      <c r="AB56" s="382">
        <f t="shared" si="29"/>
        <v>352000000</v>
      </c>
      <c r="AC56" s="382">
        <f t="shared" si="29"/>
        <v>348333333.33333331</v>
      </c>
    </row>
    <row r="57" spans="1:45" x14ac:dyDescent="0.2">
      <c r="M57" s="88" t="s">
        <v>52</v>
      </c>
      <c r="N57" s="73" t="b">
        <f t="shared" ref="N57:S57" si="30">SUM(N53:N55)=1</f>
        <v>1</v>
      </c>
      <c r="O57" s="73" t="b">
        <f t="shared" si="30"/>
        <v>1</v>
      </c>
      <c r="P57" s="73" t="b">
        <f t="shared" si="30"/>
        <v>1</v>
      </c>
      <c r="Q57" s="73" t="b">
        <f t="shared" si="30"/>
        <v>1</v>
      </c>
      <c r="R57" s="73" t="b">
        <f t="shared" si="30"/>
        <v>1</v>
      </c>
      <c r="S57" s="73" t="b">
        <f t="shared" si="30"/>
        <v>1</v>
      </c>
      <c r="W57" s="88" t="s">
        <v>52</v>
      </c>
      <c r="X57" s="73" t="b">
        <f t="shared" ref="X57:AC57" si="31">SUM(X53:X55)=1</f>
        <v>1</v>
      </c>
      <c r="Y57" s="73" t="b">
        <f t="shared" si="31"/>
        <v>1</v>
      </c>
      <c r="Z57" s="73" t="b">
        <f t="shared" si="31"/>
        <v>1</v>
      </c>
      <c r="AA57" s="73" t="b">
        <f t="shared" si="31"/>
        <v>1</v>
      </c>
      <c r="AB57" s="73" t="b">
        <f t="shared" si="31"/>
        <v>1</v>
      </c>
      <c r="AC57" s="73" t="b">
        <f t="shared" si="31"/>
        <v>1</v>
      </c>
    </row>
    <row r="59" spans="1:45" x14ac:dyDescent="0.2">
      <c r="M59" s="396" t="s">
        <v>276</v>
      </c>
      <c r="N59" s="397"/>
      <c r="P59" s="397"/>
      <c r="Q59" s="397"/>
      <c r="R59" s="398"/>
      <c r="W59" s="396" t="s">
        <v>276</v>
      </c>
      <c r="X59" s="397"/>
      <c r="Z59" s="397"/>
      <c r="AA59" s="397"/>
      <c r="AB59" s="398"/>
    </row>
    <row r="62" spans="1:45" s="200" customFormat="1" ht="12" customHeight="1" x14ac:dyDescent="0.2">
      <c r="B62" s="196" t="str">
        <f>'Hoja Auxiliar'!$B$34</f>
        <v>Compromiso de pago</v>
      </c>
      <c r="F62" s="197"/>
      <c r="G62" s="198"/>
      <c r="H62" s="199"/>
      <c r="I62" s="199"/>
      <c r="J62" s="199"/>
    </row>
    <row r="63" spans="1:45" ht="13.5" thickBot="1" x14ac:dyDescent="0.25"/>
    <row r="64" spans="1:45" s="73" customFormat="1" x14ac:dyDescent="0.2">
      <c r="B64" s="419" t="s">
        <v>299</v>
      </c>
      <c r="C64" s="420"/>
      <c r="E64" s="360" t="s">
        <v>267</v>
      </c>
      <c r="F64" s="359"/>
      <c r="G64" s="359"/>
      <c r="H64" s="359"/>
      <c r="I64" s="359"/>
      <c r="J64" s="359"/>
      <c r="K64" s="359"/>
      <c r="M64" s="360" t="s">
        <v>297</v>
      </c>
      <c r="N64" s="359"/>
      <c r="O64" s="359"/>
      <c r="P64" s="359"/>
      <c r="Q64" s="359"/>
      <c r="R64" s="359"/>
      <c r="S64" s="359"/>
      <c r="W64" s="360" t="s">
        <v>298</v>
      </c>
      <c r="X64" s="359"/>
      <c r="Y64" s="359"/>
      <c r="Z64" s="359"/>
      <c r="AA64" s="359"/>
      <c r="AB64" s="359"/>
      <c r="AC64" s="359"/>
      <c r="AE64" s="360" t="s">
        <v>293</v>
      </c>
      <c r="AF64" s="360"/>
      <c r="AG64" s="360"/>
      <c r="AH64" s="360"/>
      <c r="AI64" s="360"/>
      <c r="AJ64" s="360"/>
      <c r="AK64" s="360"/>
      <c r="AM64" s="360" t="s">
        <v>292</v>
      </c>
      <c r="AN64" s="360"/>
      <c r="AO64" s="360"/>
      <c r="AP64" s="360"/>
      <c r="AQ64" s="360"/>
      <c r="AR64" s="360"/>
      <c r="AS64" s="360"/>
    </row>
    <row r="65" spans="1:45" s="73" customFormat="1" ht="12" customHeight="1" x14ac:dyDescent="0.2">
      <c r="A65"/>
      <c r="B65" s="421"/>
      <c r="C65" s="422"/>
      <c r="D65"/>
      <c r="E65"/>
      <c r="F65"/>
      <c r="G65"/>
      <c r="H65"/>
      <c r="I65"/>
      <c r="J65"/>
      <c r="K65"/>
      <c r="L65"/>
      <c r="M65"/>
      <c r="N65"/>
      <c r="O65"/>
      <c r="P65"/>
      <c r="Q65"/>
      <c r="R65"/>
      <c r="S65"/>
      <c r="T65"/>
      <c r="U65"/>
      <c r="V65"/>
      <c r="W65"/>
      <c r="X65"/>
      <c r="Y65"/>
      <c r="Z65"/>
      <c r="AA65"/>
      <c r="AB65"/>
      <c r="AC65"/>
      <c r="AD65"/>
    </row>
    <row r="66" spans="1:45" s="73" customFormat="1" ht="12" customHeight="1" x14ac:dyDescent="0.2">
      <c r="A66"/>
      <c r="B66" s="423" t="s">
        <v>43</v>
      </c>
      <c r="C66" s="422"/>
      <c r="D66"/>
      <c r="E66" s="360" t="s">
        <v>43</v>
      </c>
      <c r="F66"/>
      <c r="G66"/>
      <c r="H66"/>
      <c r="I66"/>
      <c r="J66"/>
      <c r="K66"/>
      <c r="L66"/>
      <c r="M66" s="286" t="s">
        <v>172</v>
      </c>
      <c r="N66" s="19" t="s">
        <v>259</v>
      </c>
      <c r="O66" s="19" t="s">
        <v>260</v>
      </c>
      <c r="P66" s="19" t="s">
        <v>261</v>
      </c>
      <c r="Q66" s="19" t="s">
        <v>262</v>
      </c>
      <c r="R66" s="19" t="s">
        <v>263</v>
      </c>
      <c r="S66" s="19" t="s">
        <v>264</v>
      </c>
      <c r="T66"/>
      <c r="U66"/>
      <c r="V66"/>
      <c r="W66" s="286" t="s">
        <v>170</v>
      </c>
      <c r="X66" s="19" t="s">
        <v>259</v>
      </c>
      <c r="Y66" s="19" t="s">
        <v>260</v>
      </c>
      <c r="Z66" s="19" t="s">
        <v>261</v>
      </c>
      <c r="AA66" s="19" t="s">
        <v>262</v>
      </c>
      <c r="AB66" s="19" t="s">
        <v>263</v>
      </c>
      <c r="AC66" s="19" t="s">
        <v>264</v>
      </c>
      <c r="AD66"/>
      <c r="AE66" s="381" t="s">
        <v>172</v>
      </c>
      <c r="AF66" s="304" t="s">
        <v>259</v>
      </c>
      <c r="AG66" s="304" t="s">
        <v>260</v>
      </c>
      <c r="AH66" s="304" t="s">
        <v>261</v>
      </c>
      <c r="AI66" s="304" t="s">
        <v>262</v>
      </c>
      <c r="AJ66" s="304" t="s">
        <v>263</v>
      </c>
      <c r="AK66" s="304" t="s">
        <v>264</v>
      </c>
      <c r="AM66" s="286" t="s">
        <v>170</v>
      </c>
      <c r="AN66" s="19" t="s">
        <v>259</v>
      </c>
      <c r="AO66" s="19" t="s">
        <v>260</v>
      </c>
      <c r="AP66" s="19" t="s">
        <v>261</v>
      </c>
      <c r="AQ66" s="19" t="s">
        <v>262</v>
      </c>
      <c r="AR66" s="19" t="s">
        <v>263</v>
      </c>
      <c r="AS66" s="19" t="s">
        <v>264</v>
      </c>
    </row>
    <row r="67" spans="1:45" s="73" customFormat="1" ht="12" customHeight="1" x14ac:dyDescent="0.2">
      <c r="A67"/>
      <c r="B67" s="424" t="s">
        <v>170</v>
      </c>
      <c r="C67" s="422"/>
      <c r="D67"/>
      <c r="E67" s="286" t="s">
        <v>170</v>
      </c>
      <c r="F67" s="19" t="s">
        <v>259</v>
      </c>
      <c r="G67" s="19" t="s">
        <v>260</v>
      </c>
      <c r="H67" s="19" t="s">
        <v>261</v>
      </c>
      <c r="I67" s="19" t="s">
        <v>262</v>
      </c>
      <c r="J67" s="19" t="s">
        <v>263</v>
      </c>
      <c r="K67" s="19" t="s">
        <v>264</v>
      </c>
      <c r="L67"/>
      <c r="M67" s="239" t="s">
        <v>168</v>
      </c>
      <c r="N67" s="283">
        <f>INDEX('Informacion del AEP'!$F$84:$K$92,MATCH('Precios mayoristas efectivos'!$M67,'Informacion del AEP'!$B$84:$B$92,0),MATCH('Precios mayoristas efectivos'!N$66,'Informacion del AEP'!$F$82:$K$82,0))/3</f>
        <v>30000000</v>
      </c>
      <c r="O67" s="283">
        <f>INDEX('Informacion del AEP'!$F$84:$K$92,MATCH('Precios mayoristas efectivos'!$M67,'Informacion del AEP'!$B$84:$B$92,0),MATCH('Precios mayoristas efectivos'!O$66,'Informacion del AEP'!$F$82:$K$82,0))/3</f>
        <v>26666666.666666668</v>
      </c>
      <c r="P67" s="283">
        <f>INDEX('Informacion del AEP'!$F$84:$K$92,MATCH('Precios mayoristas efectivos'!$M67,'Informacion del AEP'!$B$84:$B$92,0),MATCH('Precios mayoristas efectivos'!P$66,'Informacion del AEP'!$F$82:$K$82,0))/3</f>
        <v>23333333.333333332</v>
      </c>
      <c r="Q67" s="283">
        <f>INDEX('Informacion del AEP'!$F$84:$K$92,MATCH('Precios mayoristas efectivos'!$M67,'Informacion del AEP'!$B$84:$B$92,0),MATCH('Precios mayoristas efectivos'!Q$66,'Informacion del AEP'!$F$82:$K$82,0))/3</f>
        <v>20000000</v>
      </c>
      <c r="R67" s="283">
        <f>INDEX('Informacion del AEP'!$F$84:$K$92,MATCH('Precios mayoristas efectivos'!$M67,'Informacion del AEP'!$B$84:$B$92,0),MATCH('Precios mayoristas efectivos'!R$66,'Informacion del AEP'!$F$82:$K$82,0))/3</f>
        <v>16666666.666666666</v>
      </c>
      <c r="S67" s="283">
        <f>INDEX('Informacion del AEP'!$F$84:$K$92,MATCH('Precios mayoristas efectivos'!$M67,'Informacion del AEP'!$B$84:$B$92,0),MATCH('Precios mayoristas efectivos'!S$66,'Informacion del AEP'!$F$82:$K$82,0))/3</f>
        <v>13333333.333333334</v>
      </c>
      <c r="T67" s="19"/>
      <c r="U67" s="19"/>
      <c r="V67" s="19"/>
      <c r="W67" s="239" t="s">
        <v>168</v>
      </c>
      <c r="X67" s="402">
        <f t="shared" ref="X67:AC69" si="32">IF(X$80&gt;=X$89,X77,X86)</f>
        <v>0</v>
      </c>
      <c r="Y67" s="402">
        <f t="shared" si="32"/>
        <v>0</v>
      </c>
      <c r="Z67" s="402">
        <f t="shared" si="32"/>
        <v>0</v>
      </c>
      <c r="AA67" s="402">
        <f t="shared" si="32"/>
        <v>0</v>
      </c>
      <c r="AB67" s="402">
        <f t="shared" si="32"/>
        <v>0</v>
      </c>
      <c r="AC67" s="402">
        <f t="shared" si="32"/>
        <v>0</v>
      </c>
      <c r="AD67"/>
      <c r="AF67" s="382">
        <f>INDEX('Precio Mayorista'!$E$26:$J$26,MATCH('Precios mayoristas efectivos'!AF$66,'Precio Mayorista'!$E$20:$J$20,0))</f>
        <v>1000000</v>
      </c>
      <c r="AG67" s="382">
        <f>INDEX('Precio Mayorista'!$E$26:$J$26,MATCH('Precios mayoristas efectivos'!AG$66,'Precio Mayorista'!$E$20:$J$20,0))</f>
        <v>900000</v>
      </c>
      <c r="AH67" s="382">
        <f>INDEX('Precio Mayorista'!$E$26:$J$26,MATCH('Precios mayoristas efectivos'!AH$66,'Precio Mayorista'!$E$20:$J$20,0))</f>
        <v>800000</v>
      </c>
      <c r="AI67" s="382">
        <f>INDEX('Precio Mayorista'!$E$26:$J$26,MATCH('Precios mayoristas efectivos'!AI$66,'Precio Mayorista'!$E$20:$J$20,0))</f>
        <v>700000</v>
      </c>
      <c r="AJ67" s="382">
        <f>INDEX('Precio Mayorista'!$E$26:$J$26,MATCH('Precios mayoristas efectivos'!AJ$66,'Precio Mayorista'!$E$20:$J$20,0))</f>
        <v>600000</v>
      </c>
      <c r="AK67" s="382">
        <f>INDEX('Precio Mayorista'!$E$26:$J$26,MATCH('Precios mayoristas efectivos'!AK$66,'Precio Mayorista'!$E$20:$J$20,0))</f>
        <v>500000</v>
      </c>
      <c r="AM67" s="358"/>
      <c r="AN67" s="283">
        <f t="shared" ref="AN67:AS67" si="33">AN77+AN86</f>
        <v>600000</v>
      </c>
      <c r="AO67" s="283">
        <f t="shared" si="33"/>
        <v>300000</v>
      </c>
      <c r="AP67" s="283">
        <f t="shared" si="33"/>
        <v>0</v>
      </c>
      <c r="AQ67" s="283">
        <f t="shared" si="33"/>
        <v>600000</v>
      </c>
      <c r="AR67" s="283">
        <f t="shared" si="33"/>
        <v>600000</v>
      </c>
      <c r="AS67" s="283">
        <f t="shared" si="33"/>
        <v>300000</v>
      </c>
    </row>
    <row r="68" spans="1:45" s="73" customFormat="1" ht="12" customHeight="1" x14ac:dyDescent="0.2">
      <c r="A68"/>
      <c r="B68" s="426" t="s">
        <v>168</v>
      </c>
      <c r="C68" s="427">
        <f>SUMPRODUCT(F68:K68,N67:S67)/SUM(N67:S67)</f>
        <v>0</v>
      </c>
      <c r="D68"/>
      <c r="E68" s="239" t="s">
        <v>168</v>
      </c>
      <c r="F68" s="438">
        <f t="shared" ref="F68:K70" si="34">X67/N67</f>
        <v>0</v>
      </c>
      <c r="G68" s="438">
        <f t="shared" si="34"/>
        <v>0</v>
      </c>
      <c r="H68" s="438">
        <f t="shared" si="34"/>
        <v>0</v>
      </c>
      <c r="I68" s="438">
        <f t="shared" si="34"/>
        <v>0</v>
      </c>
      <c r="J68" s="438">
        <f t="shared" si="34"/>
        <v>0</v>
      </c>
      <c r="K68" s="438">
        <f t="shared" si="34"/>
        <v>0</v>
      </c>
      <c r="L68"/>
      <c r="M68" s="239" t="s">
        <v>149</v>
      </c>
      <c r="N68" s="283">
        <f>INDEX('Informacion del AEP'!$F$84:$K$92,MATCH('Precios mayoristas efectivos'!$M68,'Informacion del AEP'!$B$84:$B$92,0),MATCH('Precios mayoristas efectivos'!N$66,'Informacion del AEP'!$F$82:$K$82,0))/3</f>
        <v>3333333.3333333335</v>
      </c>
      <c r="O68" s="283">
        <f>INDEX('Informacion del AEP'!$F$84:$K$92,MATCH('Precios mayoristas efectivos'!$M68,'Informacion del AEP'!$B$84:$B$92,0),MATCH('Precios mayoristas efectivos'!O$66,'Informacion del AEP'!$F$82:$K$82,0))/3</f>
        <v>3000000</v>
      </c>
      <c r="P68" s="283">
        <f>INDEX('Informacion del AEP'!$F$84:$K$92,MATCH('Precios mayoristas efectivos'!$M68,'Informacion del AEP'!$B$84:$B$92,0),MATCH('Precios mayoristas efectivos'!P$66,'Informacion del AEP'!$F$82:$K$82,0))/3</f>
        <v>2666666.6666666665</v>
      </c>
      <c r="Q68" s="283">
        <f>INDEX('Informacion del AEP'!$F$84:$K$92,MATCH('Precios mayoristas efectivos'!$M68,'Informacion del AEP'!$B$84:$B$92,0),MATCH('Precios mayoristas efectivos'!Q$66,'Informacion del AEP'!$F$82:$K$82,0))/3</f>
        <v>2333333.3333333335</v>
      </c>
      <c r="R68" s="283">
        <f>INDEX('Informacion del AEP'!$F$84:$K$92,MATCH('Precios mayoristas efectivos'!$M68,'Informacion del AEP'!$B$84:$B$92,0),MATCH('Precios mayoristas efectivos'!R$66,'Informacion del AEP'!$F$82:$K$82,0))/3</f>
        <v>2000000</v>
      </c>
      <c r="S68" s="283">
        <f>INDEX('Informacion del AEP'!$F$84:$K$92,MATCH('Precios mayoristas efectivos'!$M68,'Informacion del AEP'!$B$84:$B$92,0),MATCH('Precios mayoristas efectivos'!S$66,'Informacion del AEP'!$F$82:$K$82,0))/3</f>
        <v>1666666.6666666667</v>
      </c>
      <c r="T68"/>
      <c r="U68"/>
      <c r="V68"/>
      <c r="W68" s="239" t="s">
        <v>149</v>
      </c>
      <c r="X68" s="402">
        <f t="shared" si="32"/>
        <v>0</v>
      </c>
      <c r="Y68" s="402">
        <f t="shared" si="32"/>
        <v>0</v>
      </c>
      <c r="Z68" s="402">
        <f t="shared" si="32"/>
        <v>0</v>
      </c>
      <c r="AA68" s="402">
        <f t="shared" si="32"/>
        <v>0</v>
      </c>
      <c r="AB68" s="402">
        <f t="shared" si="32"/>
        <v>0</v>
      </c>
      <c r="AC68" s="402">
        <f t="shared" si="32"/>
        <v>0</v>
      </c>
      <c r="AD68"/>
      <c r="AF68" s="304"/>
    </row>
    <row r="69" spans="1:45" s="73" customFormat="1" ht="12" customHeight="1" x14ac:dyDescent="0.2">
      <c r="A69"/>
      <c r="B69" s="426" t="s">
        <v>149</v>
      </c>
      <c r="C69" s="427">
        <f>SUMPRODUCT(F69:K69,N68:S68)/SUM(N68:S68)</f>
        <v>0</v>
      </c>
      <c r="D69"/>
      <c r="E69" s="239" t="s">
        <v>149</v>
      </c>
      <c r="F69" s="438">
        <f t="shared" si="34"/>
        <v>0</v>
      </c>
      <c r="G69" s="438">
        <f t="shared" si="34"/>
        <v>0</v>
      </c>
      <c r="H69" s="438">
        <f t="shared" si="34"/>
        <v>0</v>
      </c>
      <c r="I69" s="438">
        <f t="shared" si="34"/>
        <v>0</v>
      </c>
      <c r="J69" s="438">
        <f t="shared" si="34"/>
        <v>0</v>
      </c>
      <c r="K69" s="438">
        <f t="shared" si="34"/>
        <v>0</v>
      </c>
      <c r="L69"/>
      <c r="M69" s="239" t="s">
        <v>169</v>
      </c>
      <c r="N69" s="283">
        <f>INDEX('Informacion del AEP'!$F$84:$K$92,MATCH('Precios mayoristas efectivos'!$M69,'Informacion del AEP'!$B$84:$B$92,0),MATCH('Precios mayoristas efectivos'!N$66,'Informacion del AEP'!$F$82:$K$82,0))/3</f>
        <v>1666666666.6666667</v>
      </c>
      <c r="O69" s="283">
        <f>INDEX('Informacion del AEP'!$F$84:$K$92,MATCH('Precios mayoristas efectivos'!$M69,'Informacion del AEP'!$B$84:$B$92,0),MATCH('Precios mayoristas efectivos'!O$66,'Informacion del AEP'!$F$82:$K$82,0))/3</f>
        <v>1333333333.3333333</v>
      </c>
      <c r="P69" s="283">
        <f>INDEX('Informacion del AEP'!$F$84:$K$92,MATCH('Precios mayoristas efectivos'!$M69,'Informacion del AEP'!$B$84:$B$92,0),MATCH('Precios mayoristas efectivos'!P$66,'Informacion del AEP'!$F$82:$K$82,0))/3</f>
        <v>1000000000</v>
      </c>
      <c r="Q69" s="283">
        <f>INDEX('Informacion del AEP'!$F$84:$K$92,MATCH('Precios mayoristas efectivos'!$M69,'Informacion del AEP'!$B$84:$B$92,0),MATCH('Precios mayoristas efectivos'!Q$66,'Informacion del AEP'!$F$82:$K$82,0))/3</f>
        <v>666666666.66666663</v>
      </c>
      <c r="R69" s="283">
        <f>INDEX('Informacion del AEP'!$F$84:$K$92,MATCH('Precios mayoristas efectivos'!$M69,'Informacion del AEP'!$B$84:$B$92,0),MATCH('Precios mayoristas efectivos'!R$66,'Informacion del AEP'!$F$82:$K$82,0))/3</f>
        <v>333333333.33333331</v>
      </c>
      <c r="S69" s="283">
        <f>INDEX('Informacion del AEP'!$F$84:$K$92,MATCH('Precios mayoristas efectivos'!$M69,'Informacion del AEP'!$B$84:$B$92,0),MATCH('Precios mayoristas efectivos'!S$66,'Informacion del AEP'!$F$82:$K$82,0))/3</f>
        <v>333333333.33333331</v>
      </c>
      <c r="T69"/>
      <c r="U69"/>
      <c r="V69"/>
      <c r="W69" s="239" t="s">
        <v>169</v>
      </c>
      <c r="X69" s="402">
        <f t="shared" si="32"/>
        <v>0</v>
      </c>
      <c r="Y69" s="402">
        <f t="shared" si="32"/>
        <v>0</v>
      </c>
      <c r="Z69" s="402">
        <f t="shared" si="32"/>
        <v>0</v>
      </c>
      <c r="AA69" s="402">
        <f t="shared" si="32"/>
        <v>0</v>
      </c>
      <c r="AB69" s="402">
        <f t="shared" si="32"/>
        <v>0</v>
      </c>
      <c r="AC69" s="402">
        <f t="shared" si="32"/>
        <v>0</v>
      </c>
      <c r="AD69"/>
      <c r="AE69" s="304"/>
    </row>
    <row r="70" spans="1:45" s="73" customFormat="1" ht="12" customHeight="1" x14ac:dyDescent="0.2">
      <c r="A70"/>
      <c r="B70" s="426" t="s">
        <v>169</v>
      </c>
      <c r="C70" s="427">
        <f>SUMPRODUCT(F70:K70,N69:S69)/SUM(N69:S69)</f>
        <v>0</v>
      </c>
      <c r="D70"/>
      <c r="E70" s="239" t="s">
        <v>169</v>
      </c>
      <c r="F70" s="438">
        <f t="shared" si="34"/>
        <v>0</v>
      </c>
      <c r="G70" s="438">
        <f t="shared" si="34"/>
        <v>0</v>
      </c>
      <c r="H70" s="438">
        <f t="shared" si="34"/>
        <v>0</v>
      </c>
      <c r="I70" s="438">
        <f t="shared" si="34"/>
        <v>0</v>
      </c>
      <c r="J70" s="438">
        <f t="shared" si="34"/>
        <v>0</v>
      </c>
      <c r="K70" s="438">
        <f t="shared" si="34"/>
        <v>0</v>
      </c>
      <c r="L70"/>
      <c r="M70"/>
      <c r="N70"/>
      <c r="O70"/>
      <c r="P70"/>
      <c r="Q70"/>
      <c r="R70"/>
      <c r="S70"/>
      <c r="T70"/>
      <c r="U70"/>
      <c r="V70"/>
      <c r="W70" s="358" t="s">
        <v>0</v>
      </c>
      <c r="X70">
        <f>SUM(X67:X69)</f>
        <v>0</v>
      </c>
      <c r="Y70">
        <f t="shared" ref="Y70:AC70" si="35">SUM(Y67:Y69)</f>
        <v>0</v>
      </c>
      <c r="Z70">
        <f t="shared" si="35"/>
        <v>0</v>
      </c>
      <c r="AA70">
        <f t="shared" si="35"/>
        <v>0</v>
      </c>
      <c r="AB70">
        <f t="shared" si="35"/>
        <v>0</v>
      </c>
      <c r="AC70">
        <f t="shared" si="35"/>
        <v>0</v>
      </c>
      <c r="AD70"/>
    </row>
    <row r="71" spans="1:45" s="73" customFormat="1" ht="12" customHeight="1" x14ac:dyDescent="0.2">
      <c r="A71"/>
      <c r="B71" s="421"/>
      <c r="C71" s="434"/>
      <c r="D71"/>
      <c r="E71" s="358"/>
      <c r="F71" s="438"/>
      <c r="G71" s="438"/>
      <c r="H71" s="438"/>
      <c r="I71" s="438"/>
      <c r="J71" s="438"/>
      <c r="K71" s="438"/>
      <c r="L71"/>
      <c r="M71" s="358"/>
      <c r="N71"/>
      <c r="O71"/>
      <c r="P71"/>
      <c r="Q71"/>
      <c r="R71"/>
      <c r="S71"/>
      <c r="T71"/>
      <c r="U71"/>
      <c r="V71"/>
      <c r="W71"/>
      <c r="X71"/>
      <c r="Y71"/>
      <c r="Z71"/>
      <c r="AA71"/>
      <c r="AB71"/>
      <c r="AC71"/>
      <c r="AD71"/>
    </row>
    <row r="72" spans="1:45" s="73" customFormat="1" ht="12" customHeight="1" x14ac:dyDescent="0.2">
      <c r="A72"/>
      <c r="B72" s="421"/>
      <c r="C72" s="422"/>
      <c r="D72"/>
      <c r="E72" s="358"/>
      <c r="F72"/>
      <c r="G72"/>
      <c r="H72"/>
      <c r="I72"/>
      <c r="J72"/>
      <c r="K72"/>
      <c r="L72"/>
      <c r="M72" s="358"/>
      <c r="N72"/>
      <c r="O72"/>
      <c r="P72"/>
      <c r="Q72"/>
      <c r="R72"/>
      <c r="S72"/>
      <c r="T72"/>
      <c r="U72"/>
      <c r="V72"/>
      <c r="W72" s="358"/>
      <c r="X72"/>
      <c r="Y72"/>
      <c r="Z72"/>
      <c r="AA72"/>
      <c r="AB72"/>
      <c r="AC72"/>
      <c r="AD72"/>
    </row>
    <row r="73" spans="1:45" s="73" customFormat="1" ht="12" customHeight="1" x14ac:dyDescent="0.2">
      <c r="A73"/>
      <c r="B73" s="423" t="s">
        <v>152</v>
      </c>
      <c r="C73" s="422"/>
      <c r="D73"/>
      <c r="E73" s="360" t="s">
        <v>152</v>
      </c>
      <c r="F73"/>
      <c r="G73"/>
      <c r="H73"/>
      <c r="I73"/>
      <c r="J73"/>
      <c r="K73"/>
      <c r="L73"/>
      <c r="M73"/>
      <c r="N73"/>
      <c r="O73"/>
      <c r="P73"/>
      <c r="Q73"/>
      <c r="R73"/>
      <c r="S73"/>
      <c r="T73"/>
      <c r="U73"/>
      <c r="V73"/>
      <c r="W73" s="358"/>
      <c r="X73"/>
      <c r="Y73"/>
      <c r="Z73"/>
      <c r="AA73"/>
      <c r="AB73"/>
      <c r="AC73"/>
      <c r="AD73"/>
    </row>
    <row r="74" spans="1:45" s="73" customFormat="1" ht="12" customHeight="1" thickBot="1" x14ac:dyDescent="0.25">
      <c r="A74"/>
      <c r="B74" s="431" t="s">
        <v>170</v>
      </c>
      <c r="C74" s="432">
        <f>SUMPRODUCT(F75:K75,AF67:AK67)/SUM(AF67:AK67)</f>
        <v>0.53333333333333333</v>
      </c>
      <c r="D74"/>
      <c r="E74" s="286" t="s">
        <v>170</v>
      </c>
      <c r="F74" s="19" t="s">
        <v>259</v>
      </c>
      <c r="G74" s="19" t="s">
        <v>260</v>
      </c>
      <c r="H74" s="19" t="s">
        <v>261</v>
      </c>
      <c r="I74" s="19" t="s">
        <v>262</v>
      </c>
      <c r="J74" s="19" t="s">
        <v>263</v>
      </c>
      <c r="K74" s="19" t="s">
        <v>264</v>
      </c>
      <c r="L74"/>
      <c r="M74" s="360" t="s">
        <v>290</v>
      </c>
      <c r="N74" s="360"/>
      <c r="O74" s="360"/>
      <c r="P74" s="360"/>
      <c r="Q74" s="360"/>
      <c r="R74" s="360"/>
      <c r="S74" s="360"/>
      <c r="T74" s="19"/>
      <c r="U74" s="19"/>
      <c r="V74" s="19"/>
      <c r="W74" s="360" t="s">
        <v>300</v>
      </c>
      <c r="X74" s="360"/>
      <c r="Y74" s="360"/>
      <c r="Z74" s="360"/>
      <c r="AA74" s="360"/>
      <c r="AB74" s="360"/>
      <c r="AC74" s="360"/>
      <c r="AD74"/>
      <c r="AE74" s="360" t="s">
        <v>302</v>
      </c>
      <c r="AF74" s="360"/>
      <c r="AG74" s="360"/>
      <c r="AH74" s="360"/>
      <c r="AI74" s="360"/>
      <c r="AJ74" s="360"/>
      <c r="AK74" s="360"/>
      <c r="AM74" s="360" t="s">
        <v>304</v>
      </c>
      <c r="AN74" s="360"/>
      <c r="AO74" s="360"/>
      <c r="AP74" s="360"/>
      <c r="AQ74" s="360"/>
      <c r="AR74" s="360"/>
      <c r="AS74" s="360"/>
    </row>
    <row r="75" spans="1:45" s="73" customFormat="1" ht="12" customHeight="1" x14ac:dyDescent="0.2">
      <c r="A75"/>
      <c r="B75"/>
      <c r="C75"/>
      <c r="D75"/>
      <c r="E75" s="286"/>
      <c r="F75" s="439">
        <f t="shared" ref="F75:K75" si="36">AN67/AF67</f>
        <v>0.6</v>
      </c>
      <c r="G75" s="439">
        <f t="shared" si="36"/>
        <v>0.33333333333333331</v>
      </c>
      <c r="H75" s="439">
        <f t="shared" si="36"/>
        <v>0</v>
      </c>
      <c r="I75" s="439">
        <f t="shared" si="36"/>
        <v>0.8571428571428571</v>
      </c>
      <c r="J75" s="439">
        <f t="shared" si="36"/>
        <v>1</v>
      </c>
      <c r="K75" s="439">
        <f t="shared" si="36"/>
        <v>0.6</v>
      </c>
      <c r="L75"/>
      <c r="T75"/>
      <c r="U75"/>
      <c r="V75"/>
      <c r="W75"/>
      <c r="X75"/>
      <c r="Y75"/>
      <c r="Z75"/>
      <c r="AA75"/>
      <c r="AB75"/>
      <c r="AC75"/>
      <c r="AD75"/>
      <c r="AM75" s="304"/>
    </row>
    <row r="76" spans="1:45" s="73" customFormat="1" x14ac:dyDescent="0.2">
      <c r="A76"/>
      <c r="B76"/>
      <c r="C76"/>
      <c r="D76"/>
      <c r="E76"/>
      <c r="F76"/>
      <c r="G76"/>
      <c r="H76"/>
      <c r="I76"/>
      <c r="J76"/>
      <c r="K76"/>
      <c r="L76"/>
      <c r="M76" s="286" t="s">
        <v>99</v>
      </c>
      <c r="N76" s="19" t="s">
        <v>259</v>
      </c>
      <c r="O76" s="19" t="s">
        <v>260</v>
      </c>
      <c r="P76" s="19" t="s">
        <v>261</v>
      </c>
      <c r="Q76" s="19" t="s">
        <v>262</v>
      </c>
      <c r="R76" s="19" t="s">
        <v>263</v>
      </c>
      <c r="S76" s="19" t="s">
        <v>264</v>
      </c>
      <c r="T76"/>
      <c r="U76"/>
      <c r="V76"/>
      <c r="W76" s="286" t="s">
        <v>170</v>
      </c>
      <c r="X76" s="19" t="s">
        <v>259</v>
      </c>
      <c r="Y76" s="19" t="s">
        <v>260</v>
      </c>
      <c r="Z76" s="19" t="s">
        <v>261</v>
      </c>
      <c r="AA76" s="19" t="s">
        <v>262</v>
      </c>
      <c r="AB76" s="19" t="s">
        <v>263</v>
      </c>
      <c r="AC76" s="19" t="s">
        <v>264</v>
      </c>
      <c r="AD76"/>
      <c r="AE76" s="286" t="s">
        <v>172</v>
      </c>
      <c r="AF76" s="19" t="s">
        <v>259</v>
      </c>
      <c r="AG76" s="19" t="s">
        <v>260</v>
      </c>
      <c r="AH76" s="19" t="s">
        <v>261</v>
      </c>
      <c r="AI76" s="19" t="s">
        <v>262</v>
      </c>
      <c r="AJ76" s="19" t="s">
        <v>263</v>
      </c>
      <c r="AK76" s="19" t="s">
        <v>264</v>
      </c>
      <c r="AM76" s="381" t="s">
        <v>170</v>
      </c>
      <c r="AN76" s="304" t="s">
        <v>259</v>
      </c>
      <c r="AO76" s="304" t="s">
        <v>260</v>
      </c>
      <c r="AP76" s="304" t="s">
        <v>261</v>
      </c>
      <c r="AQ76" s="304" t="s">
        <v>262</v>
      </c>
      <c r="AR76" s="304" t="s">
        <v>263</v>
      </c>
      <c r="AS76" s="304" t="s">
        <v>264</v>
      </c>
    </row>
    <row r="77" spans="1:45" s="73" customFormat="1" ht="25.5" x14ac:dyDescent="0.2">
      <c r="M77" s="239" t="s">
        <v>168</v>
      </c>
      <c r="N77" s="384">
        <f>N67/N$80</f>
        <v>1.7647058823529412E-2</v>
      </c>
      <c r="O77" s="384">
        <f t="shared" ref="O77:S77" si="37">O67/O$80</f>
        <v>1.9564685742235265E-2</v>
      </c>
      <c r="P77" s="384">
        <f t="shared" si="37"/>
        <v>2.2742040285899934E-2</v>
      </c>
      <c r="Q77" s="384">
        <f t="shared" si="37"/>
        <v>2.9027576197387519E-2</v>
      </c>
      <c r="R77" s="384">
        <f t="shared" si="37"/>
        <v>4.7348484848484848E-2</v>
      </c>
      <c r="S77" s="384">
        <f t="shared" si="37"/>
        <v>3.8277511961722493E-2</v>
      </c>
      <c r="W77" s="239" t="s">
        <v>168</v>
      </c>
      <c r="X77" s="385">
        <f>N67*INDEX('Precio Mayorista'!$D$54:$J$56,MATCH('Precios mayoristas efectivos'!$W77,'Precio Mayorista'!$C$54:$C$56,0),MATCH('Precio Mayorista'!E$24,'Precio Mayorista'!$D$29:$J$29,0))</f>
        <v>0</v>
      </c>
      <c r="Y77" s="385">
        <f>O67*INDEX('Precio Mayorista'!$D$54:$J$56,MATCH('Precios mayoristas efectivos'!$W77,'Precio Mayorista'!$C$54:$C$56,0),MATCH('Precio Mayorista'!F$24,'Precio Mayorista'!$D$29:$J$29,0))</f>
        <v>0</v>
      </c>
      <c r="Z77" s="385">
        <f>P67*INDEX('Precio Mayorista'!$D$54:$J$56,MATCH('Precios mayoristas efectivos'!$W77,'Precio Mayorista'!$C$54:$C$56,0),MATCH('Precio Mayorista'!G$24,'Precio Mayorista'!$D$29:$J$29,0))</f>
        <v>0</v>
      </c>
      <c r="AA77" s="385">
        <f>Q67*INDEX('Precio Mayorista'!$D$54:$J$56,MATCH('Precios mayoristas efectivos'!$W77,'Precio Mayorista'!$C$54:$C$56,0),MATCH('Precio Mayorista'!H$24,'Precio Mayorista'!$D$29:$J$29,0))</f>
        <v>0</v>
      </c>
      <c r="AB77" s="385">
        <f>R67*INDEX('Precio Mayorista'!$D$54:$J$56,MATCH('Precios mayoristas efectivos'!$W77,'Precio Mayorista'!$C$54:$C$56,0),MATCH('Precio Mayorista'!I$24,'Precio Mayorista'!$D$29:$J$29,0))</f>
        <v>0</v>
      </c>
      <c r="AC77" s="385">
        <f>S67*INDEX('Precio Mayorista'!$D$54:$J$56,MATCH('Precios mayoristas efectivos'!$W77,'Precio Mayorista'!$C$54:$C$56,0),MATCH('Precio Mayorista'!J$24,'Precio Mayorista'!$D$29:$J$29,0))</f>
        <v>0</v>
      </c>
      <c r="AD77"/>
      <c r="AE77" s="286"/>
      <c r="AF77" s="382">
        <f>INDEX('Precio Mayorista'!$E$27:$J$27,MATCH('Precios mayoristas efectivos'!AF$76,'Precio Mayorista'!$E$20:$J$20,0))</f>
        <v>800000</v>
      </c>
      <c r="AG77" s="382">
        <f>INDEX('Precio Mayorista'!$E$27:$J$27,MATCH('Precios mayoristas efectivos'!AG$76,'Precio Mayorista'!$E$20:$J$20,0))</f>
        <v>800000</v>
      </c>
      <c r="AH77" s="382">
        <f>INDEX('Precio Mayorista'!$E$27:$J$27,MATCH('Precios mayoristas efectivos'!AH$76,'Precio Mayorista'!$E$20:$J$20,0))</f>
        <v>800000</v>
      </c>
      <c r="AI77" s="382">
        <f>INDEX('Precio Mayorista'!$E$27:$J$27,MATCH('Precios mayoristas efectivos'!AI$76,'Precio Mayorista'!$E$20:$J$20,0))</f>
        <v>500000</v>
      </c>
      <c r="AJ77" s="382">
        <f>INDEX('Precio Mayorista'!$E$27:$J$27,MATCH('Precios mayoristas efectivos'!AJ$76,'Precio Mayorista'!$E$20:$J$20,0))</f>
        <v>400000</v>
      </c>
      <c r="AK77" s="382">
        <f>INDEX('Precio Mayorista'!$E$27:$J$27,MATCH('Precios mayoristas efectivos'!AK$76,'Precio Mayorista'!$E$20:$J$20,0))</f>
        <v>400000</v>
      </c>
      <c r="AM77" s="358"/>
      <c r="AN77" s="73">
        <v>0</v>
      </c>
      <c r="AO77" s="73">
        <v>0</v>
      </c>
      <c r="AP77" s="73">
        <v>0</v>
      </c>
      <c r="AQ77" s="73">
        <v>0</v>
      </c>
      <c r="AR77" s="73">
        <v>0</v>
      </c>
      <c r="AS77" s="73">
        <v>0</v>
      </c>
    </row>
    <row r="78" spans="1:45" s="73" customFormat="1" x14ac:dyDescent="0.2">
      <c r="M78" s="239" t="s">
        <v>149</v>
      </c>
      <c r="N78" s="384">
        <f t="shared" ref="N78:S79" si="38">N68/N$80</f>
        <v>1.9607843137254902E-3</v>
      </c>
      <c r="O78" s="384">
        <f t="shared" si="38"/>
        <v>2.2010271460014674E-3</v>
      </c>
      <c r="P78" s="384">
        <f t="shared" si="38"/>
        <v>2.5990903183885639E-3</v>
      </c>
      <c r="Q78" s="384">
        <f t="shared" si="38"/>
        <v>3.3865505563618775E-3</v>
      </c>
      <c r="R78" s="384">
        <f t="shared" si="38"/>
        <v>5.681818181818182E-3</v>
      </c>
      <c r="S78" s="384">
        <f t="shared" si="38"/>
        <v>4.7846889952153117E-3</v>
      </c>
      <c r="W78" s="239" t="s">
        <v>149</v>
      </c>
      <c r="X78" s="385">
        <f>N68*INDEX('Precio Mayorista'!$D$54:$J$56,MATCH('Precios mayoristas efectivos'!$W78,'Precio Mayorista'!$C$54:$C$56,0),MATCH('Precio Mayorista'!E$24,'Precio Mayorista'!$D$29:$J$29,0))</f>
        <v>0</v>
      </c>
      <c r="Y78" s="385">
        <f>O68*INDEX('Precio Mayorista'!$D$54:$J$56,MATCH('Precios mayoristas efectivos'!$W78,'Precio Mayorista'!$C$54:$C$56,0),MATCH('Precio Mayorista'!F$24,'Precio Mayorista'!$D$29:$J$29,0))</f>
        <v>0</v>
      </c>
      <c r="Z78" s="385">
        <f>P68*INDEX('Precio Mayorista'!$D$54:$J$56,MATCH('Precios mayoristas efectivos'!$W78,'Precio Mayorista'!$C$54:$C$56,0),MATCH('Precio Mayorista'!G$24,'Precio Mayorista'!$D$29:$J$29,0))</f>
        <v>0</v>
      </c>
      <c r="AA78" s="385">
        <f>Q68*INDEX('Precio Mayorista'!$D$54:$J$56,MATCH('Precios mayoristas efectivos'!$W78,'Precio Mayorista'!$C$54:$C$56,0),MATCH('Precio Mayorista'!H$24,'Precio Mayorista'!$D$29:$J$29,0))</f>
        <v>0</v>
      </c>
      <c r="AB78" s="385">
        <f>R68*INDEX('Precio Mayorista'!$D$54:$J$56,MATCH('Precios mayoristas efectivos'!$W78,'Precio Mayorista'!$C$54:$C$56,0),MATCH('Precio Mayorista'!I$24,'Precio Mayorista'!$D$29:$J$29,0))</f>
        <v>0</v>
      </c>
      <c r="AC78" s="385">
        <f>S68*INDEX('Precio Mayorista'!$D$54:$J$56,MATCH('Precios mayoristas efectivos'!$W78,'Precio Mayorista'!$C$54:$C$56,0),MATCH('Precio Mayorista'!J$24,'Precio Mayorista'!$D$29:$J$29,0))</f>
        <v>0</v>
      </c>
      <c r="AD78"/>
    </row>
    <row r="79" spans="1:45" s="73" customFormat="1" ht="25.5" x14ac:dyDescent="0.2">
      <c r="M79" s="239" t="s">
        <v>169</v>
      </c>
      <c r="N79" s="384">
        <f t="shared" si="38"/>
        <v>0.98039215686274517</v>
      </c>
      <c r="O79" s="384">
        <f t="shared" si="38"/>
        <v>0.97823428711176319</v>
      </c>
      <c r="P79" s="384">
        <f t="shared" si="38"/>
        <v>0.97465886939571145</v>
      </c>
      <c r="Q79" s="384">
        <f t="shared" si="38"/>
        <v>0.96758587324625056</v>
      </c>
      <c r="R79" s="384">
        <f t="shared" si="38"/>
        <v>0.94696969696969691</v>
      </c>
      <c r="S79" s="384">
        <f t="shared" si="38"/>
        <v>0.9569377990430622</v>
      </c>
      <c r="W79" s="239" t="s">
        <v>169</v>
      </c>
      <c r="X79" s="385">
        <f>N69*INDEX('Precio Mayorista'!$D$54:$J$56,MATCH('Precios mayoristas efectivos'!$W79,'Precio Mayorista'!$C$54:$C$56,0),MATCH('Precio Mayorista'!E$24,'Precio Mayorista'!$D$29:$J$29,0))</f>
        <v>0</v>
      </c>
      <c r="Y79" s="385">
        <f>O69*INDEX('Precio Mayorista'!$D$54:$J$56,MATCH('Precios mayoristas efectivos'!$W79,'Precio Mayorista'!$C$54:$C$56,0),MATCH('Precio Mayorista'!F$24,'Precio Mayorista'!$D$29:$J$29,0))</f>
        <v>0</v>
      </c>
      <c r="Z79" s="385">
        <f>P69*INDEX('Precio Mayorista'!$D$54:$J$56,MATCH('Precios mayoristas efectivos'!$W79,'Precio Mayorista'!$C$54:$C$56,0),MATCH('Precio Mayorista'!G$24,'Precio Mayorista'!$D$29:$J$29,0))</f>
        <v>0</v>
      </c>
      <c r="AA79" s="385">
        <f>Q69*INDEX('Precio Mayorista'!$D$54:$J$56,MATCH('Precios mayoristas efectivos'!$W79,'Precio Mayorista'!$C$54:$C$56,0),MATCH('Precio Mayorista'!H$24,'Precio Mayorista'!$D$29:$J$29,0))</f>
        <v>0</v>
      </c>
      <c r="AB79" s="385">
        <f>R69*INDEX('Precio Mayorista'!$D$54:$J$56,MATCH('Precios mayoristas efectivos'!$W79,'Precio Mayorista'!$C$54:$C$56,0),MATCH('Precio Mayorista'!I$24,'Precio Mayorista'!$D$29:$J$29,0))</f>
        <v>0</v>
      </c>
      <c r="AC79" s="385">
        <f>S69*INDEX('Precio Mayorista'!$D$54:$J$56,MATCH('Precios mayoristas efectivos'!$W79,'Precio Mayorista'!$C$54:$C$56,0),MATCH('Precio Mayorista'!J$24,'Precio Mayorista'!$D$29:$J$29,0))</f>
        <v>0</v>
      </c>
      <c r="AD79"/>
      <c r="AE79" s="358"/>
    </row>
    <row r="80" spans="1:45" x14ac:dyDescent="0.2">
      <c r="A80" s="400"/>
      <c r="B80" s="400"/>
      <c r="C80" s="400"/>
      <c r="D80" s="400"/>
      <c r="E80" s="73"/>
      <c r="F80" s="73"/>
      <c r="G80" s="73"/>
      <c r="H80" s="73"/>
      <c r="I80" s="73"/>
      <c r="J80" s="73"/>
      <c r="K80" s="73"/>
      <c r="M80" s="358" t="s">
        <v>0</v>
      </c>
      <c r="N80" s="382">
        <f>SUM(N67:N69)</f>
        <v>1700000000</v>
      </c>
      <c r="O80" s="382">
        <f t="shared" ref="O80:S80" si="39">SUM(O67:O69)</f>
        <v>1363000000</v>
      </c>
      <c r="P80" s="382">
        <f t="shared" si="39"/>
        <v>1026000000</v>
      </c>
      <c r="Q80" s="382">
        <f t="shared" si="39"/>
        <v>689000000</v>
      </c>
      <c r="R80" s="382">
        <f t="shared" si="39"/>
        <v>352000000</v>
      </c>
      <c r="S80" s="382">
        <f t="shared" si="39"/>
        <v>348333333.33333331</v>
      </c>
      <c r="W80" s="358" t="s">
        <v>0</v>
      </c>
      <c r="X80" s="385">
        <f>SUM(X77:X79)</f>
        <v>0</v>
      </c>
      <c r="Y80" s="385">
        <f t="shared" ref="Y80:AC80" si="40">SUM(Y77:Y79)</f>
        <v>0</v>
      </c>
      <c r="Z80" s="385">
        <f t="shared" si="40"/>
        <v>0</v>
      </c>
      <c r="AA80" s="385">
        <f t="shared" si="40"/>
        <v>0</v>
      </c>
      <c r="AB80" s="385">
        <f t="shared" si="40"/>
        <v>0</v>
      </c>
      <c r="AC80" s="385">
        <f t="shared" si="40"/>
        <v>0</v>
      </c>
    </row>
    <row r="81" spans="1:45" x14ac:dyDescent="0.2">
      <c r="A81" s="73"/>
      <c r="B81" s="73"/>
      <c r="C81" s="73"/>
      <c r="D81" s="73"/>
      <c r="E81" s="73"/>
      <c r="F81" s="73"/>
      <c r="G81" s="73"/>
      <c r="H81" s="73"/>
      <c r="I81" s="73"/>
      <c r="J81" s="73"/>
      <c r="K81" s="73"/>
      <c r="M81" s="88" t="s">
        <v>52</v>
      </c>
      <c r="N81" s="73" t="b">
        <f>SUM(N77:N79)=1</f>
        <v>1</v>
      </c>
      <c r="O81" s="73" t="b">
        <f t="shared" ref="O81:S81" si="41">SUM(O77:O79)=1</f>
        <v>1</v>
      </c>
      <c r="P81" s="73" t="b">
        <f t="shared" si="41"/>
        <v>1</v>
      </c>
      <c r="Q81" s="73" t="b">
        <f t="shared" si="41"/>
        <v>1</v>
      </c>
      <c r="R81" s="73" t="b">
        <f t="shared" si="41"/>
        <v>1</v>
      </c>
      <c r="S81" s="73" t="b">
        <f t="shared" si="41"/>
        <v>1</v>
      </c>
      <c r="W81" s="286"/>
      <c r="X81" s="19"/>
      <c r="Y81" s="19"/>
      <c r="Z81" s="19"/>
      <c r="AA81" s="19"/>
      <c r="AB81" s="19"/>
      <c r="AC81" s="19"/>
    </row>
    <row r="82" spans="1:45" x14ac:dyDescent="0.2">
      <c r="A82" s="73"/>
      <c r="B82" s="73"/>
      <c r="C82" s="73"/>
      <c r="D82" s="73"/>
      <c r="E82" s="73"/>
      <c r="F82" s="73"/>
      <c r="G82" s="73"/>
      <c r="H82" s="73"/>
      <c r="I82" s="73"/>
      <c r="J82" s="73"/>
      <c r="K82" s="73"/>
      <c r="W82" s="286"/>
      <c r="X82" s="19"/>
      <c r="Y82" s="19"/>
      <c r="Z82" s="19"/>
      <c r="AA82" s="19"/>
      <c r="AB82" s="19"/>
      <c r="AC82" s="19"/>
    </row>
    <row r="83" spans="1:45" x14ac:dyDescent="0.2">
      <c r="A83" s="73"/>
      <c r="B83" s="73"/>
      <c r="C83" s="73"/>
      <c r="D83" s="73"/>
      <c r="E83" s="73"/>
      <c r="F83" s="73"/>
      <c r="G83" s="73"/>
      <c r="H83" s="73"/>
      <c r="I83" s="73"/>
      <c r="J83" s="73"/>
      <c r="K83" s="73"/>
      <c r="W83" s="360" t="s">
        <v>301</v>
      </c>
      <c r="X83" s="360"/>
      <c r="Y83" s="360"/>
      <c r="Z83" s="360"/>
      <c r="AA83" s="360"/>
      <c r="AB83" s="360"/>
      <c r="AC83" s="360"/>
      <c r="AE83" s="360" t="s">
        <v>303</v>
      </c>
      <c r="AF83" s="360"/>
      <c r="AG83" s="360"/>
      <c r="AH83" s="360"/>
      <c r="AI83" s="360"/>
      <c r="AJ83" s="360"/>
      <c r="AK83" s="360"/>
      <c r="AM83" s="360" t="s">
        <v>305</v>
      </c>
      <c r="AN83" s="360"/>
      <c r="AO83" s="360"/>
      <c r="AP83" s="360"/>
      <c r="AQ83" s="360"/>
      <c r="AR83" s="360"/>
      <c r="AS83" s="360"/>
    </row>
    <row r="84" spans="1:45" x14ac:dyDescent="0.2">
      <c r="A84" s="73"/>
      <c r="B84" s="73"/>
      <c r="C84" s="73"/>
      <c r="D84" s="73"/>
      <c r="E84" s="73"/>
      <c r="F84" s="73"/>
      <c r="G84" s="73"/>
      <c r="H84" s="73"/>
      <c r="I84" s="73"/>
      <c r="J84" s="73"/>
      <c r="K84" s="73"/>
    </row>
    <row r="85" spans="1:45" x14ac:dyDescent="0.2">
      <c r="A85" s="73"/>
      <c r="B85" s="73"/>
      <c r="C85" s="73"/>
      <c r="D85" s="73"/>
      <c r="E85" s="73"/>
      <c r="F85" s="73"/>
      <c r="G85" s="73"/>
      <c r="H85" s="73"/>
      <c r="I85" s="73"/>
      <c r="J85" s="73"/>
      <c r="K85" s="73"/>
      <c r="W85" s="286" t="s">
        <v>170</v>
      </c>
      <c r="X85" s="19" t="s">
        <v>259</v>
      </c>
      <c r="Y85" s="19" t="s">
        <v>260</v>
      </c>
      <c r="Z85" s="19" t="s">
        <v>261</v>
      </c>
      <c r="AA85" s="19" t="s">
        <v>262</v>
      </c>
      <c r="AB85" s="19" t="s">
        <v>263</v>
      </c>
      <c r="AC85" s="19" t="s">
        <v>264</v>
      </c>
      <c r="AE85" s="286" t="s">
        <v>172</v>
      </c>
      <c r="AF85" s="19" t="s">
        <v>259</v>
      </c>
      <c r="AG85" s="19" t="s">
        <v>260</v>
      </c>
      <c r="AH85" s="19" t="s">
        <v>261</v>
      </c>
      <c r="AI85" s="19" t="s">
        <v>262</v>
      </c>
      <c r="AJ85" s="19" t="s">
        <v>263</v>
      </c>
      <c r="AK85" s="19" t="s">
        <v>264</v>
      </c>
      <c r="AM85" s="286" t="s">
        <v>170</v>
      </c>
      <c r="AN85" s="304" t="s">
        <v>259</v>
      </c>
      <c r="AO85" s="304" t="s">
        <v>260</v>
      </c>
      <c r="AP85" s="304" t="s">
        <v>261</v>
      </c>
      <c r="AQ85" s="304" t="s">
        <v>262</v>
      </c>
      <c r="AR85" s="304" t="s">
        <v>263</v>
      </c>
      <c r="AS85" s="304" t="s">
        <v>264</v>
      </c>
    </row>
    <row r="86" spans="1:45" ht="25.5" x14ac:dyDescent="0.2">
      <c r="A86" s="73"/>
      <c r="B86" s="73"/>
      <c r="C86" s="73"/>
      <c r="D86" s="73"/>
      <c r="E86" s="73"/>
      <c r="F86" s="73"/>
      <c r="G86" s="73"/>
      <c r="H86" s="73"/>
      <c r="I86" s="73"/>
      <c r="J86" s="73"/>
      <c r="K86" s="73"/>
      <c r="W86" s="239" t="s">
        <v>168</v>
      </c>
      <c r="X86" s="382">
        <f t="shared" ref="X86:AC88" si="42">X$89*N77</f>
        <v>0</v>
      </c>
      <c r="Y86" s="382">
        <f t="shared" si="42"/>
        <v>0</v>
      </c>
      <c r="Z86" s="382">
        <f t="shared" si="42"/>
        <v>0</v>
      </c>
      <c r="AA86" s="382">
        <f t="shared" si="42"/>
        <v>0</v>
      </c>
      <c r="AB86" s="382">
        <f t="shared" si="42"/>
        <v>0</v>
      </c>
      <c r="AC86" s="382">
        <f t="shared" si="42"/>
        <v>0</v>
      </c>
      <c r="AF86" s="283">
        <f t="shared" ref="AF86:AK86" si="43">AF67-AF77</f>
        <v>200000</v>
      </c>
      <c r="AG86" s="283">
        <f t="shared" si="43"/>
        <v>100000</v>
      </c>
      <c r="AH86" s="283">
        <f t="shared" si="43"/>
        <v>0</v>
      </c>
      <c r="AI86" s="283">
        <f t="shared" si="43"/>
        <v>200000</v>
      </c>
      <c r="AJ86" s="283">
        <f t="shared" si="43"/>
        <v>200000</v>
      </c>
      <c r="AK86" s="283">
        <f t="shared" si="43"/>
        <v>100000</v>
      </c>
      <c r="AM86" s="286"/>
      <c r="AN86" s="385">
        <f>IFERROR(AF86*INDEX('Precio Mayorista'!$D$66:$J$66,MATCH('Precio Mayorista'!E$24,'Precio Mayorista'!$D$29:$J$29,0)),0)</f>
        <v>600000</v>
      </c>
      <c r="AO86" s="385">
        <f>IFERROR(AG86*INDEX('Precio Mayorista'!$D$66:$J$66,MATCH('Precio Mayorista'!F$24,'Precio Mayorista'!$D$29:$J$29,0)),0)</f>
        <v>300000</v>
      </c>
      <c r="AP86" s="385">
        <f>IFERROR(AH86*INDEX('Precio Mayorista'!$D$66:$J$66,MATCH('Precio Mayorista'!G$24,'Precio Mayorista'!$D$29:$J$29,0)),0)</f>
        <v>0</v>
      </c>
      <c r="AQ86" s="385">
        <f>IFERROR(AI86*INDEX('Precio Mayorista'!$D$66:$J$66,MATCH('Precio Mayorista'!H$24,'Precio Mayorista'!$D$29:$J$29,0)),0)</f>
        <v>600000</v>
      </c>
      <c r="AR86" s="385">
        <f>IFERROR(AJ86*INDEX('Precio Mayorista'!$D$66:$J$66,MATCH('Precio Mayorista'!I$24,'Precio Mayorista'!$D$29:$J$29,0)),0)</f>
        <v>600000</v>
      </c>
      <c r="AS86" s="385">
        <f>IFERROR(AK86*INDEX('Precio Mayorista'!$D$66:$J$66,MATCH('Precio Mayorista'!J$24,'Precio Mayorista'!$D$29:$J$29,0)),0)</f>
        <v>300000</v>
      </c>
    </row>
    <row r="87" spans="1:45" x14ac:dyDescent="0.2">
      <c r="A87" s="73"/>
      <c r="B87" s="73"/>
      <c r="C87" s="73"/>
      <c r="D87" s="73"/>
      <c r="E87" s="73"/>
      <c r="F87" s="73"/>
      <c r="G87" s="73"/>
      <c r="H87" s="73"/>
      <c r="I87" s="73"/>
      <c r="J87" s="73"/>
      <c r="K87" s="73"/>
      <c r="W87" s="239" t="s">
        <v>149</v>
      </c>
      <c r="X87" s="382">
        <f t="shared" si="42"/>
        <v>0</v>
      </c>
      <c r="Y87" s="382">
        <f t="shared" si="42"/>
        <v>0</v>
      </c>
      <c r="Z87" s="382">
        <f t="shared" si="42"/>
        <v>0</v>
      </c>
      <c r="AA87" s="382">
        <f t="shared" si="42"/>
        <v>0</v>
      </c>
      <c r="AB87" s="382">
        <f t="shared" si="42"/>
        <v>0</v>
      </c>
      <c r="AC87" s="382">
        <f t="shared" si="42"/>
        <v>0</v>
      </c>
    </row>
    <row r="88" spans="1:45" ht="25.5" x14ac:dyDescent="0.2">
      <c r="W88" s="239" t="s">
        <v>169</v>
      </c>
      <c r="X88" s="382">
        <f t="shared" si="42"/>
        <v>0</v>
      </c>
      <c r="Y88" s="382">
        <f t="shared" si="42"/>
        <v>0</v>
      </c>
      <c r="Z88" s="382">
        <f t="shared" si="42"/>
        <v>0</v>
      </c>
      <c r="AA88" s="382">
        <f t="shared" si="42"/>
        <v>0</v>
      </c>
      <c r="AB88" s="382">
        <f t="shared" si="42"/>
        <v>0</v>
      </c>
      <c r="AC88" s="382">
        <f t="shared" si="42"/>
        <v>0</v>
      </c>
    </row>
    <row r="89" spans="1:45" x14ac:dyDescent="0.2">
      <c r="A89" s="18"/>
      <c r="B89" s="18"/>
      <c r="C89" s="18"/>
      <c r="D89" s="18"/>
      <c r="W89" s="358" t="s">
        <v>0</v>
      </c>
      <c r="X89" s="382">
        <f>'Precio Mayorista'!$D$71/(Supuestos!$C$15*Supuestos!$C$7)</f>
        <v>0</v>
      </c>
      <c r="Y89" s="382">
        <f>'Precio Mayorista'!$D$71/(Supuestos!$C$15*Supuestos!$C$7)</f>
        <v>0</v>
      </c>
      <c r="Z89" s="382">
        <f>'Precio Mayorista'!$D$71/(Supuestos!$C$15*Supuestos!$C$7)</f>
        <v>0</v>
      </c>
      <c r="AA89" s="382">
        <f>'Precio Mayorista'!$D$71/(Supuestos!$C$15*Supuestos!$C$7)</f>
        <v>0</v>
      </c>
      <c r="AB89" s="382">
        <f>'Precio Mayorista'!$D$71/(Supuestos!$C$15*Supuestos!$C$7)</f>
        <v>0</v>
      </c>
      <c r="AC89" s="382">
        <f>'Precio Mayorista'!$D$71/(Supuestos!$C$15*Supuestos!$C$7)</f>
        <v>0</v>
      </c>
    </row>
    <row r="92" spans="1:45" s="200" customFormat="1" ht="12" customHeight="1" x14ac:dyDescent="0.2">
      <c r="B92" s="196" t="str">
        <f>'Hoja Auxiliar'!$B$35</f>
        <v>Descuentos por volumen</v>
      </c>
      <c r="F92" s="197"/>
      <c r="G92" s="198"/>
      <c r="H92" s="199"/>
      <c r="I92" s="199"/>
      <c r="J92" s="199"/>
    </row>
    <row r="93" spans="1:45" ht="13.5" thickBot="1" x14ac:dyDescent="0.25">
      <c r="A93" s="73"/>
    </row>
    <row r="94" spans="1:45" s="73" customFormat="1" x14ac:dyDescent="0.2">
      <c r="B94" s="419" t="s">
        <v>299</v>
      </c>
      <c r="C94" s="420"/>
      <c r="E94" s="360" t="s">
        <v>267</v>
      </c>
      <c r="F94" s="359"/>
      <c r="G94" s="359"/>
      <c r="H94" s="359"/>
      <c r="I94" s="359"/>
      <c r="J94" s="359"/>
      <c r="K94" s="359"/>
      <c r="M94" s="360" t="s">
        <v>297</v>
      </c>
      <c r="N94" s="359"/>
      <c r="O94" s="359"/>
      <c r="P94" s="359"/>
      <c r="Q94" s="359"/>
      <c r="R94" s="359"/>
      <c r="S94" s="359"/>
      <c r="W94" s="360" t="s">
        <v>266</v>
      </c>
      <c r="X94" s="359"/>
      <c r="Y94" s="359"/>
      <c r="Z94" s="359"/>
      <c r="AA94" s="359"/>
      <c r="AB94" s="359"/>
      <c r="AC94" s="359"/>
      <c r="AE94" s="360" t="s">
        <v>293</v>
      </c>
      <c r="AF94" s="360"/>
      <c r="AG94" s="360"/>
      <c r="AH94" s="360"/>
      <c r="AI94" s="360"/>
      <c r="AJ94" s="360"/>
      <c r="AK94" s="360"/>
      <c r="AM94" s="360" t="s">
        <v>292</v>
      </c>
      <c r="AN94" s="360"/>
      <c r="AO94" s="360"/>
      <c r="AP94" s="360"/>
      <c r="AQ94" s="360"/>
      <c r="AR94" s="360"/>
      <c r="AS94" s="360"/>
    </row>
    <row r="95" spans="1:45" ht="12" customHeight="1" x14ac:dyDescent="0.2">
      <c r="A95" s="73"/>
      <c r="B95" s="421"/>
      <c r="C95" s="422"/>
      <c r="L95" s="73"/>
    </row>
    <row r="96" spans="1:45" ht="12" customHeight="1" x14ac:dyDescent="0.2">
      <c r="A96" s="73"/>
      <c r="B96" s="423" t="s">
        <v>43</v>
      </c>
      <c r="C96" s="425"/>
      <c r="E96" s="360" t="s">
        <v>43</v>
      </c>
      <c r="L96" s="73"/>
      <c r="M96" s="286" t="s">
        <v>172</v>
      </c>
      <c r="N96" s="19" t="s">
        <v>259</v>
      </c>
      <c r="O96" s="19" t="s">
        <v>260</v>
      </c>
      <c r="P96" s="19" t="s">
        <v>261</v>
      </c>
      <c r="Q96" s="19" t="s">
        <v>262</v>
      </c>
      <c r="R96" s="19" t="s">
        <v>263</v>
      </c>
      <c r="S96" s="19" t="s">
        <v>264</v>
      </c>
      <c r="W96" s="286" t="s">
        <v>170</v>
      </c>
      <c r="X96" s="19" t="s">
        <v>259</v>
      </c>
      <c r="Y96" s="19" t="s">
        <v>260</v>
      </c>
      <c r="Z96" s="19" t="s">
        <v>261</v>
      </c>
      <c r="AA96" s="19" t="s">
        <v>262</v>
      </c>
      <c r="AB96" s="19" t="s">
        <v>263</v>
      </c>
      <c r="AC96" s="19" t="s">
        <v>264</v>
      </c>
      <c r="AE96" s="286" t="s">
        <v>172</v>
      </c>
      <c r="AF96" s="19" t="s">
        <v>259</v>
      </c>
      <c r="AG96" s="19" t="s">
        <v>260</v>
      </c>
      <c r="AH96" s="19" t="s">
        <v>261</v>
      </c>
      <c r="AI96" s="19" t="s">
        <v>262</v>
      </c>
      <c r="AJ96" s="19" t="s">
        <v>263</v>
      </c>
      <c r="AK96" s="19" t="s">
        <v>264</v>
      </c>
      <c r="AM96" s="286" t="s">
        <v>170</v>
      </c>
      <c r="AN96" s="19" t="s">
        <v>259</v>
      </c>
      <c r="AO96" s="19" t="s">
        <v>260</v>
      </c>
      <c r="AP96" s="19" t="s">
        <v>261</v>
      </c>
      <c r="AQ96" s="19" t="s">
        <v>262</v>
      </c>
      <c r="AR96" s="19" t="s">
        <v>263</v>
      </c>
      <c r="AS96" s="19" t="s">
        <v>264</v>
      </c>
    </row>
    <row r="97" spans="1:46" ht="12" customHeight="1" x14ac:dyDescent="0.2">
      <c r="A97" s="73"/>
      <c r="B97" s="424" t="s">
        <v>170</v>
      </c>
      <c r="C97" s="422"/>
      <c r="E97" s="286" t="s">
        <v>170</v>
      </c>
      <c r="F97" s="19" t="s">
        <v>259</v>
      </c>
      <c r="G97" s="19" t="s">
        <v>260</v>
      </c>
      <c r="H97" s="19" t="s">
        <v>261</v>
      </c>
      <c r="I97" s="19" t="s">
        <v>262</v>
      </c>
      <c r="J97" s="19" t="s">
        <v>263</v>
      </c>
      <c r="K97" s="19" t="s">
        <v>264</v>
      </c>
      <c r="L97" s="73"/>
      <c r="M97" s="239" t="s">
        <v>168</v>
      </c>
      <c r="N97" s="283">
        <f>INDEX('Informacion del AEP'!$F$84:$K$92,MATCH('Precios mayoristas efectivos'!$M97,'Informacion del AEP'!$B$84:$B$92,0),MATCH('Precios mayoristas efectivos'!N$96,'Informacion del AEP'!$F$82:$K$82,0))/3</f>
        <v>30000000</v>
      </c>
      <c r="O97" s="283">
        <f>INDEX('Informacion del AEP'!$F$84:$K$92,MATCH('Precios mayoristas efectivos'!$M97,'Informacion del AEP'!$B$84:$B$92,0),MATCH('Precios mayoristas efectivos'!O$96,'Informacion del AEP'!$F$82:$K$82,0))/3</f>
        <v>26666666.666666668</v>
      </c>
      <c r="P97" s="283">
        <f>INDEX('Informacion del AEP'!$F$84:$K$92,MATCH('Precios mayoristas efectivos'!$M97,'Informacion del AEP'!$B$84:$B$92,0),MATCH('Precios mayoristas efectivos'!P$96,'Informacion del AEP'!$F$82:$K$82,0))/3</f>
        <v>23333333.333333332</v>
      </c>
      <c r="Q97" s="283">
        <f>INDEX('Informacion del AEP'!$F$84:$K$92,MATCH('Precios mayoristas efectivos'!$M97,'Informacion del AEP'!$B$84:$B$92,0),MATCH('Precios mayoristas efectivos'!Q$96,'Informacion del AEP'!$F$82:$K$82,0))/3</f>
        <v>20000000</v>
      </c>
      <c r="R97" s="283">
        <f>INDEX('Informacion del AEP'!$F$84:$K$92,MATCH('Precios mayoristas efectivos'!$M97,'Informacion del AEP'!$B$84:$B$92,0),MATCH('Precios mayoristas efectivos'!R$96,'Informacion del AEP'!$F$82:$K$82,0))/3</f>
        <v>16666666.666666666</v>
      </c>
      <c r="S97" s="283">
        <f>INDEX('Informacion del AEP'!$F$84:$K$92,MATCH('Precios mayoristas efectivos'!$M97,'Informacion del AEP'!$B$84:$B$92,0),MATCH('Precios mayoristas efectivos'!S$96,'Informacion del AEP'!$F$82:$K$82,0))/3</f>
        <v>13333333.333333334</v>
      </c>
      <c r="T97" s="19"/>
      <c r="U97" s="19"/>
      <c r="V97" s="19"/>
      <c r="W97" s="239" t="s">
        <v>168</v>
      </c>
      <c r="X97" s="402">
        <f>N97*INDEX('Precio Mayorista'!$D$47:$J$49,MATCH($W97,'Precio Mayorista'!$C$47:$C$49,0),MATCH('Precio Mayorista'!E$24,'Precio Mayorista'!$D$29:$J$29,0))</f>
        <v>900000</v>
      </c>
      <c r="Y97" s="402">
        <f>O97*INDEX('Precio Mayorista'!$D$47:$J$49,MATCH($W97,'Precio Mayorista'!$C$47:$C$49,0),MATCH('Precio Mayorista'!F$24,'Precio Mayorista'!$D$29:$J$29,0))</f>
        <v>800000</v>
      </c>
      <c r="Z97" s="402">
        <f>P97*INDEX('Precio Mayorista'!$D$47:$J$49,MATCH($W97,'Precio Mayorista'!$C$47:$C$49,0),MATCH('Precio Mayorista'!G$24,'Precio Mayorista'!$D$29:$J$29,0))</f>
        <v>746666.66666666663</v>
      </c>
      <c r="AA97" s="402">
        <f>Q97*INDEX('Precio Mayorista'!$D$47:$J$49,MATCH($W97,'Precio Mayorista'!$C$47:$C$49,0),MATCH('Precio Mayorista'!H$24,'Precio Mayorista'!$D$29:$J$29,0))</f>
        <v>680000</v>
      </c>
      <c r="AB97" s="402">
        <f>R97*INDEX('Precio Mayorista'!$D$47:$J$49,MATCH($W97,'Precio Mayorista'!$C$47:$C$49,0),MATCH('Precio Mayorista'!I$24,'Precio Mayorista'!$D$29:$J$29,0))</f>
        <v>599999.99999999988</v>
      </c>
      <c r="AC97" s="402">
        <f>S97*INDEX('Precio Mayorista'!$D$47:$J$49,MATCH($W97,'Precio Mayorista'!$C$47:$C$49,0),MATCH('Precio Mayorista'!J$24,'Precio Mayorista'!$D$29:$J$29,0))</f>
        <v>480000</v>
      </c>
      <c r="AF97" s="283">
        <f>INDEX('Precio Mayorista'!$E$26:$J$26,MATCH('Precios mayoristas efectivos'!AF$96,'Precio Mayorista'!$E$20:$J$20,0))</f>
        <v>1000000</v>
      </c>
      <c r="AG97" s="283">
        <f>INDEX('Precio Mayorista'!$E$26:$J$26,MATCH('Precios mayoristas efectivos'!AG$96,'Precio Mayorista'!$E$20:$J$20,0))</f>
        <v>900000</v>
      </c>
      <c r="AH97" s="283">
        <f>INDEX('Precio Mayorista'!$E$26:$J$26,MATCH('Precios mayoristas efectivos'!AH$96,'Precio Mayorista'!$E$20:$J$20,0))</f>
        <v>800000</v>
      </c>
      <c r="AI97" s="283">
        <f>INDEX('Precio Mayorista'!$E$26:$J$26,MATCH('Precios mayoristas efectivos'!AI$96,'Precio Mayorista'!$E$20:$J$20,0))</f>
        <v>700000</v>
      </c>
      <c r="AJ97" s="283">
        <f>INDEX('Precio Mayorista'!$E$26:$J$26,MATCH('Precios mayoristas efectivos'!AJ$96,'Precio Mayorista'!$E$20:$J$20,0))</f>
        <v>600000</v>
      </c>
      <c r="AK97" s="283">
        <f>INDEX('Precio Mayorista'!$E$26:$J$26,MATCH('Precios mayoristas efectivos'!AK$96,'Precio Mayorista'!$E$20:$J$20,0))</f>
        <v>500000</v>
      </c>
      <c r="AM97" s="358"/>
      <c r="AN97" s="283">
        <f>AN106+AN111</f>
        <v>600000</v>
      </c>
      <c r="AO97" s="283">
        <f t="shared" ref="AO97:AS97" si="44">AO106+AO111</f>
        <v>300000</v>
      </c>
      <c r="AP97" s="283">
        <f t="shared" si="44"/>
        <v>0</v>
      </c>
      <c r="AQ97" s="283">
        <f t="shared" si="44"/>
        <v>600000</v>
      </c>
      <c r="AR97" s="283">
        <f t="shared" si="44"/>
        <v>600000</v>
      </c>
      <c r="AS97" s="283">
        <f t="shared" si="44"/>
        <v>300000</v>
      </c>
    </row>
    <row r="98" spans="1:46" ht="12" customHeight="1" x14ac:dyDescent="0.2">
      <c r="A98" s="73"/>
      <c r="B98" s="426" t="s">
        <v>168</v>
      </c>
      <c r="C98" s="479">
        <f>SUMPRODUCT(F98:K98,N97:S97)/SUM(N97:S97)</f>
        <v>3.2358974358974356E-2</v>
      </c>
      <c r="E98" s="239" t="s">
        <v>168</v>
      </c>
      <c r="F98" s="478">
        <f>INDEX('Precio Mayorista'!$D$47:$J$49,MATCH($E11,'Precio Mayorista'!$C$47:$C$49,0),MATCH('Precio Mayorista'!E$24,'Precio Mayorista'!$D$29:$J$29,0))</f>
        <v>0.03</v>
      </c>
      <c r="G98" s="478">
        <f>INDEX('Precio Mayorista'!$D$47:$J$49,MATCH($E11,'Precio Mayorista'!$C$47:$C$49,0),MATCH('Precio Mayorista'!F$24,'Precio Mayorista'!$D$29:$J$29,0))</f>
        <v>0.03</v>
      </c>
      <c r="H98" s="478">
        <f>INDEX('Precio Mayorista'!$D$47:$J$49,MATCH($E11,'Precio Mayorista'!$C$47:$C$49,0),MATCH('Precio Mayorista'!G$24,'Precio Mayorista'!$D$29:$J$29,0))</f>
        <v>3.2000000000000001E-2</v>
      </c>
      <c r="I98" s="478">
        <f>INDEX('Precio Mayorista'!$D$47:$J$49,MATCH($E11,'Precio Mayorista'!$C$47:$C$49,0),MATCH('Precio Mayorista'!H$24,'Precio Mayorista'!$D$29:$J$29,0))</f>
        <v>3.4000000000000002E-2</v>
      </c>
      <c r="J98" s="478">
        <f>INDEX('Precio Mayorista'!$D$47:$J$49,MATCH($E11,'Precio Mayorista'!$C$47:$C$49,0),MATCH('Precio Mayorista'!I$24,'Precio Mayorista'!$D$29:$J$29,0))</f>
        <v>3.5999999999999997E-2</v>
      </c>
      <c r="K98" s="478">
        <f>INDEX('Precio Mayorista'!$D$47:$J$49,MATCH($E11,'Precio Mayorista'!$C$47:$C$49,0),MATCH('Precio Mayorista'!J$24,'Precio Mayorista'!$D$29:$J$29,0))</f>
        <v>3.5999999999999997E-2</v>
      </c>
      <c r="L98" s="73"/>
      <c r="M98" s="239" t="s">
        <v>149</v>
      </c>
      <c r="N98" s="283">
        <f>INDEX('Informacion del AEP'!$F$84:$K$92,MATCH('Precios mayoristas efectivos'!$M98,'Informacion del AEP'!$B$84:$B$92,0),MATCH('Precios mayoristas efectivos'!N$96,'Informacion del AEP'!$F$82:$K$82,0))/3</f>
        <v>3333333.3333333335</v>
      </c>
      <c r="O98" s="283">
        <f>INDEX('Informacion del AEP'!$F$84:$K$92,MATCH('Precios mayoristas efectivos'!$M98,'Informacion del AEP'!$B$84:$B$92,0),MATCH('Precios mayoristas efectivos'!O$96,'Informacion del AEP'!$F$82:$K$82,0))/3</f>
        <v>3000000</v>
      </c>
      <c r="P98" s="283">
        <f>INDEX('Informacion del AEP'!$F$84:$K$92,MATCH('Precios mayoristas efectivos'!$M98,'Informacion del AEP'!$B$84:$B$92,0),MATCH('Precios mayoristas efectivos'!P$96,'Informacion del AEP'!$F$82:$K$82,0))/3</f>
        <v>2666666.6666666665</v>
      </c>
      <c r="Q98" s="283">
        <f>INDEX('Informacion del AEP'!$F$84:$K$92,MATCH('Precios mayoristas efectivos'!$M98,'Informacion del AEP'!$B$84:$B$92,0),MATCH('Precios mayoristas efectivos'!Q$96,'Informacion del AEP'!$F$82:$K$82,0))/3</f>
        <v>2333333.3333333335</v>
      </c>
      <c r="R98" s="283">
        <f>INDEX('Informacion del AEP'!$F$84:$K$92,MATCH('Precios mayoristas efectivos'!$M98,'Informacion del AEP'!$B$84:$B$92,0),MATCH('Precios mayoristas efectivos'!R$96,'Informacion del AEP'!$F$82:$K$82,0))/3</f>
        <v>2000000</v>
      </c>
      <c r="S98" s="283">
        <f>INDEX('Informacion del AEP'!$F$84:$K$92,MATCH('Precios mayoristas efectivos'!$M98,'Informacion del AEP'!$B$84:$B$92,0),MATCH('Precios mayoristas efectivos'!S$96,'Informacion del AEP'!$F$82:$K$82,0))/3</f>
        <v>1666666.6666666667</v>
      </c>
      <c r="W98" s="239" t="s">
        <v>149</v>
      </c>
      <c r="X98" s="402">
        <f>N98*INDEX('Precio Mayorista'!$D$47:$J$49,MATCH($W98,'Precio Mayorista'!$C$47:$C$49,0),MATCH('Precio Mayorista'!E$24,'Precio Mayorista'!$D$29:$J$29,0))</f>
        <v>50000</v>
      </c>
      <c r="Y98" s="402">
        <f>O98*INDEX('Precio Mayorista'!$D$47:$J$49,MATCH($W98,'Precio Mayorista'!$C$47:$C$49,0),MATCH('Precio Mayorista'!F$24,'Precio Mayorista'!$D$29:$J$29,0))</f>
        <v>45000</v>
      </c>
      <c r="Z98" s="402">
        <f>P98*INDEX('Precio Mayorista'!$D$47:$J$49,MATCH($W98,'Precio Mayorista'!$C$47:$C$49,0),MATCH('Precio Mayorista'!G$24,'Precio Mayorista'!$D$29:$J$29,0))</f>
        <v>42666.666666666664</v>
      </c>
      <c r="AA98" s="402">
        <f>Q98*INDEX('Precio Mayorista'!$D$47:$J$49,MATCH($W98,'Precio Mayorista'!$C$47:$C$49,0),MATCH('Precio Mayorista'!H$24,'Precio Mayorista'!$D$29:$J$29,0))</f>
        <v>39666.666666666672</v>
      </c>
      <c r="AB98" s="402">
        <f>R98*INDEX('Precio Mayorista'!$D$47:$J$49,MATCH($W98,'Precio Mayorista'!$C$47:$C$49,0),MATCH('Precio Mayorista'!I$24,'Precio Mayorista'!$D$29:$J$29,0))</f>
        <v>36000</v>
      </c>
      <c r="AC98" s="402">
        <f>S98*INDEX('Precio Mayorista'!$D$47:$J$49,MATCH($W98,'Precio Mayorista'!$C$47:$C$49,0),MATCH('Precio Mayorista'!J$24,'Precio Mayorista'!$D$29:$J$29,0))</f>
        <v>30000</v>
      </c>
    </row>
    <row r="99" spans="1:46" ht="12" customHeight="1" x14ac:dyDescent="0.2">
      <c r="A99" s="73"/>
      <c r="B99" s="426" t="s">
        <v>149</v>
      </c>
      <c r="C99" s="479">
        <f>SUMPRODUCT(F99:K99,N98:S98)/SUM(N98:S98)</f>
        <v>1.6222222222222221E-2</v>
      </c>
      <c r="E99" s="239" t="s">
        <v>149</v>
      </c>
      <c r="F99" s="478">
        <f>INDEX('Precio Mayorista'!$D$47:$J$49,MATCH($E12,'Precio Mayorista'!$C$47:$C$49,0),MATCH('Precio Mayorista'!E$24,'Precio Mayorista'!$D$29:$J$29,0))</f>
        <v>1.4999999999999999E-2</v>
      </c>
      <c r="G99" s="478">
        <f>INDEX('Precio Mayorista'!$D$47:$J$49,MATCH($E12,'Precio Mayorista'!$C$47:$C$49,0),MATCH('Precio Mayorista'!F$24,'Precio Mayorista'!$D$29:$J$29,0))</f>
        <v>1.4999999999999999E-2</v>
      </c>
      <c r="H99" s="478">
        <f>INDEX('Precio Mayorista'!$D$47:$J$49,MATCH($E12,'Precio Mayorista'!$C$47:$C$49,0),MATCH('Precio Mayorista'!G$24,'Precio Mayorista'!$D$29:$J$29,0))</f>
        <v>1.6E-2</v>
      </c>
      <c r="I99" s="478">
        <f>INDEX('Precio Mayorista'!$D$47:$J$49,MATCH($E12,'Precio Mayorista'!$C$47:$C$49,0),MATCH('Precio Mayorista'!H$24,'Precio Mayorista'!$D$29:$J$29,0))</f>
        <v>1.7000000000000001E-2</v>
      </c>
      <c r="J99" s="478">
        <f>INDEX('Precio Mayorista'!$D$47:$J$49,MATCH($E12,'Precio Mayorista'!$C$47:$C$49,0),MATCH('Precio Mayorista'!I$24,'Precio Mayorista'!$D$29:$J$29,0))</f>
        <v>1.7999999999999999E-2</v>
      </c>
      <c r="K99" s="478">
        <f>INDEX('Precio Mayorista'!$D$47:$J$49,MATCH($E12,'Precio Mayorista'!$C$47:$C$49,0),MATCH('Precio Mayorista'!J$24,'Precio Mayorista'!$D$29:$J$29,0))</f>
        <v>1.7999999999999999E-2</v>
      </c>
      <c r="L99" s="73"/>
      <c r="M99" s="239" t="s">
        <v>169</v>
      </c>
      <c r="N99" s="283">
        <f>INDEX('Informacion del AEP'!$F$84:$K$92,MATCH('Precios mayoristas efectivos'!$M99,'Informacion del AEP'!$B$84:$B$92,0),MATCH('Precios mayoristas efectivos'!N$96,'Informacion del AEP'!$F$82:$K$82,0))/3</f>
        <v>1666666666.6666667</v>
      </c>
      <c r="O99" s="283">
        <f>INDEX('Informacion del AEP'!$F$84:$K$92,MATCH('Precios mayoristas efectivos'!$M99,'Informacion del AEP'!$B$84:$B$92,0),MATCH('Precios mayoristas efectivos'!O$96,'Informacion del AEP'!$F$82:$K$82,0))/3</f>
        <v>1333333333.3333333</v>
      </c>
      <c r="P99" s="283">
        <f>INDEX('Informacion del AEP'!$F$84:$K$92,MATCH('Precios mayoristas efectivos'!$M99,'Informacion del AEP'!$B$84:$B$92,0),MATCH('Precios mayoristas efectivos'!P$96,'Informacion del AEP'!$F$82:$K$82,0))/3</f>
        <v>1000000000</v>
      </c>
      <c r="Q99" s="283">
        <f>INDEX('Informacion del AEP'!$F$84:$K$92,MATCH('Precios mayoristas efectivos'!$M99,'Informacion del AEP'!$B$84:$B$92,0),MATCH('Precios mayoristas efectivos'!Q$96,'Informacion del AEP'!$F$82:$K$82,0))/3</f>
        <v>666666666.66666663</v>
      </c>
      <c r="R99" s="283">
        <f>INDEX('Informacion del AEP'!$F$84:$K$92,MATCH('Precios mayoristas efectivos'!$M99,'Informacion del AEP'!$B$84:$B$92,0),MATCH('Precios mayoristas efectivos'!R$96,'Informacion del AEP'!$F$82:$K$82,0))/3</f>
        <v>333333333.33333331</v>
      </c>
      <c r="S99" s="283">
        <f>INDEX('Informacion del AEP'!$F$84:$K$92,MATCH('Precios mayoristas efectivos'!$M99,'Informacion del AEP'!$B$84:$B$92,0),MATCH('Precios mayoristas efectivos'!S$96,'Informacion del AEP'!$F$82:$K$82,0))/3</f>
        <v>333333333.33333331</v>
      </c>
      <c r="W99" s="239" t="s">
        <v>169</v>
      </c>
      <c r="X99" s="402">
        <f t="shared" ref="X99:AC99" si="45">INDEX($N$115:$S$115,MATCH(X$96,$N$106:$S$106,0))</f>
        <v>25000000</v>
      </c>
      <c r="Y99" s="402">
        <f t="shared" si="45"/>
        <v>19999999.999999996</v>
      </c>
      <c r="Z99" s="402">
        <f t="shared" si="45"/>
        <v>16750000</v>
      </c>
      <c r="AA99" s="402">
        <f t="shared" si="45"/>
        <v>11333333.333333334</v>
      </c>
      <c r="AB99" s="402">
        <f t="shared" si="45"/>
        <v>6500000</v>
      </c>
      <c r="AC99" s="402">
        <f t="shared" si="45"/>
        <v>6500000</v>
      </c>
    </row>
    <row r="100" spans="1:46" ht="12" customHeight="1" x14ac:dyDescent="0.2">
      <c r="A100" s="73"/>
      <c r="B100" s="426" t="s">
        <v>169</v>
      </c>
      <c r="C100" s="479">
        <f>SUMPRODUCT(F100:K100,N99:S99)/SUM(N99:S99)</f>
        <v>1.58125E-2</v>
      </c>
      <c r="E100" s="239" t="s">
        <v>169</v>
      </c>
      <c r="F100" s="478">
        <f>INDEX('Precio Mayorista'!$D$47:$J$49,MATCH($E13,'Precio Mayorista'!$C$47:$C$49,0),MATCH('Precio Mayorista'!E$24,'Precio Mayorista'!$D$29:$J$29,0))</f>
        <v>1.4999999999999999E-2</v>
      </c>
      <c r="G100" s="478">
        <f>INDEX('Precio Mayorista'!$D$47:$J$49,MATCH($E13,'Precio Mayorista'!$C$47:$C$49,0),MATCH('Precio Mayorista'!F$24,'Precio Mayorista'!$D$29:$J$29,0))</f>
        <v>1.4999999999999999E-2</v>
      </c>
      <c r="H100" s="478">
        <f>INDEX('Precio Mayorista'!$D$47:$J$49,MATCH($E13,'Precio Mayorista'!$C$47:$C$49,0),MATCH('Precio Mayorista'!G$24,'Precio Mayorista'!$D$29:$J$29,0))</f>
        <v>1.6E-2</v>
      </c>
      <c r="I100" s="478">
        <f>INDEX('Precio Mayorista'!$D$47:$J$49,MATCH($E13,'Precio Mayorista'!$C$47:$C$49,0),MATCH('Precio Mayorista'!H$24,'Precio Mayorista'!$D$29:$J$29,0))</f>
        <v>1.7000000000000001E-2</v>
      </c>
      <c r="J100" s="478">
        <f>INDEX('Precio Mayorista'!$D$47:$J$49,MATCH($E13,'Precio Mayorista'!$C$47:$C$49,0),MATCH('Precio Mayorista'!I$24,'Precio Mayorista'!$D$29:$J$29,0))</f>
        <v>1.7999999999999999E-2</v>
      </c>
      <c r="K100" s="478">
        <f>INDEX('Precio Mayorista'!$D$47:$J$49,MATCH($E13,'Precio Mayorista'!$C$47:$C$49,0),MATCH('Precio Mayorista'!J$24,'Precio Mayorista'!$D$29:$J$29,0))</f>
        <v>1.7999999999999999E-2</v>
      </c>
      <c r="L100" s="73"/>
      <c r="M100" s="358"/>
      <c r="N100" s="283"/>
      <c r="O100" s="283"/>
      <c r="P100" s="283"/>
      <c r="Q100" s="283"/>
      <c r="R100" s="283"/>
      <c r="S100" s="283"/>
      <c r="W100" s="358" t="s">
        <v>0</v>
      </c>
      <c r="X100" s="240">
        <f t="shared" ref="X100" si="46">SUM(X97:X99)</f>
        <v>25950000</v>
      </c>
      <c r="Y100" s="240">
        <f t="shared" ref="Y100:AC100" si="47">SUM(Y97:Y99)</f>
        <v>20844999.999999996</v>
      </c>
      <c r="Z100" s="240">
        <f t="shared" si="47"/>
        <v>17539333.333333332</v>
      </c>
      <c r="AA100" s="240">
        <f t="shared" si="47"/>
        <v>12053000</v>
      </c>
      <c r="AB100" s="240">
        <f t="shared" si="47"/>
        <v>7136000</v>
      </c>
      <c r="AC100" s="240">
        <f t="shared" si="47"/>
        <v>7010000</v>
      </c>
      <c r="AN100" s="304"/>
      <c r="AO100" s="73"/>
      <c r="AP100" s="73"/>
      <c r="AQ100" s="73"/>
      <c r="AR100" s="73"/>
      <c r="AS100" s="73"/>
      <c r="AT100" s="73"/>
    </row>
    <row r="101" spans="1:46" ht="12" customHeight="1" x14ac:dyDescent="0.2">
      <c r="A101" s="73"/>
      <c r="B101" s="421"/>
      <c r="C101" s="422"/>
      <c r="E101" s="358"/>
      <c r="L101" s="73"/>
      <c r="W101" s="550" t="s">
        <v>306</v>
      </c>
      <c r="X101" s="551"/>
      <c r="Y101" s="551"/>
      <c r="Z101" s="551"/>
      <c r="AA101" s="551"/>
      <c r="AB101" s="551"/>
      <c r="AC101" s="551"/>
      <c r="AN101" s="73"/>
      <c r="AO101" s="73"/>
      <c r="AP101" s="73"/>
      <c r="AQ101" s="73"/>
      <c r="AR101" s="73"/>
      <c r="AS101" s="73"/>
      <c r="AT101" s="73"/>
    </row>
    <row r="102" spans="1:46" ht="12" customHeight="1" x14ac:dyDescent="0.2">
      <c r="A102" s="73"/>
      <c r="B102" s="421"/>
      <c r="C102" s="422"/>
      <c r="E102" s="358"/>
      <c r="L102" s="73"/>
      <c r="M102" s="358"/>
      <c r="W102" s="358"/>
      <c r="AN102" s="304"/>
      <c r="AO102" s="73"/>
      <c r="AP102" s="73"/>
      <c r="AQ102" s="73"/>
      <c r="AR102" s="73"/>
      <c r="AS102" s="73"/>
      <c r="AT102" s="73"/>
    </row>
    <row r="103" spans="1:46" ht="12" customHeight="1" x14ac:dyDescent="0.2">
      <c r="A103" s="73"/>
      <c r="B103" s="423" t="s">
        <v>152</v>
      </c>
      <c r="C103" s="422"/>
      <c r="E103" s="360" t="s">
        <v>152</v>
      </c>
      <c r="L103" s="73"/>
      <c r="M103" s="360" t="s">
        <v>307</v>
      </c>
      <c r="N103" s="360"/>
      <c r="O103" s="360"/>
      <c r="P103" s="360"/>
      <c r="Q103" s="360"/>
      <c r="R103" s="360"/>
      <c r="S103" s="360"/>
      <c r="T103" s="360"/>
      <c r="U103" s="360"/>
      <c r="V103" s="304"/>
      <c r="AE103" s="360" t="s">
        <v>308</v>
      </c>
      <c r="AF103" s="360"/>
      <c r="AG103" s="360"/>
      <c r="AH103" s="360"/>
      <c r="AI103" s="360"/>
      <c r="AJ103" s="360"/>
      <c r="AK103" s="360"/>
      <c r="AM103" s="360" t="s">
        <v>309</v>
      </c>
      <c r="AN103" s="360"/>
      <c r="AO103" s="360"/>
      <c r="AP103" s="360"/>
      <c r="AQ103" s="360"/>
      <c r="AR103" s="360"/>
      <c r="AS103" s="360"/>
    </row>
    <row r="104" spans="1:46" ht="12" customHeight="1" thickBot="1" x14ac:dyDescent="0.25">
      <c r="A104" s="73"/>
      <c r="B104" s="431" t="s">
        <v>170</v>
      </c>
      <c r="C104" s="483">
        <f>SUMPRODUCT(F105:K105,AF97:AK97)/SUM(AF97:AK97)</f>
        <v>0.53333333333333333</v>
      </c>
      <c r="E104" s="286" t="s">
        <v>170</v>
      </c>
      <c r="F104" s="19" t="s">
        <v>259</v>
      </c>
      <c r="G104" s="19" t="s">
        <v>260</v>
      </c>
      <c r="H104" s="19" t="s">
        <v>261</v>
      </c>
      <c r="I104" s="19" t="s">
        <v>262</v>
      </c>
      <c r="J104" s="19" t="s">
        <v>263</v>
      </c>
      <c r="K104" s="19" t="s">
        <v>264</v>
      </c>
      <c r="L104" s="73"/>
      <c r="T104" s="19"/>
      <c r="U104" s="19"/>
      <c r="V104" s="19"/>
    </row>
    <row r="105" spans="1:46" x14ac:dyDescent="0.2">
      <c r="A105" s="73"/>
      <c r="E105" s="286"/>
      <c r="F105" s="402">
        <f>AN97/AF97</f>
        <v>0.6</v>
      </c>
      <c r="G105" s="18">
        <f t="shared" ref="G105:K105" si="48">AO97/AG97</f>
        <v>0.33333333333333331</v>
      </c>
      <c r="H105" s="18">
        <f t="shared" si="48"/>
        <v>0</v>
      </c>
      <c r="I105" s="18">
        <f t="shared" si="48"/>
        <v>0.8571428571428571</v>
      </c>
      <c r="J105" s="18">
        <f t="shared" si="48"/>
        <v>1</v>
      </c>
      <c r="K105" s="18">
        <f t="shared" si="48"/>
        <v>0.6</v>
      </c>
      <c r="L105" s="73"/>
      <c r="N105" s="386"/>
      <c r="O105" s="386"/>
      <c r="P105" s="386"/>
      <c r="Q105" s="386"/>
      <c r="R105" s="386"/>
      <c r="S105" s="386"/>
      <c r="T105" s="363"/>
      <c r="U105" s="363"/>
      <c r="V105" s="363"/>
      <c r="W105" s="363"/>
      <c r="AE105" s="286" t="s">
        <v>172</v>
      </c>
      <c r="AF105" s="19" t="s">
        <v>259</v>
      </c>
      <c r="AG105" s="19" t="s">
        <v>260</v>
      </c>
      <c r="AH105" s="19" t="s">
        <v>261</v>
      </c>
      <c r="AI105" s="19" t="s">
        <v>262</v>
      </c>
      <c r="AJ105" s="19" t="s">
        <v>263</v>
      </c>
      <c r="AK105" s="19" t="s">
        <v>264</v>
      </c>
      <c r="AM105" s="286" t="s">
        <v>170</v>
      </c>
      <c r="AN105" s="19" t="s">
        <v>259</v>
      </c>
      <c r="AO105" s="19" t="s">
        <v>260</v>
      </c>
      <c r="AP105" s="19" t="s">
        <v>261</v>
      </c>
      <c r="AQ105" s="19" t="s">
        <v>262</v>
      </c>
      <c r="AR105" s="19" t="s">
        <v>263</v>
      </c>
      <c r="AS105" s="19" t="s">
        <v>264</v>
      </c>
    </row>
    <row r="106" spans="1:46" ht="13.5" thickBot="1" x14ac:dyDescent="0.25">
      <c r="A106" s="73"/>
      <c r="L106" s="73"/>
      <c r="M106" s="73"/>
      <c r="N106" s="19" t="s">
        <v>259</v>
      </c>
      <c r="O106" s="19" t="s">
        <v>260</v>
      </c>
      <c r="P106" s="19" t="s">
        <v>261</v>
      </c>
      <c r="Q106" s="19" t="s">
        <v>262</v>
      </c>
      <c r="R106" s="19" t="s">
        <v>263</v>
      </c>
      <c r="S106" s="19" t="s">
        <v>264</v>
      </c>
      <c r="T106" s="168"/>
      <c r="U106" s="168"/>
      <c r="V106" s="168"/>
      <c r="W106" s="168"/>
      <c r="AE106" s="286"/>
      <c r="AF106" s="382">
        <f>INDEX('Precio Mayorista'!$E$27:$J$27,MATCH('Precios mayoristas efectivos'!AF$105,'Precio Mayorista'!$E$20:$J$20,0))</f>
        <v>800000</v>
      </c>
      <c r="AG106" s="382">
        <f>INDEX('Precio Mayorista'!$E$27:$J$27,MATCH('Precios mayoristas efectivos'!AG$105,'Precio Mayorista'!$E$20:$J$20,0))</f>
        <v>800000</v>
      </c>
      <c r="AH106" s="382">
        <f>INDEX('Precio Mayorista'!$E$27:$J$27,MATCH('Precios mayoristas efectivos'!AH$105,'Precio Mayorista'!$E$20:$J$20,0))</f>
        <v>800000</v>
      </c>
      <c r="AI106" s="382">
        <f>INDEX('Precio Mayorista'!$E$27:$J$27,MATCH('Precios mayoristas efectivos'!AI$105,'Precio Mayorista'!$E$20:$J$20,0))</f>
        <v>500000</v>
      </c>
      <c r="AJ106" s="382">
        <f>INDEX('Precio Mayorista'!$E$27:$J$27,MATCH('Precios mayoristas efectivos'!AJ$105,'Precio Mayorista'!$E$20:$J$20,0))</f>
        <v>400000</v>
      </c>
      <c r="AK106" s="382">
        <f>INDEX('Precio Mayorista'!$E$27:$J$27,MATCH('Precios mayoristas efectivos'!AK$105,'Precio Mayorista'!$E$20:$J$20,0))</f>
        <v>400000</v>
      </c>
      <c r="AM106" s="358"/>
      <c r="AN106" s="73">
        <f>INDEX('Precio Mayorista'!$D$63:$J$63,1,MATCH('Precio Mayorista'!E$24,'Precio Mayorista'!$D$29:$J$29,0))</f>
        <v>0</v>
      </c>
      <c r="AO106" s="73">
        <f>INDEX('Precio Mayorista'!$D$63:$J$63,1,MATCH('Precio Mayorista'!F$24,'Precio Mayorista'!$D$29:$J$29,0))</f>
        <v>0</v>
      </c>
      <c r="AP106" s="73">
        <f>INDEX('Precio Mayorista'!$D$63:$J$63,1,MATCH('Precio Mayorista'!G$24,'Precio Mayorista'!$D$29:$J$29,0))</f>
        <v>0</v>
      </c>
      <c r="AQ106" s="73">
        <f>INDEX('Precio Mayorista'!$D$63:$J$63,1,MATCH('Precio Mayorista'!H$24,'Precio Mayorista'!$D$29:$J$29,0))</f>
        <v>0</v>
      </c>
      <c r="AR106" s="73">
        <f>INDEX('Precio Mayorista'!$D$63:$J$63,1,MATCH('Precio Mayorista'!I$24,'Precio Mayorista'!$D$29:$J$29,0))</f>
        <v>0</v>
      </c>
      <c r="AS106" s="73">
        <f>INDEX('Precio Mayorista'!$D$63:$J$63,1,MATCH('Precio Mayorista'!J$24,'Precio Mayorista'!$D$29:$J$29,0))</f>
        <v>0</v>
      </c>
    </row>
    <row r="107" spans="1:46" s="73" customFormat="1" ht="51" x14ac:dyDescent="0.2">
      <c r="B107"/>
      <c r="C107"/>
      <c r="D107"/>
      <c r="E107"/>
      <c r="F107"/>
      <c r="G107"/>
      <c r="H107"/>
      <c r="I107"/>
      <c r="J107"/>
      <c r="K107"/>
      <c r="M107" s="554" t="s">
        <v>226</v>
      </c>
      <c r="N107" s="556" t="s">
        <v>228</v>
      </c>
      <c r="O107" s="556" t="s">
        <v>228</v>
      </c>
      <c r="P107" s="556" t="s">
        <v>228</v>
      </c>
      <c r="Q107" s="556" t="s">
        <v>228</v>
      </c>
      <c r="R107" s="556" t="s">
        <v>228</v>
      </c>
      <c r="S107" s="556" t="s">
        <v>228</v>
      </c>
      <c r="T107" s="410" t="s">
        <v>225</v>
      </c>
      <c r="U107" s="410" t="s">
        <v>192</v>
      </c>
      <c r="V107" s="445"/>
      <c r="AM107"/>
    </row>
    <row r="108" spans="1:46" s="73" customFormat="1" x14ac:dyDescent="0.2">
      <c r="M108" s="555"/>
      <c r="N108" s="557"/>
      <c r="O108" s="557"/>
      <c r="P108" s="557"/>
      <c r="Q108" s="557"/>
      <c r="R108" s="557"/>
      <c r="S108" s="557"/>
      <c r="T108" s="403"/>
      <c r="U108" s="403"/>
      <c r="V108" s="403"/>
      <c r="AE108" s="360" t="s">
        <v>303</v>
      </c>
      <c r="AF108" s="360"/>
      <c r="AG108" s="360"/>
      <c r="AH108" s="360"/>
      <c r="AI108" s="360"/>
      <c r="AJ108" s="360"/>
      <c r="AK108" s="360"/>
      <c r="AM108" s="360" t="s">
        <v>305</v>
      </c>
      <c r="AN108" s="360"/>
      <c r="AO108" s="360"/>
      <c r="AP108" s="360"/>
      <c r="AQ108" s="360"/>
      <c r="AR108" s="360"/>
      <c r="AS108" s="360"/>
    </row>
    <row r="109" spans="1:46" s="73" customFormat="1" x14ac:dyDescent="0.2">
      <c r="B109"/>
      <c r="C109"/>
      <c r="D109"/>
      <c r="L109"/>
      <c r="M109" s="443">
        <v>0</v>
      </c>
      <c r="N109" s="399">
        <f>IF($M$109='Precio Mayorista'!E$24,(INDEX('Precio Mayorista'!$D$49:$J$49,MATCH($M109,'Precio Mayorista'!$D$29:$J$29,0))*N99),0)</f>
        <v>0</v>
      </c>
      <c r="O109" s="399">
        <f>IF($M$109='Precio Mayorista'!F$24,(INDEX('Precio Mayorista'!$D$49:$J$49,MATCH($M109,'Precio Mayorista'!$D$29:$J$29,0))*O99),0)</f>
        <v>0</v>
      </c>
      <c r="P109" s="399">
        <f>IF($M$109='Precio Mayorista'!G$24,(INDEX('Precio Mayorista'!$D$49:$J$49,MATCH($M109,'Precio Mayorista'!$D$29:$J$29,0))*P99),0)</f>
        <v>0</v>
      </c>
      <c r="Q109" s="399">
        <f>IF($M$109='Precio Mayorista'!H$24,(INDEX('Precio Mayorista'!$D$49:$J$49,MATCH($M109,'Precio Mayorista'!$D$29:$J$29,0))*Q99),0)</f>
        <v>0</v>
      </c>
      <c r="R109" s="399">
        <f>IF($M$109='Precio Mayorista'!I$24,(INDEX('Precio Mayorista'!$D$49:$J$49,MATCH($M109,'Precio Mayorista'!$D$29:$J$29,0))*R99),0)</f>
        <v>0</v>
      </c>
      <c r="S109" s="399">
        <f>IF($M$109='Precio Mayorista'!J$24,(INDEX('Precio Mayorista'!$D$49:$J$49,MATCH($M109,'Precio Mayorista'!$D$29:$J$29,0))*S99),0)</f>
        <v>0</v>
      </c>
      <c r="T109" s="441">
        <f>'Precio Mayorista'!D39</f>
        <v>100000000</v>
      </c>
      <c r="U109" s="441"/>
      <c r="V109" s="399"/>
    </row>
    <row r="110" spans="1:46" s="73" customFormat="1" x14ac:dyDescent="0.2">
      <c r="A110" s="400"/>
      <c r="B110" s="362"/>
      <c r="C110" s="362"/>
      <c r="D110" s="362"/>
      <c r="L110"/>
      <c r="M110" s="443">
        <v>1</v>
      </c>
      <c r="N110" s="399">
        <f>IF($M$110='Precio Mayorista'!E$24,(INDEX('Precio Mayorista'!$D$49:$J$49,MATCH($M$109,'Precio Mayorista'!$D$29:$J$29,0))*$T$109)+(INDEX('Precio Mayorista'!$D$49:$J$49,MATCH($M$110,'Precio Mayorista'!$D$29:$J$29,0))*(N99-$T$109)),0)</f>
        <v>0</v>
      </c>
      <c r="O110" s="399">
        <f>IF($M$110='Precio Mayorista'!F$24,(INDEX('Precio Mayorista'!$D$49:$J$49,MATCH($M$109,'Precio Mayorista'!$D$29:$J$29,0))*$T$109)+(INDEX('Precio Mayorista'!$D$49:$J$49,MATCH($M$110,'Precio Mayorista'!$D$29:$J$29,0))*(O99-$T$109)),0)</f>
        <v>0</v>
      </c>
      <c r="P110" s="399">
        <f>IF($M$110='Precio Mayorista'!G$24,(INDEX('Precio Mayorista'!$D$49:$J$49,MATCH($M$109,'Precio Mayorista'!$D$29:$J$29,0))*$T$109)+(INDEX('Precio Mayorista'!$D$49:$J$49,MATCH($M$110,'Precio Mayorista'!$D$29:$J$29,0))*(P99-$T$109)),0)</f>
        <v>0</v>
      </c>
      <c r="Q110" s="399">
        <f>IF($M$110='Precio Mayorista'!H$24,(INDEX('Precio Mayorista'!$D$49:$J$49,MATCH($M$109,'Precio Mayorista'!$D$29:$J$29,0))*$T$109)+(INDEX('Precio Mayorista'!$D$49:$J$49,MATCH($M$110,'Precio Mayorista'!$D$29:$J$29,0))*(Q99-$T$109)),0)</f>
        <v>0</v>
      </c>
      <c r="R110" s="399">
        <f>IF($M$110='Precio Mayorista'!I$24,(INDEX('Precio Mayorista'!$D$49:$J$49,MATCH($M$109,'Precio Mayorista'!$D$29:$J$29,0))*$T$109)+(INDEX('Precio Mayorista'!$D$49:$J$49,MATCH($M$110,'Precio Mayorista'!$D$29:$J$29,0))*(R99-$T$109)),0)</f>
        <v>0</v>
      </c>
      <c r="S110" s="399">
        <f>IF($M$110='Precio Mayorista'!J$24,(INDEX('Precio Mayorista'!$D$49:$J$49,MATCH($M$109,'Precio Mayorista'!$D$29:$J$29,0))*$T$109)+(INDEX('Precio Mayorista'!$D$49:$J$49,MATCH($M$110,'Precio Mayorista'!$D$29:$J$29,0))*(S99-$T$109)),0)</f>
        <v>0</v>
      </c>
      <c r="T110" s="283">
        <f>'Precio Mayorista'!E39</f>
        <v>200000000</v>
      </c>
      <c r="U110" s="283">
        <f>T110-T109</f>
        <v>100000000</v>
      </c>
      <c r="V110" s="283"/>
      <c r="AE110" s="286" t="s">
        <v>172</v>
      </c>
      <c r="AF110" s="19" t="s">
        <v>259</v>
      </c>
      <c r="AG110" s="19" t="s">
        <v>260</v>
      </c>
      <c r="AH110" s="19" t="s">
        <v>261</v>
      </c>
      <c r="AI110" s="19" t="s">
        <v>262</v>
      </c>
      <c r="AJ110" s="19" t="s">
        <v>263</v>
      </c>
      <c r="AK110" s="19" t="s">
        <v>264</v>
      </c>
      <c r="AM110" s="286" t="s">
        <v>170</v>
      </c>
      <c r="AN110" s="304" t="s">
        <v>259</v>
      </c>
      <c r="AO110" s="304" t="s">
        <v>260</v>
      </c>
      <c r="AP110" s="304" t="s">
        <v>261</v>
      </c>
      <c r="AQ110" s="304" t="s">
        <v>262</v>
      </c>
      <c r="AR110" s="304" t="s">
        <v>263</v>
      </c>
      <c r="AS110" s="304" t="s">
        <v>264</v>
      </c>
    </row>
    <row r="111" spans="1:46" s="73" customFormat="1" x14ac:dyDescent="0.2">
      <c r="B111"/>
      <c r="C111"/>
      <c r="D111"/>
      <c r="L111"/>
      <c r="M111" s="443">
        <v>2</v>
      </c>
      <c r="N111" s="399">
        <f>IF($M$111='Precio Mayorista'!E$24,(INDEX('Precio Mayorista'!$D$49:$J$49,MATCH($M$109,'Precio Mayorista'!$D$29:$J$29,0))*'Precios mayoristas efectivos'!$T$109)+(INDEX('Precio Mayorista'!$D$49:$J$49,MATCH($M$110,'Precio Mayorista'!$D$29:$J$29,0))*$U$110)+(INDEX('Precio Mayorista'!$D$49:$J$49,MATCH($M$111,'Precio Mayorista'!$D$29:$J$29,0))*(N99-'Precios mayoristas efectivos'!$T$110)),0)</f>
        <v>0</v>
      </c>
      <c r="O111" s="399">
        <f>IF($M$111='Precio Mayorista'!F$24,(INDEX('Precio Mayorista'!$D$49:$J$49,MATCH($M$109,'Precio Mayorista'!$D$29:$J$29,0))*'Precios mayoristas efectivos'!$T$109)+(INDEX('Precio Mayorista'!$D$49:$J$49,MATCH($M$110,'Precio Mayorista'!$D$29:$J$29,0))*$U$110)+(INDEX('Precio Mayorista'!$D$49:$J$49,MATCH($M$111,'Precio Mayorista'!$D$29:$J$29,0))*(O99-'Precios mayoristas efectivos'!$T$110)),0)</f>
        <v>0</v>
      </c>
      <c r="P111" s="399">
        <f>IF($M$111='Precio Mayorista'!G$24,(INDEX('Precio Mayorista'!$D$49:$J$49,MATCH($M$109,'Precio Mayorista'!$D$29:$J$29,0))*'Precios mayoristas efectivos'!$T$109)+(INDEX('Precio Mayorista'!$D$49:$J$49,MATCH($M$110,'Precio Mayorista'!$D$29:$J$29,0))*$U$110)+(INDEX('Precio Mayorista'!$D$49:$J$49,MATCH($M$111,'Precio Mayorista'!$D$29:$J$29,0))*(P99-'Precios mayoristas efectivos'!$T$110)),0)</f>
        <v>0</v>
      </c>
      <c r="Q111" s="399">
        <f>IF($M$111='Precio Mayorista'!H$24,(INDEX('Precio Mayorista'!$D$49:$J$49,MATCH($M$109,'Precio Mayorista'!$D$29:$J$29,0))*'Precios mayoristas efectivos'!$T$109)+(INDEX('Precio Mayorista'!$D$49:$J$49,MATCH($M$110,'Precio Mayorista'!$D$29:$J$29,0))*$U$110)+(INDEX('Precio Mayorista'!$D$49:$J$49,MATCH($M$111,'Precio Mayorista'!$D$29:$J$29,0))*(Q99-'Precios mayoristas efectivos'!$T$110)),0)</f>
        <v>0</v>
      </c>
      <c r="R111" s="399">
        <f>IF($M$111='Precio Mayorista'!I$24,(INDEX('Precio Mayorista'!$D$49:$J$49,MATCH($M$109,'Precio Mayorista'!$D$29:$J$29,0))*'Precios mayoristas efectivos'!$T$109)+(INDEX('Precio Mayorista'!$D$49:$J$49,MATCH($M$110,'Precio Mayorista'!$D$29:$J$29,0))*$U$110)+(INDEX('Precio Mayorista'!$D$49:$J$49,MATCH($M$111,'Precio Mayorista'!$D$29:$J$29,0))*(R99-'Precios mayoristas efectivos'!$T$110)),0)</f>
        <v>6500000</v>
      </c>
      <c r="S111" s="399">
        <f>IF($M$111='Precio Mayorista'!J$24,(INDEX('Precio Mayorista'!$D$49:$J$49,MATCH($M$109,'Precio Mayorista'!$D$29:$J$29,0))*'Precios mayoristas efectivos'!$T$109)+(INDEX('Precio Mayorista'!$D$49:$J$49,MATCH($M$110,'Precio Mayorista'!$D$29:$J$29,0))*$U$110)+(INDEX('Precio Mayorista'!$D$49:$J$49,MATCH($M$111,'Precio Mayorista'!$D$29:$J$29,0))*(S99-'Precios mayoristas efectivos'!$T$110)),0)</f>
        <v>6500000</v>
      </c>
      <c r="T111" s="282"/>
      <c r="U111" s="168"/>
      <c r="V111" s="168"/>
      <c r="AE111"/>
      <c r="AF111" s="240">
        <f>IF((AF97-AF106)&lt;=0,0,AF97-AF106)</f>
        <v>200000</v>
      </c>
      <c r="AG111" s="240">
        <f t="shared" ref="AG111:AK111" si="49">IF((AG97-AG106)&lt;=0,0,AG97-AG106)</f>
        <v>100000</v>
      </c>
      <c r="AH111" s="240">
        <f t="shared" si="49"/>
        <v>0</v>
      </c>
      <c r="AI111" s="240">
        <f t="shared" si="49"/>
        <v>200000</v>
      </c>
      <c r="AJ111" s="240">
        <f t="shared" si="49"/>
        <v>200000</v>
      </c>
      <c r="AK111" s="240">
        <f t="shared" si="49"/>
        <v>100000</v>
      </c>
      <c r="AM111" s="286"/>
      <c r="AN111" s="385">
        <f>IFERROR(AF111*INDEX('Precio Mayorista'!$D$66:$J$66,MATCH('Precio Mayorista'!E24,'Precio Mayorista'!$D$29:$J$29,0)),0)</f>
        <v>600000</v>
      </c>
      <c r="AO111" s="385">
        <f>IFERROR(AG111*INDEX('Precio Mayorista'!$D$66:$J$66,MATCH('Precio Mayorista'!F24,'Precio Mayorista'!$D$29:$J$29,0)),0)</f>
        <v>300000</v>
      </c>
      <c r="AP111" s="385">
        <f>IFERROR(AH111*INDEX('Precio Mayorista'!$D$66:$J$66,MATCH('Precio Mayorista'!G24,'Precio Mayorista'!$D$29:$J$29,0)),0)</f>
        <v>0</v>
      </c>
      <c r="AQ111" s="385">
        <f>IFERROR(AI111*INDEX('Precio Mayorista'!$D$66:$J$66,MATCH('Precio Mayorista'!H24,'Precio Mayorista'!$D$29:$J$29,0)),0)</f>
        <v>600000</v>
      </c>
      <c r="AR111" s="385">
        <f>IFERROR(AJ111*INDEX('Precio Mayorista'!$D$66:$J$66,MATCH('Precio Mayorista'!I24,'Precio Mayorista'!$D$29:$J$29,0)),0)</f>
        <v>600000</v>
      </c>
      <c r="AS111" s="385">
        <f>IFERROR(AK111*INDEX('Precio Mayorista'!$D$66:$J$66,MATCH('Precio Mayorista'!J24,'Precio Mayorista'!$D$29:$J$29,0)),0)</f>
        <v>300000</v>
      </c>
    </row>
    <row r="112" spans="1:46" s="73" customFormat="1" x14ac:dyDescent="0.2">
      <c r="B112"/>
      <c r="C112"/>
      <c r="D112"/>
      <c r="L112"/>
      <c r="M112" s="443">
        <v>3</v>
      </c>
      <c r="N112" s="399">
        <f>IF($M$112='Precio Mayorista'!E$24,(INDEX('Precio Mayorista'!$D$49:$J$49,MATCH($M$112,'Precio Mayorista'!$D$29:$J$29,0))*N99),0)</f>
        <v>0</v>
      </c>
      <c r="O112" s="399">
        <f>IF($M$112='Precio Mayorista'!F$24,(INDEX('Precio Mayorista'!$D$49:$J$49,MATCH($M$112,'Precio Mayorista'!$D$29:$J$29,0))*O99),0)</f>
        <v>0</v>
      </c>
      <c r="P112" s="399">
        <f>IF($M$112='Precio Mayorista'!G$24,(INDEX('Precio Mayorista'!$D$49:$J$49,MATCH($M$112,'Precio Mayorista'!$D$29:$J$29,0))*P99),0)</f>
        <v>0</v>
      </c>
      <c r="Q112" s="399">
        <f>IF($M$112='Precio Mayorista'!H$24,(INDEX('Precio Mayorista'!$D$49:$J$49,MATCH($M$112,'Precio Mayorista'!$D$29:$J$29,0))*Q99),0)</f>
        <v>11333333.333333334</v>
      </c>
      <c r="R112" s="399">
        <f>IF($M$112='Precio Mayorista'!I$24,(INDEX('Precio Mayorista'!$D$49:$J$49,MATCH($M$112,'Precio Mayorista'!$D$29:$J$29,0))*R99),0)</f>
        <v>0</v>
      </c>
      <c r="S112" s="399">
        <f>IF($M$112='Precio Mayorista'!J$24,(INDEX('Precio Mayorista'!$D$49:$J$49,MATCH($M$112,'Precio Mayorista'!$D$29:$J$29,0))*S99),0)</f>
        <v>0</v>
      </c>
      <c r="T112" s="382">
        <f>'Precio Mayorista'!G39</f>
        <v>750000000</v>
      </c>
      <c r="U112" s="168"/>
      <c r="V112" s="168"/>
    </row>
    <row r="113" spans="2:37" s="73" customFormat="1" x14ac:dyDescent="0.2">
      <c r="B113"/>
      <c r="C113"/>
      <c r="D113"/>
      <c r="L113"/>
      <c r="M113" s="443">
        <v>4</v>
      </c>
      <c r="N113" s="399">
        <f>IF($M$113='Precio Mayorista'!E$24,(INDEX('Precio Mayorista'!$D$49:$J$49,MATCH($M$112,'Precio Mayorista'!$D$29:$J$29,0))*$T$112)+(INDEX('Precio Mayorista'!$D$49:$J$49,MATCH($M$113,'Precio Mayorista'!$D$29:$J$29,0))*(N99-'Precios mayoristas efectivos'!$T$112)),0)</f>
        <v>0</v>
      </c>
      <c r="O113" s="399">
        <f>IF($M$113='Precio Mayorista'!F$24,(INDEX('Precio Mayorista'!$D$49:$J$49,MATCH($M$112,'Precio Mayorista'!$D$29:$J$29,0))*$T$112)+(INDEX('Precio Mayorista'!$D$49:$J$49,MATCH($M$113,'Precio Mayorista'!$D$29:$J$29,0))*(O99-'Precios mayoristas efectivos'!$T$112)),0)</f>
        <v>0</v>
      </c>
      <c r="P113" s="399">
        <f>IF($M$113='Precio Mayorista'!G$24,(INDEX('Precio Mayorista'!$D$49:$J$49,MATCH($M$112,'Precio Mayorista'!$D$29:$J$29,0))*$T$112)+(INDEX('Precio Mayorista'!$D$49:$J$49,MATCH($M$113,'Precio Mayorista'!$D$29:$J$29,0))*(P99-'Precios mayoristas efectivos'!$T$112)),0)</f>
        <v>16750000</v>
      </c>
      <c r="Q113" s="399">
        <f>IF($M$113='Precio Mayorista'!H$24,(INDEX('Precio Mayorista'!$D$49:$J$49,MATCH($M$112,'Precio Mayorista'!$D$29:$J$29,0))*$T$112)+(INDEX('Precio Mayorista'!$D$49:$J$49,MATCH($M$113,'Precio Mayorista'!$D$29:$J$29,0))*(Q99-'Precios mayoristas efectivos'!$T$112)),0)</f>
        <v>0</v>
      </c>
      <c r="R113" s="399">
        <f>IF($M$113='Precio Mayorista'!I$24,(INDEX('Precio Mayorista'!$D$49:$J$49,MATCH($M$112,'Precio Mayorista'!$D$29:$J$29,0))*$T$112)+(INDEX('Precio Mayorista'!$D$49:$J$49,MATCH($M$113,'Precio Mayorista'!$D$29:$J$29,0))*(R99-'Precios mayoristas efectivos'!$T$112)),0)</f>
        <v>0</v>
      </c>
      <c r="S113" s="399">
        <f>IF($M$113='Precio Mayorista'!J$24,(INDEX('Precio Mayorista'!$D$49:$J$49,MATCH($M$112,'Precio Mayorista'!$D$29:$J$29,0))*$T$112)+(INDEX('Precio Mayorista'!$D$49:$J$49,MATCH($M$113,'Precio Mayorista'!$D$29:$J$29,0))*(S99-'Precios mayoristas efectivos'!$T$112)),0)</f>
        <v>0</v>
      </c>
      <c r="T113" s="168"/>
      <c r="U113" s="168"/>
      <c r="V113" s="168"/>
    </row>
    <row r="114" spans="2:37" s="73" customFormat="1" x14ac:dyDescent="0.2">
      <c r="B114"/>
      <c r="C114"/>
      <c r="D114"/>
      <c r="L114"/>
      <c r="M114" s="443">
        <v>5</v>
      </c>
      <c r="N114" s="399">
        <f>IF($M$114='Precio Mayorista'!E$24,(INDEX('Precio Mayorista'!$D$49:$J$49,MATCH($M$114,'Precio Mayorista'!$D$29:$J$29,0))*N99),0)</f>
        <v>25000000</v>
      </c>
      <c r="O114" s="399">
        <f>IF($M$114='Precio Mayorista'!F$24,(INDEX('Precio Mayorista'!$D$49:$J$49,MATCH($M$114,'Precio Mayorista'!$D$29:$J$29,0))*O99),0)</f>
        <v>19999999.999999996</v>
      </c>
      <c r="P114" s="399">
        <f>IF($M$114='Precio Mayorista'!G$24,(INDEX('Precio Mayorista'!$D$49:$J$49,MATCH($M$114,'Precio Mayorista'!$D$29:$J$29,0))*P99),0)</f>
        <v>0</v>
      </c>
      <c r="Q114" s="399">
        <f>IF($M$114='Precio Mayorista'!H$24,(INDEX('Precio Mayorista'!$D$49:$J$49,MATCH($M$114,'Precio Mayorista'!$D$29:$J$29,0))*Q99),0)</f>
        <v>0</v>
      </c>
      <c r="R114" s="399">
        <f>IF($M$114='Precio Mayorista'!I$24,(INDEX('Precio Mayorista'!$D$49:$J$49,MATCH($M$114,'Precio Mayorista'!$D$29:$J$29,0))*R99),0)</f>
        <v>0</v>
      </c>
      <c r="S114" s="399">
        <f>IF($M$114='Precio Mayorista'!J$24,(INDEX('Precio Mayorista'!$D$49:$J$49,MATCH($M$114,'Precio Mayorista'!$D$29:$J$29,0))*S99),0)</f>
        <v>0</v>
      </c>
      <c r="T114" s="168"/>
      <c r="U114" s="168"/>
      <c r="V114" s="168"/>
      <c r="AE114" s="381"/>
      <c r="AF114" s="304"/>
      <c r="AG114" s="304"/>
      <c r="AH114" s="304"/>
      <c r="AI114" s="304"/>
      <c r="AJ114" s="304"/>
      <c r="AK114" s="304"/>
    </row>
    <row r="115" spans="2:37" x14ac:dyDescent="0.2">
      <c r="M115" s="444" t="s">
        <v>0</v>
      </c>
      <c r="N115" s="401">
        <f t="shared" ref="N115" si="50">SUM(N109:N114)</f>
        <v>25000000</v>
      </c>
      <c r="O115" s="401">
        <f t="shared" ref="O115:S115" si="51">SUM(O109:O114)</f>
        <v>19999999.999999996</v>
      </c>
      <c r="P115" s="401">
        <f t="shared" si="51"/>
        <v>16750000</v>
      </c>
      <c r="Q115" s="401">
        <f t="shared" si="51"/>
        <v>11333333.333333334</v>
      </c>
      <c r="R115" s="401">
        <f t="shared" si="51"/>
        <v>6500000</v>
      </c>
      <c r="S115" s="401">
        <f t="shared" si="51"/>
        <v>6500000</v>
      </c>
      <c r="U115" s="168"/>
      <c r="V115" s="168"/>
      <c r="AE115" s="304"/>
      <c r="AF115" s="304"/>
      <c r="AG115" s="304"/>
      <c r="AH115" s="304"/>
      <c r="AI115" s="304"/>
      <c r="AJ115" s="304"/>
      <c r="AK115" s="304"/>
    </row>
    <row r="116" spans="2:37" x14ac:dyDescent="0.2">
      <c r="AE116" s="381"/>
      <c r="AF116" s="304"/>
      <c r="AG116" s="304"/>
      <c r="AH116" s="304"/>
      <c r="AI116" s="304"/>
      <c r="AJ116" s="304"/>
      <c r="AK116" s="304"/>
    </row>
    <row r="117" spans="2:37" ht="25.15" customHeight="1" x14ac:dyDescent="0.2">
      <c r="M117" s="552" t="s">
        <v>306</v>
      </c>
      <c r="N117" s="553"/>
      <c r="O117" s="553"/>
      <c r="P117" s="553"/>
      <c r="Q117" s="553"/>
      <c r="R117" s="553"/>
      <c r="S117" s="553"/>
      <c r="T117" s="553"/>
      <c r="U117" s="553"/>
      <c r="V117" s="442"/>
      <c r="W117" s="440"/>
      <c r="AE117" s="286"/>
      <c r="AF117" s="73"/>
      <c r="AG117" s="73"/>
      <c r="AH117" s="73"/>
      <c r="AI117" s="73"/>
      <c r="AJ117" s="73"/>
      <c r="AK117" s="73"/>
    </row>
    <row r="118" spans="2:37" x14ac:dyDescent="0.2">
      <c r="E118" s="440"/>
      <c r="F118" s="440"/>
      <c r="G118" s="304"/>
      <c r="H118" s="304"/>
      <c r="I118" s="304"/>
      <c r="J118" s="304"/>
      <c r="K118" s="304"/>
      <c r="M118" s="440"/>
      <c r="N118" s="440"/>
      <c r="O118" s="31"/>
      <c r="AE118" s="286"/>
      <c r="AF118" s="19"/>
      <c r="AG118" s="19"/>
      <c r="AH118" s="19"/>
      <c r="AI118" s="19"/>
      <c r="AJ118" s="19"/>
      <c r="AK118" s="19"/>
    </row>
  </sheetData>
  <mergeCells count="10">
    <mergeCell ref="M30:S30"/>
    <mergeCell ref="W101:AC101"/>
    <mergeCell ref="M117:U117"/>
    <mergeCell ref="M107:M108"/>
    <mergeCell ref="N107:N108"/>
    <mergeCell ref="O107:O108"/>
    <mergeCell ref="P107:P108"/>
    <mergeCell ref="Q107:Q108"/>
    <mergeCell ref="R107:R108"/>
    <mergeCell ref="S107:S108"/>
  </mergeCells>
  <conditionalFormatting sqref="N57:S57">
    <cfRule type="cellIs" dxfId="3" priority="5" operator="equal">
      <formula>TRUE</formula>
    </cfRule>
  </conditionalFormatting>
  <conditionalFormatting sqref="T109:V109 N109:S114">
    <cfRule type="expression" dxfId="2" priority="155">
      <formula>#REF!=$E$33</formula>
    </cfRule>
  </conditionalFormatting>
  <conditionalFormatting sqref="N81:S81">
    <cfRule type="cellIs" dxfId="1" priority="3" operator="equal">
      <formula>TRUE</formula>
    </cfRule>
  </conditionalFormatting>
  <conditionalFormatting sqref="X57:AC57">
    <cfRule type="cellIs" dxfId="0" priority="1" operator="equal">
      <formula>TRUE</formula>
    </cfRule>
  </conditionalFormatting>
  <hyperlinks>
    <hyperlink ref="B3" location="'Resultados &gt;&gt;'!A1" display="Ir a Resultados &gt;&gt;" xr:uid="{83BAAA3D-8882-4E03-A6E0-5402D7D4AF20}"/>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85651C-A755-4513-A896-AF4F872E38BE}">
  <sheetPr>
    <tabColor theme="9"/>
  </sheetPr>
  <dimension ref="C13"/>
  <sheetViews>
    <sheetView workbookViewId="0"/>
  </sheetViews>
  <sheetFormatPr baseColWidth="10" defaultColWidth="9.28515625" defaultRowHeight="12.75" x14ac:dyDescent="0.2"/>
  <cols>
    <col min="1" max="16384" width="9.28515625" style="319"/>
  </cols>
  <sheetData>
    <row r="13" spans="3:3" s="321" customFormat="1" ht="27.75" x14ac:dyDescent="0.4">
      <c r="C13" s="320" t="s">
        <v>242</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CD141-64C4-4366-B70B-AA84B26632C2}">
  <sheetPr>
    <tabColor theme="9" tint="0.79998168889431442"/>
  </sheetPr>
  <dimension ref="A1:BC61"/>
  <sheetViews>
    <sheetView showGridLines="0" zoomScaleNormal="100" workbookViewId="0"/>
  </sheetViews>
  <sheetFormatPr baseColWidth="10" defaultColWidth="8.7109375" defaultRowHeight="12.75" x14ac:dyDescent="0.2"/>
  <cols>
    <col min="1" max="1" width="1.7109375" customWidth="1"/>
    <col min="2" max="2" width="34.7109375" customWidth="1"/>
    <col min="3" max="3" width="22.5703125" customWidth="1"/>
    <col min="4" max="4" width="19.7109375" customWidth="1"/>
    <col min="5" max="5" width="16.7109375" customWidth="1"/>
    <col min="6" max="6" width="17.28515625" bestFit="1" customWidth="1"/>
    <col min="7" max="7" width="17.5703125" customWidth="1"/>
    <col min="8" max="10" width="16.7109375" customWidth="1"/>
    <col min="11" max="11" width="24.5703125" customWidth="1"/>
    <col min="12" max="16" width="16.28515625" customWidth="1"/>
    <col min="17" max="17" width="9.42578125" customWidth="1"/>
    <col min="19" max="19" width="14.7109375" customWidth="1"/>
    <col min="20" max="20" width="30.28515625" customWidth="1"/>
    <col min="29" max="29" width="22.5703125" customWidth="1"/>
    <col min="38" max="38" width="26.7109375" customWidth="1"/>
    <col min="47" max="47" width="31.28515625" customWidth="1"/>
  </cols>
  <sheetData>
    <row r="1" spans="2:48" s="1" customFormat="1" ht="20.25" x14ac:dyDescent="0.3">
      <c r="B1" s="1" t="s">
        <v>283</v>
      </c>
    </row>
    <row r="3" spans="2:48" ht="20.100000000000001" customHeight="1" x14ac:dyDescent="0.2">
      <c r="B3" s="17" t="s">
        <v>24</v>
      </c>
      <c r="D3" s="559" t="s">
        <v>254</v>
      </c>
      <c r="E3" s="560"/>
      <c r="F3" s="560"/>
      <c r="G3" s="560"/>
      <c r="H3" s="560"/>
      <c r="I3" s="560"/>
      <c r="J3" s="561"/>
    </row>
    <row r="6" spans="2:48" s="195" customFormat="1" x14ac:dyDescent="0.2">
      <c r="B6" s="194" t="s">
        <v>256</v>
      </c>
      <c r="D6" s="558"/>
      <c r="E6" s="558"/>
      <c r="F6" s="243"/>
      <c r="G6" s="243"/>
      <c r="K6" s="194"/>
    </row>
    <row r="7" spans="2:48" x14ac:dyDescent="0.2">
      <c r="B7" s="249" t="s">
        <v>265</v>
      </c>
      <c r="E7" s="161"/>
      <c r="F7" s="161"/>
      <c r="G7" s="161"/>
      <c r="L7" s="73"/>
      <c r="M7" s="73"/>
      <c r="N7" s="73"/>
      <c r="O7" s="73"/>
      <c r="P7" s="73"/>
    </row>
    <row r="8" spans="2:48" ht="12.75" customHeight="1" x14ac:dyDescent="0.2">
      <c r="B8" s="562" t="s">
        <v>258</v>
      </c>
      <c r="C8" s="563"/>
      <c r="D8" s="563"/>
      <c r="E8" s="563"/>
      <c r="F8" s="563"/>
      <c r="G8" s="563"/>
      <c r="H8" s="564"/>
      <c r="L8" s="73"/>
      <c r="M8" s="73"/>
      <c r="N8" s="73"/>
      <c r="O8" s="73"/>
      <c r="P8" s="73"/>
    </row>
    <row r="9" spans="2:48" x14ac:dyDescent="0.2">
      <c r="B9" s="565"/>
      <c r="C9" s="566"/>
      <c r="D9" s="566"/>
      <c r="E9" s="566"/>
      <c r="F9" s="566"/>
      <c r="G9" s="566"/>
      <c r="H9" s="567"/>
      <c r="L9" s="73"/>
      <c r="M9" s="73"/>
      <c r="N9" s="73"/>
      <c r="O9" s="73"/>
      <c r="P9" s="73"/>
    </row>
    <row r="10" spans="2:48" x14ac:dyDescent="0.2">
      <c r="B10" s="565"/>
      <c r="C10" s="566"/>
      <c r="D10" s="566"/>
      <c r="E10" s="566"/>
      <c r="F10" s="566"/>
      <c r="G10" s="566"/>
      <c r="H10" s="567"/>
      <c r="L10" s="73"/>
      <c r="M10" s="73"/>
      <c r="N10" s="73"/>
      <c r="O10" s="73"/>
      <c r="P10" s="73"/>
    </row>
    <row r="11" spans="2:48" x14ac:dyDescent="0.2">
      <c r="B11" s="568"/>
      <c r="C11" s="569"/>
      <c r="D11" s="569"/>
      <c r="E11" s="569"/>
      <c r="F11" s="569"/>
      <c r="G11" s="569"/>
      <c r="H11" s="570"/>
      <c r="L11" s="73"/>
      <c r="M11" s="73"/>
      <c r="N11" s="73"/>
      <c r="O11" s="73"/>
      <c r="P11" s="73"/>
    </row>
    <row r="13" spans="2:48" ht="13.5" thickBot="1" x14ac:dyDescent="0.25">
      <c r="B13" s="364" t="s">
        <v>259</v>
      </c>
      <c r="K13" s="364" t="s">
        <v>260</v>
      </c>
      <c r="T13" s="19" t="s">
        <v>261</v>
      </c>
      <c r="AC13" s="19" t="s">
        <v>262</v>
      </c>
      <c r="AL13" s="19" t="s">
        <v>263</v>
      </c>
      <c r="AU13" s="19" t="s">
        <v>264</v>
      </c>
    </row>
    <row r="14" spans="2:48" s="73" customFormat="1" ht="30" customHeight="1" thickBot="1" x14ac:dyDescent="0.25">
      <c r="B14" s="377" t="s">
        <v>270</v>
      </c>
      <c r="C14" s="266">
        <f>IF('Precio Mayorista'!$D$14=B18,INDEX(C17:J17,1,MATCH(C15,C18:J18,0)),IF('Precio Mayorista'!$D$14=B19,INDEX(C17:J17,1,MATCH(C15,C19:J19,0)),IF('Precio Mayorista'!$D$14=B20,INDEX(C17:J17,1,MATCH(C15,C20:J20,0)))))</f>
        <v>5</v>
      </c>
      <c r="E14"/>
      <c r="F14"/>
      <c r="J14"/>
      <c r="K14" s="377" t="s">
        <v>270</v>
      </c>
      <c r="L14" s="266">
        <f>IF('Precio Mayorista'!$D$14=K18,INDEX(L17:S17,1,MATCH(L15,L18:S18,0)),IF('Precio Mayorista'!$D$14=K19,INDEX(L17:S17,1,MATCH(L15,L19:S19,0)),IF('Precio Mayorista'!$D$14=K20,INDEX(L17:S18,1,MATCH(L15,L20:S20,0)))))</f>
        <v>5</v>
      </c>
      <c r="T14" s="377" t="s">
        <v>270</v>
      </c>
      <c r="U14" s="266">
        <f>IF('Precio Mayorista'!$D$14=T18,INDEX(U17:AB17,1,MATCH(U15,U18:AB18,0)),IF('Precio Mayorista'!$D$14=T19,INDEX(U17:AB17,1,MATCH(U15,U19:AB19,0)),IF('Precio Mayorista'!$D$14=T20,INDEX(U17:AB17,1,MATCH(U15,U20:AB20,0)))))</f>
        <v>4</v>
      </c>
      <c r="AC14" s="377" t="s">
        <v>270</v>
      </c>
      <c r="AD14" s="266">
        <f>IF('Precio Mayorista'!$D$14=AC18,INDEX(AD17:AK17,1,MATCH(AD15,AD18:AK18,0)),IF('Precio Mayorista'!$D$14=AC19,INDEX(AD17:AK17,1,MATCH(AD15,AD19:AK19,0)),IF('Precio Mayorista'!$D$14=AC20,INDEX(AD17:AK17,1,MATCH(AD15,AD20:AK20,0)))))</f>
        <v>3</v>
      </c>
      <c r="AL14" s="377" t="s">
        <v>270</v>
      </c>
      <c r="AM14" s="266">
        <f>IF('Precio Mayorista'!$D$14=AL18,INDEX(AM17:AT17,1,MATCH(AM15,AM18:AT18,0)),IF('Precio Mayorista'!$D$14=AL19,INDEX(AM17:AT17,1,MATCH(AM15,AM19:AT19,0)),IF('Precio Mayorista'!$D$14=AL20,INDEX(AM17:AT17,1,MATCH(AM15,AM20:AT20,0)))))</f>
        <v>2</v>
      </c>
      <c r="AU14" s="377" t="s">
        <v>270</v>
      </c>
      <c r="AV14" s="266">
        <f>IF('Precio Mayorista'!$D$14=AU18,INDEX(AV17:BC17,1,MATCH(AV15,AV18:BC18,0)),IF('Precio Mayorista'!$D$14=AU19,INDEX(AV17:BC17,1,MATCH(AV15,AV19:BC19,0)),IF('Precio Mayorista'!$D$14=AU20,INDEX(AV17:BC17,1,MATCH(AV15,AV20:BC20,0)))))</f>
        <v>2</v>
      </c>
    </row>
    <row r="15" spans="2:48" s="73" customFormat="1" ht="14.25" customHeight="1" x14ac:dyDescent="0.2">
      <c r="B15" s="407" t="s">
        <v>286</v>
      </c>
      <c r="C15" s="408" t="b">
        <f>TRUE</f>
        <v>1</v>
      </c>
      <c r="D15" s="221"/>
      <c r="E15"/>
      <c r="F15"/>
      <c r="J15"/>
      <c r="K15" s="407" t="s">
        <v>286</v>
      </c>
      <c r="L15" s="408" t="b">
        <f>TRUE</f>
        <v>1</v>
      </c>
      <c r="T15" s="407" t="s">
        <v>286</v>
      </c>
      <c r="U15" s="408" t="b">
        <f>TRUE</f>
        <v>1</v>
      </c>
      <c r="AC15" s="407" t="s">
        <v>286</v>
      </c>
      <c r="AD15" s="408" t="b">
        <f>TRUE</f>
        <v>1</v>
      </c>
      <c r="AL15" s="407" t="s">
        <v>286</v>
      </c>
      <c r="AM15" s="408" t="b">
        <f>TRUE</f>
        <v>1</v>
      </c>
      <c r="AU15" s="407" t="s">
        <v>286</v>
      </c>
      <c r="AV15" s="408" t="b">
        <f>TRUE</f>
        <v>1</v>
      </c>
    </row>
    <row r="16" spans="2:48" s="73" customFormat="1" ht="16.149999999999999" customHeight="1" thickBot="1" x14ac:dyDescent="0.25">
      <c r="B16" s="364" t="s">
        <v>259</v>
      </c>
      <c r="J16"/>
      <c r="K16" s="364" t="s">
        <v>260</v>
      </c>
      <c r="T16" s="19" t="s">
        <v>261</v>
      </c>
      <c r="AC16" s="19" t="s">
        <v>262</v>
      </c>
      <c r="AL16" s="19" t="s">
        <v>263</v>
      </c>
      <c r="AU16" s="19" t="s">
        <v>264</v>
      </c>
    </row>
    <row r="17" spans="2:55" s="73" customFormat="1" ht="16.149999999999999" customHeight="1" thickBot="1" x14ac:dyDescent="0.25">
      <c r="B17" s="219" t="s">
        <v>201</v>
      </c>
      <c r="C17" s="220">
        <v>0</v>
      </c>
      <c r="D17" s="220">
        <v>1</v>
      </c>
      <c r="E17" s="220">
        <v>2</v>
      </c>
      <c r="F17" s="220">
        <v>3</v>
      </c>
      <c r="G17" s="220">
        <v>4</v>
      </c>
      <c r="H17" s="220">
        <v>5</v>
      </c>
      <c r="I17" s="220">
        <v>6</v>
      </c>
      <c r="J17"/>
      <c r="K17" s="219" t="s">
        <v>201</v>
      </c>
      <c r="L17" s="220">
        <v>0</v>
      </c>
      <c r="M17" s="220">
        <v>1</v>
      </c>
      <c r="N17" s="220">
        <v>2</v>
      </c>
      <c r="O17" s="220">
        <v>3</v>
      </c>
      <c r="P17" s="220">
        <v>4</v>
      </c>
      <c r="Q17" s="220">
        <v>5</v>
      </c>
      <c r="R17" s="220">
        <v>6</v>
      </c>
      <c r="S17"/>
      <c r="T17" s="219" t="s">
        <v>201</v>
      </c>
      <c r="U17" s="220">
        <v>0</v>
      </c>
      <c r="V17" s="220">
        <v>1</v>
      </c>
      <c r="W17" s="220">
        <v>2</v>
      </c>
      <c r="X17" s="220">
        <v>3</v>
      </c>
      <c r="Y17" s="220">
        <v>4</v>
      </c>
      <c r="Z17" s="220">
        <v>5</v>
      </c>
      <c r="AA17" s="220">
        <v>6</v>
      </c>
      <c r="AB17"/>
      <c r="AC17" s="219" t="s">
        <v>201</v>
      </c>
      <c r="AD17" s="220">
        <v>0</v>
      </c>
      <c r="AE17" s="220">
        <v>1</v>
      </c>
      <c r="AF17" s="220">
        <v>2</v>
      </c>
      <c r="AG17" s="220">
        <v>3</v>
      </c>
      <c r="AH17" s="220">
        <v>4</v>
      </c>
      <c r="AI17" s="220">
        <v>5</v>
      </c>
      <c r="AJ17" s="220">
        <v>6</v>
      </c>
      <c r="AK17"/>
      <c r="AL17" s="219" t="s">
        <v>201</v>
      </c>
      <c r="AM17" s="220">
        <v>0</v>
      </c>
      <c r="AN17" s="220">
        <v>1</v>
      </c>
      <c r="AO17" s="220">
        <v>2</v>
      </c>
      <c r="AP17" s="220">
        <v>3</v>
      </c>
      <c r="AQ17" s="220">
        <v>4</v>
      </c>
      <c r="AR17" s="220">
        <v>5</v>
      </c>
      <c r="AS17" s="220">
        <v>6</v>
      </c>
      <c r="AT17"/>
      <c r="AU17" s="219" t="s">
        <v>201</v>
      </c>
      <c r="AV17" s="220">
        <v>0</v>
      </c>
      <c r="AW17" s="220">
        <v>1</v>
      </c>
      <c r="AX17" s="220">
        <v>2</v>
      </c>
      <c r="AY17" s="220">
        <v>3</v>
      </c>
      <c r="AZ17" s="220">
        <v>4</v>
      </c>
      <c r="BA17" s="220">
        <v>5</v>
      </c>
      <c r="BB17" s="220">
        <v>6</v>
      </c>
      <c r="BC17"/>
    </row>
    <row r="18" spans="2:55" s="73" customFormat="1" ht="16.149999999999999" customHeight="1" x14ac:dyDescent="0.2">
      <c r="B18" s="182" t="s">
        <v>176</v>
      </c>
      <c r="C18" s="349" t="b">
        <f>IF(AND(ISBLANK('Precio Mayorista'!$D$31),ISBLANK('Precio Mayorista'!$D$32)),FALSE,IF(AND('Precio Mayorista'!$E$21&gt;='Precio Mayorista'!$D$31,IF(ISBLANK('Precio Mayorista'!$D$32),"",'Precio Mayorista'!$E$21&lt;'Precio Mayorista'!$E$31)),TRUE,FALSE))</f>
        <v>1</v>
      </c>
      <c r="D18" s="349" t="b">
        <f>IF(AND(ISBLANK('Precio Mayorista'!$E$31),ISBLANK('Precio Mayorista'!$E$32)),FALSE,IF(AND('Precio Mayorista'!$E$21&gt;='Precio Mayorista'!$E$31,IF(ISBLANK('Precio Mayorista'!$E$32),"",'Precio Mayorista'!$E$21&lt;'Precio Mayorista'!$F$31)),TRUE,FALSE))</f>
        <v>0</v>
      </c>
      <c r="E18" s="349" t="b">
        <f>IF(AND(ISBLANK('Precio Mayorista'!$F$31),ISBLANK('Precio Mayorista'!$F$32)),FALSE,IF(AND('Precio Mayorista'!$E$21&gt;='Precio Mayorista'!$F$31,IF(ISBLANK('Precio Mayorista'!$F$32),"",'Precio Mayorista'!$E$21&lt;'Precio Mayorista'!$G$31)),TRUE,FALSE))</f>
        <v>0</v>
      </c>
      <c r="F18" s="349" t="b">
        <f>IF(AND(ISBLANK('Precio Mayorista'!$G$31),ISBLANK('Precio Mayorista'!$G$32)),FALSE,IF(AND('Precio Mayorista'!$E$21&gt;='Precio Mayorista'!$G$31,IF(ISBLANK('Precio Mayorista'!$G$32),"",'Precio Mayorista'!$E$21&lt;'Precio Mayorista'!$H$31)),TRUE,FALSE))</f>
        <v>0</v>
      </c>
      <c r="G18" s="349" t="b">
        <f>IF(AND(ISBLANK('Precio Mayorista'!$H$31),ISBLANK('Precio Mayorista'!$H$32)),FALSE,IF(AND('Precio Mayorista'!$E$21&gt;='Precio Mayorista'!$H$31,IF(ISBLANK('Precio Mayorista'!$H$32),"",'Precio Mayorista'!$E$21&lt;'Precio Mayorista'!$I$31)),TRUE,FALSE))</f>
        <v>0</v>
      </c>
      <c r="H18" s="349" t="b">
        <f>IF(AND(ISBLANK('Precio Mayorista'!$I$31),ISBLANK('Precio Mayorista'!$I$32)),FALSE,IF(AND('Precio Mayorista'!$E$21&gt;='Precio Mayorista'!$I$31,IF(ISBLANK('Precio Mayorista'!$I$32),"",'Precio Mayorista'!$E$21&lt;'Precio Mayorista'!$J$31)),TRUE,FALSE))</f>
        <v>0</v>
      </c>
      <c r="I18" s="349" t="b">
        <f>IF(AND(ISBLANK('Precio Mayorista'!$J$31),ISBLANK('Precio Mayorista'!$J$32)),FALSE,IF(AND('Precio Mayorista'!$E$21&gt;='Precio Mayorista'!$J$31,IF(ISBLANK('Precio Mayorista'!$J$32),"",'Precio Mayorista'!$E$21&lt;'Precio Mayorista'!$P$31)),TRUE,FALSE))</f>
        <v>0</v>
      </c>
      <c r="J18"/>
      <c r="K18" s="182" t="s">
        <v>176</v>
      </c>
      <c r="L18" s="349" t="b">
        <f>IF(AND(ISBLANK('Precio Mayorista'!$D$31),ISBLANK('Precio Mayorista'!$D$32)),FALSE,IF(AND('Precio Mayorista'!$F$21&gt;='Precio Mayorista'!$D$31,IF(ISBLANK('Precio Mayorista'!$D$32),"",'Precio Mayorista'!$F$21&lt;'Precio Mayorista'!$E$31)),TRUE,FALSE))</f>
        <v>1</v>
      </c>
      <c r="M18" s="349" t="b">
        <f>IF(AND(ISBLANK('Precio Mayorista'!$E$31),ISBLANK('Precio Mayorista'!$E$32)),FALSE,IF(AND('Precio Mayorista'!$F$21&gt;='Precio Mayorista'!$E$31,IF(ISBLANK('Precio Mayorista'!$E$32),"",'Precio Mayorista'!$F$21&lt;'Precio Mayorista'!$F$31)),TRUE,FALSE))</f>
        <v>0</v>
      </c>
      <c r="N18" s="349" t="b">
        <f>IF(AND(ISBLANK('Precio Mayorista'!$F$31),ISBLANK('Precio Mayorista'!$F$32)),FALSE,IF(AND('Precio Mayorista'!$F$21&gt;='Precio Mayorista'!$F$31,IF(ISBLANK('Precio Mayorista'!$F$32),"",'Precio Mayorista'!$F$21&lt;'Precio Mayorista'!$G$31)),TRUE,FALSE))</f>
        <v>0</v>
      </c>
      <c r="O18" s="349" t="b">
        <f>IF(AND(ISBLANK('Precio Mayorista'!$G$31),ISBLANK('Precio Mayorista'!$G$32)),FALSE,IF(AND('Precio Mayorista'!$F$21&gt;='Precio Mayorista'!$G$31,IF(ISBLANK('Precio Mayorista'!$G$32),"",'Precio Mayorista'!$F$21&lt;'Precio Mayorista'!$H$31)),TRUE,FALSE))</f>
        <v>0</v>
      </c>
      <c r="P18" s="349" t="b">
        <f>IF(AND(ISBLANK('Precio Mayorista'!$H$31),ISBLANK('Precio Mayorista'!$H$32)),FALSE,IF(AND('Precio Mayorista'!$F$21&gt;='Precio Mayorista'!$H$31,IF(ISBLANK('Precio Mayorista'!$H$32),"",'Precio Mayorista'!$F$21&lt;'Precio Mayorista'!$I$31)),TRUE,FALSE))</f>
        <v>0</v>
      </c>
      <c r="Q18" s="349" t="b">
        <f>IF(AND(ISBLANK('Precio Mayorista'!$I$31),ISBLANK('Precio Mayorista'!$I$32)),FALSE,IF(AND('Precio Mayorista'!$F$21&gt;='Precio Mayorista'!$I$31,IF(ISBLANK('Precio Mayorista'!$I$32),"",'Precio Mayorista'!$F$21&lt;'Precio Mayorista'!$J$31)),TRUE,FALSE))</f>
        <v>0</v>
      </c>
      <c r="R18" s="349" t="b">
        <f>IF(AND(ISBLANK('Precio Mayorista'!$J$31),ISBLANK('Precio Mayorista'!$J$32)),FALSE,IF(AND('Precio Mayorista'!$F$21&gt;='Precio Mayorista'!$J$31,IF(ISBLANK('Precio Mayorista'!$J$32),"",'Precio Mayorista'!$F$21&lt;'Precio Mayorista'!$P$31)),TRUE,FALSE))</f>
        <v>0</v>
      </c>
      <c r="S18"/>
      <c r="T18" s="182" t="s">
        <v>176</v>
      </c>
      <c r="U18" s="349" t="b">
        <f>IF(AND(ISBLANK('Precio Mayorista'!$D$31),ISBLANK('Precio Mayorista'!$D$32)),FALSE,IF(AND('Precio Mayorista'!$G$21&gt;='Precio Mayorista'!$D$31,IF(ISBLANK('Precio Mayorista'!$D$32),"",'Precio Mayorista'!$G$21&lt;'Precio Mayorista'!$E$31)),TRUE,FALSE))</f>
        <v>1</v>
      </c>
      <c r="V18" s="349" t="b">
        <f>IF(AND(ISBLANK('Precio Mayorista'!$E$31),ISBLANK('Precio Mayorista'!$E$32)),FALSE,IF(AND('Precio Mayorista'!$G$21&gt;='Precio Mayorista'!$E$31,IF(ISBLANK('Precio Mayorista'!$E$32),"",'Precio Mayorista'!$G$21&lt;'Precio Mayorista'!$F$31)),TRUE,FALSE))</f>
        <v>0</v>
      </c>
      <c r="W18" s="349" t="b">
        <f>IF(AND(ISBLANK('Precio Mayorista'!$F$31),ISBLANK('Precio Mayorista'!$F$32)),FALSE,IF(AND('Precio Mayorista'!$G$21&gt;='Precio Mayorista'!$F$31,IF(ISBLANK('Precio Mayorista'!$F$32),"",'Precio Mayorista'!$G$21&lt;'Precio Mayorista'!$G$31)),TRUE,FALSE))</f>
        <v>0</v>
      </c>
      <c r="X18" s="349" t="b">
        <f>IF(AND(ISBLANK('Precio Mayorista'!$G$31),ISBLANK('Precio Mayorista'!$G$32)),FALSE,IF(AND('Precio Mayorista'!$G$21&gt;='Precio Mayorista'!$G$31,IF(ISBLANK('Precio Mayorista'!$G$32),"",'Precio Mayorista'!$G$21&lt;'Precio Mayorista'!$H$31)),TRUE,FALSE))</f>
        <v>0</v>
      </c>
      <c r="Y18" s="349" t="b">
        <f>IF(AND(ISBLANK('Precio Mayorista'!$H$31),ISBLANK('Precio Mayorista'!$H$32)),FALSE,IF(AND('Precio Mayorista'!$G$21&gt;='Precio Mayorista'!$H$31,IF(ISBLANK('Precio Mayorista'!$H$32),"",'Precio Mayorista'!$G$21&lt;'Precio Mayorista'!$I$31)),TRUE,FALSE))</f>
        <v>0</v>
      </c>
      <c r="Z18" s="349" t="b">
        <f>IF(AND(ISBLANK('Precio Mayorista'!$I$31),ISBLANK('Precio Mayorista'!$I$32)),FALSE,IF(AND('Precio Mayorista'!$G$21&gt;='Precio Mayorista'!$I$31,IF(ISBLANK('Precio Mayorista'!$I$32),"",'Precio Mayorista'!$G$21&lt;'Precio Mayorista'!$J$31)),TRUE,FALSE))</f>
        <v>0</v>
      </c>
      <c r="AA18" s="349" t="b">
        <f>IF(AND(ISBLANK('Precio Mayorista'!$J$31),ISBLANK('Precio Mayorista'!$J$32)),FALSE,IF(AND('Precio Mayorista'!$G$21&gt;='Precio Mayorista'!$J$31,IF(ISBLANK('Precio Mayorista'!$J$32),"",'Precio Mayorista'!$G$21&lt;'Precio Mayorista'!$P$31)),TRUE,FALSE))</f>
        <v>0</v>
      </c>
      <c r="AB18"/>
      <c r="AC18" s="182" t="s">
        <v>176</v>
      </c>
      <c r="AD18" s="349" t="b">
        <f>IF(AND(ISBLANK('Precio Mayorista'!$D$31),ISBLANK('Precio Mayorista'!$D$32)),FALSE,IF(AND('Precio Mayorista'!$H$21&gt;='Precio Mayorista'!$D$31,IF(ISBLANK('Precio Mayorista'!$D$32),"",'Precio Mayorista'!$H$21&lt;'Precio Mayorista'!$E$31)),TRUE,FALSE))</f>
        <v>1</v>
      </c>
      <c r="AE18" s="349" t="b">
        <f>IF(AND(ISBLANK('Precio Mayorista'!$E$31),ISBLANK('Precio Mayorista'!$E$32)),FALSE,IF(AND('Precio Mayorista'!$H$21&gt;='Precio Mayorista'!$E$31,IF(ISBLANK('Precio Mayorista'!$E$32),"",'Precio Mayorista'!$H$21&lt;'Precio Mayorista'!$F$31)),TRUE,FALSE))</f>
        <v>0</v>
      </c>
      <c r="AF18" s="349" t="b">
        <f>IF(AND(ISBLANK('Precio Mayorista'!$F$31),ISBLANK('Precio Mayorista'!$F$32)),FALSE,IF(AND('Precio Mayorista'!$H$21&gt;='Precio Mayorista'!$F$31,IF(ISBLANK('Precio Mayorista'!$F$32),"",'Precio Mayorista'!$H$21&lt;'Precio Mayorista'!$G$31)),TRUE,FALSE))</f>
        <v>0</v>
      </c>
      <c r="AG18" s="349" t="b">
        <f>IF(AND(ISBLANK('Precio Mayorista'!$G$31),ISBLANK('Precio Mayorista'!$G$32)),FALSE,IF(AND('Precio Mayorista'!$H$21&gt;='Precio Mayorista'!$G$31,IF(ISBLANK('Precio Mayorista'!$G$32),"",'Precio Mayorista'!$H$21&lt;'Precio Mayorista'!$H$31)),TRUE,FALSE))</f>
        <v>0</v>
      </c>
      <c r="AH18" s="349" t="b">
        <f>IF(AND(ISBLANK('Precio Mayorista'!$H$31),ISBLANK('Precio Mayorista'!$H$32)),FALSE,IF(AND('Precio Mayorista'!$H$21&gt;='Precio Mayorista'!$H$31,IF(ISBLANK('Precio Mayorista'!$H$32),"",'Precio Mayorista'!$H$21&lt;'Precio Mayorista'!$I$31)),TRUE,FALSE))</f>
        <v>0</v>
      </c>
      <c r="AI18" s="349" t="b">
        <f>IF(AND(ISBLANK('Precio Mayorista'!$I$31),ISBLANK('Precio Mayorista'!$I$32)),FALSE,IF(AND('Precio Mayorista'!$H$21&gt;='Precio Mayorista'!$I$31,IF(ISBLANK('Precio Mayorista'!$I$32),"",'Precio Mayorista'!$H$21&lt;'Precio Mayorista'!$J$31)),TRUE,FALSE))</f>
        <v>0</v>
      </c>
      <c r="AJ18" s="349" t="b">
        <f>IF(AND(ISBLANK('Precio Mayorista'!$J$31),ISBLANK('Precio Mayorista'!$J$32)),FALSE,IF(AND('Precio Mayorista'!$H$21&gt;='Precio Mayorista'!$J$31,IF(ISBLANK('Precio Mayorista'!$J$32),"",'Precio Mayorista'!$H$21&lt;'Precio Mayorista'!$P$31)),TRUE,FALSE))</f>
        <v>0</v>
      </c>
      <c r="AK18"/>
      <c r="AL18" s="182" t="s">
        <v>176</v>
      </c>
      <c r="AM18" s="349" t="b">
        <f>IF(AND(ISBLANK('Precio Mayorista'!$D$31),ISBLANK('Precio Mayorista'!$D$32)),FALSE,IF(AND('Precio Mayorista'!$I$21&gt;='Precio Mayorista'!$D$31,IF(ISBLANK('Precio Mayorista'!$D$32),"",'Precio Mayorista'!$I$21&lt;'Precio Mayorista'!$E$31)),TRUE,FALSE))</f>
        <v>1</v>
      </c>
      <c r="AN18" s="349" t="b">
        <f>IF(AND(ISBLANK('Precio Mayorista'!$E$31),ISBLANK('Precio Mayorista'!$E$32)),FALSE,IF(AND('Precio Mayorista'!$I$21&gt;='Precio Mayorista'!$E$31,IF(ISBLANK('Precio Mayorista'!$E$32),"",'Precio Mayorista'!$I$21&lt;'Precio Mayorista'!$F$31)),TRUE,FALSE))</f>
        <v>0</v>
      </c>
      <c r="AO18" s="349" t="b">
        <f>IF(AND(ISBLANK('Precio Mayorista'!$F$31),ISBLANK('Precio Mayorista'!$F$32)),FALSE,IF(AND('Precio Mayorista'!$I$21&gt;='Precio Mayorista'!$F$31,IF(ISBLANK('Precio Mayorista'!$F$32),"",'Precio Mayorista'!$I$21&lt;'Precio Mayorista'!$G$31)),TRUE,FALSE))</f>
        <v>0</v>
      </c>
      <c r="AP18" s="349" t="b">
        <f>IF(AND(ISBLANK('Precio Mayorista'!$G$31),ISBLANK('Precio Mayorista'!$G$32)),FALSE,IF(AND('Precio Mayorista'!$I$21&gt;='Precio Mayorista'!$G$31,IF(ISBLANK('Precio Mayorista'!$G$32),"",'Precio Mayorista'!$I$21&lt;'Precio Mayorista'!$H$31)),TRUE,FALSE))</f>
        <v>0</v>
      </c>
      <c r="AQ18" s="349" t="b">
        <f>IF(AND(ISBLANK('Precio Mayorista'!$H$31),ISBLANK('Precio Mayorista'!$H$32)),FALSE,IF(AND('Precio Mayorista'!$I$21&gt;='Precio Mayorista'!$H$31,IF(ISBLANK('Precio Mayorista'!$H$32),"",'Precio Mayorista'!$I$21&lt;'Precio Mayorista'!$I$31)),TRUE,FALSE))</f>
        <v>0</v>
      </c>
      <c r="AR18" s="349" t="b">
        <f>IF(AND(ISBLANK('Precio Mayorista'!$I$31),ISBLANK('Precio Mayorista'!$I$32)),FALSE,IF(AND('Precio Mayorista'!$I$21&gt;='Precio Mayorista'!$I$31,IF(ISBLANK('Precio Mayorista'!$I$32),"",'Precio Mayorista'!$I$21&lt;'Precio Mayorista'!$J$31)),TRUE,FALSE))</f>
        <v>0</v>
      </c>
      <c r="AS18" s="349" t="b">
        <f>IF(AND(ISBLANK('Precio Mayorista'!$J$31),ISBLANK('Precio Mayorista'!$J$32)),FALSE,IF(AND('Precio Mayorista'!$I$21&gt;='Precio Mayorista'!$J$31,IF(ISBLANK('Precio Mayorista'!$J$32),"",'Precio Mayorista'!$I$21&lt;'Precio Mayorista'!$P$31)),TRUE,FALSE))</f>
        <v>0</v>
      </c>
      <c r="AT18"/>
      <c r="AU18" s="182" t="s">
        <v>176</v>
      </c>
      <c r="AV18" s="349" t="b">
        <f>IF(AND(ISBLANK('Precio Mayorista'!$D$31),ISBLANK('Precio Mayorista'!$D$32)),FALSE,IF(AND('Precio Mayorista'!$J$21&gt;='Precio Mayorista'!$D$31,IF(ISBLANK('Precio Mayorista'!$D$32),"",'Precio Mayorista'!$J$21&lt;'Precio Mayorista'!$E$31)),TRUE,FALSE))</f>
        <v>1</v>
      </c>
      <c r="AW18" s="349" t="b">
        <f>IF(AND(ISBLANK('Precio Mayorista'!$E$31),ISBLANK('Precio Mayorista'!$E$32)),FALSE,IF(AND('Precio Mayorista'!$J$21&gt;='Precio Mayorista'!$E$31,IF(ISBLANK('Precio Mayorista'!$E$32),"",'Precio Mayorista'!$J$21&lt;'Precio Mayorista'!$F$31)),TRUE,FALSE))</f>
        <v>0</v>
      </c>
      <c r="AX18" s="349" t="b">
        <f>IF(AND(ISBLANK('Precio Mayorista'!$F$31),ISBLANK('Precio Mayorista'!$F$32)),FALSE,IF(AND('Precio Mayorista'!$J$21&gt;='Precio Mayorista'!$F$31,IF(ISBLANK('Precio Mayorista'!$F$32),"",'Precio Mayorista'!$J$21&lt;'Precio Mayorista'!$G$31)),TRUE,FALSE))</f>
        <v>0</v>
      </c>
      <c r="AY18" s="349" t="b">
        <f>IF(AND(ISBLANK('Precio Mayorista'!$G$31),ISBLANK('Precio Mayorista'!$G$32)),FALSE,IF(AND('Precio Mayorista'!$J$21&gt;='Precio Mayorista'!$G$31,IF(ISBLANK('Precio Mayorista'!$G$32),"",'Precio Mayorista'!$J$21&lt;'Precio Mayorista'!$H$31)),TRUE,FALSE))</f>
        <v>0</v>
      </c>
      <c r="AZ18" s="349" t="b">
        <f>IF(AND(ISBLANK('Precio Mayorista'!$H$31),ISBLANK('Precio Mayorista'!$H$32)),FALSE,IF(AND('Precio Mayorista'!$J$21&gt;='Precio Mayorista'!$H$31,IF(ISBLANK('Precio Mayorista'!$H$32),"",'Precio Mayorista'!$J$21&lt;'Precio Mayorista'!$I$31)),TRUE,FALSE))</f>
        <v>0</v>
      </c>
      <c r="BA18" s="349" t="b">
        <f>IF(AND(ISBLANK('Precio Mayorista'!$I$31),ISBLANK('Precio Mayorista'!$I$32)),FALSE,IF(AND('Precio Mayorista'!$J$21&gt;='Precio Mayorista'!$I$31,IF(ISBLANK('Precio Mayorista'!$I$32),"",'Precio Mayorista'!$J$21&lt;'Precio Mayorista'!$J$31)),TRUE,FALSE))</f>
        <v>0</v>
      </c>
      <c r="BB18" s="349" t="b">
        <f>IF(AND(ISBLANK('Precio Mayorista'!$J$31),ISBLANK('Precio Mayorista'!$J$32)),FALSE,IF(AND('Precio Mayorista'!$J$21&gt;='Precio Mayorista'!$J$31,IF(ISBLANK('Precio Mayorista'!$J$32),"",'Precio Mayorista'!$J$21&lt;'Precio Mayorista'!$P$31)),TRUE,FALSE))</f>
        <v>0</v>
      </c>
      <c r="BC18"/>
    </row>
    <row r="19" spans="2:55" s="73" customFormat="1" ht="16.149999999999999" customHeight="1" x14ac:dyDescent="0.2">
      <c r="B19" s="182" t="s">
        <v>175</v>
      </c>
      <c r="C19" s="350" t="b">
        <f>IF(AND(ISBLANK('Precio Mayorista'!$D$34),ISBLANK('Precio Mayorista'!$D$35)),FALSE,IF(AND('Precio Mayorista'!$E$22&gt;='Precio Mayorista'!$D$34,IF(ISBLANK('Precio Mayorista'!$E$34),"",'Precio Mayorista'!$E$22&lt;'Precio Mayorista'!$E$34)),TRUE,FALSE))</f>
        <v>0</v>
      </c>
      <c r="D19" s="350" t="b">
        <f>IF(AND(ISBLANK('Precio Mayorista'!$E$34),ISBLANK('Precio Mayorista'!$E$35)),FALSE,IF(AND('Precio Mayorista'!$E$22&gt;='Precio Mayorista'!$E$34,IF(ISBLANK('Precio Mayorista'!$F$34),"",'Precio Mayorista'!$E$22&lt;'Precio Mayorista'!$F$34)),TRUE,FALSE))</f>
        <v>0</v>
      </c>
      <c r="E19" s="350" t="b">
        <f>IF(AND(ISBLANK('Precio Mayorista'!$F$34),ISBLANK('Precio Mayorista'!$F$35)),FALSE,IF(AND('Precio Mayorista'!$E$22&gt;='Precio Mayorista'!$F$34,IF(ISBLANK('Precio Mayorista'!$G$34),"",'Precio Mayorista'!$E$22&lt;'Precio Mayorista'!$G$34)),TRUE,FALSE))</f>
        <v>0</v>
      </c>
      <c r="F19" s="350" t="b">
        <f>IF(AND(ISBLANK('Precio Mayorista'!$G$34),ISBLANK('Precio Mayorista'!$G$35)),FALSE,IF(AND('Precio Mayorista'!$E$22&gt;='Precio Mayorista'!$G$34,IF(ISBLANK('Precio Mayorista'!$H$34),"",'Precio Mayorista'!$E$22&lt;'Precio Mayorista'!$H$34)),TRUE,FALSE))</f>
        <v>0</v>
      </c>
      <c r="G19" s="350" t="b">
        <f>IF(AND(ISBLANK('Precio Mayorista'!$H$34),ISBLANK('Precio Mayorista'!$H$35)),FALSE,IF(AND('Precio Mayorista'!$E$22&gt;='Precio Mayorista'!$H$34,IF(ISBLANK('Precio Mayorista'!$I$34),"",'Precio Mayorista'!$E$22&lt;'Precio Mayorista'!$I$34)),TRUE,FALSE))</f>
        <v>0</v>
      </c>
      <c r="H19" s="350" t="b">
        <f>IF(AND(ISBLANK('Precio Mayorista'!$I$34),ISBLANK('Precio Mayorista'!$I$35)),FALSE,IF(AND('Precio Mayorista'!$E$22&gt;='Precio Mayorista'!$I$34,IF(ISBLANK('Precio Mayorista'!$J$34),"",'Precio Mayorista'!$E$22&lt;'Precio Mayorista'!$J$34)),TRUE,FALSE))</f>
        <v>0</v>
      </c>
      <c r="I19" s="350" t="b">
        <f>IF(AND(ISBLANK('Precio Mayorista'!$J$34),ISBLANK('Precio Mayorista'!$J$35)),FALSE,IF(AND('Precio Mayorista'!$E$22&gt;='Precio Mayorista'!$J$34,IF(ISBLANK('Precio Mayorista'!$P$34),"",'Precio Mayorista'!$E$22&lt;'Precio Mayorista'!$P$34)),TRUE,FALSE))</f>
        <v>0</v>
      </c>
      <c r="J19"/>
      <c r="K19" s="182" t="s">
        <v>175</v>
      </c>
      <c r="L19" s="350" t="b">
        <f>IF(AND(ISBLANK('Precio Mayorista'!$D$34),ISBLANK('Precio Mayorista'!$D$35)),FALSE,IF(AND('Precio Mayorista'!$F$22&gt;='Precio Mayorista'!$D$34,IF(ISBLANK('Precio Mayorista'!$E$34),"",'Precio Mayorista'!$F$22&lt;'Precio Mayorista'!$E$34)),TRUE,FALSE))</f>
        <v>0</v>
      </c>
      <c r="M19" s="350" t="b">
        <f>IF(AND(ISBLANK('Precio Mayorista'!$E$34),ISBLANK('Precio Mayorista'!$E$35)),FALSE,IF(AND('Precio Mayorista'!$F$22&gt;='Precio Mayorista'!$E$34,IF(ISBLANK('Precio Mayorista'!$F$34),"",'Precio Mayorista'!$F$22&lt;'Precio Mayorista'!$F$34)),TRUE,FALSE))</f>
        <v>0</v>
      </c>
      <c r="N19" s="350" t="b">
        <f>IF(AND(ISBLANK('Precio Mayorista'!$F$34),ISBLANK('Precio Mayorista'!$F$35)),FALSE,IF(AND('Precio Mayorista'!$F$22&gt;='Precio Mayorista'!$F$34,IF(ISBLANK('Precio Mayorista'!$G$34),"",'Precio Mayorista'!$F$22&lt;'Precio Mayorista'!$G$34)),TRUE,FALSE))</f>
        <v>0</v>
      </c>
      <c r="O19" s="350" t="b">
        <f>IF(AND(ISBLANK('Precio Mayorista'!$G$34),ISBLANK('Precio Mayorista'!$G$35)),FALSE,IF(AND('Precio Mayorista'!$F$22&gt;='Precio Mayorista'!$G$34,IF(ISBLANK('Precio Mayorista'!$H$34),"",'Precio Mayorista'!$F$22&lt;'Precio Mayorista'!$H$34)),TRUE,FALSE))</f>
        <v>0</v>
      </c>
      <c r="P19" s="350" t="b">
        <f>IF(AND(ISBLANK('Precio Mayorista'!$H$34),ISBLANK('Precio Mayorista'!$H$35)),FALSE,IF(AND('Precio Mayorista'!$F$22&gt;='Precio Mayorista'!$H$34,IF(ISBLANK('Precio Mayorista'!$I$34),"",'Precio Mayorista'!$F$22&lt;'Precio Mayorista'!$I$34)),TRUE,FALSE))</f>
        <v>0</v>
      </c>
      <c r="Q19" s="350" t="b">
        <f>IF(AND(ISBLANK('Precio Mayorista'!$I$34),ISBLANK('Precio Mayorista'!$I$35)),FALSE,IF(AND('Precio Mayorista'!$F$22&gt;='Precio Mayorista'!$I$34,IF(ISBLANK('Precio Mayorista'!$J$34),"",'Precio Mayorista'!$F$22&lt;'Precio Mayorista'!$J$34)),TRUE,FALSE))</f>
        <v>0</v>
      </c>
      <c r="R19" s="350" t="b">
        <f>IF(AND(ISBLANK('Precio Mayorista'!$J$34),ISBLANK('Precio Mayorista'!$J$35)),FALSE,IF(AND('Precio Mayorista'!$F$22&gt;='Precio Mayorista'!$J$34,IF(ISBLANK('Precio Mayorista'!$P$34),"",'Precio Mayorista'!$F$22&lt;'Precio Mayorista'!$P$34)),TRUE,FALSE))</f>
        <v>0</v>
      </c>
      <c r="S19"/>
      <c r="T19" s="182" t="s">
        <v>175</v>
      </c>
      <c r="U19" s="350" t="b">
        <f>IF(AND(ISBLANK('Precio Mayorista'!$D$34),ISBLANK('Precio Mayorista'!$D$35)),FALSE,IF(AND('Precio Mayorista'!$G$22&gt;='Precio Mayorista'!$D$34,IF(ISBLANK('Precio Mayorista'!$E$34),"",'Precio Mayorista'!$G$22&lt;'Precio Mayorista'!$E$34)),TRUE,FALSE))</f>
        <v>0</v>
      </c>
      <c r="V19" s="350" t="b">
        <f>IF(AND(ISBLANK('Precio Mayorista'!$E$34),ISBLANK('Precio Mayorista'!$E$35)),FALSE,IF(AND('Precio Mayorista'!$G$22&gt;='Precio Mayorista'!$E$34,IF(ISBLANK('Precio Mayorista'!$F$34),"",'Precio Mayorista'!$G$22&lt;'Precio Mayorista'!$F$34)),TRUE,FALSE))</f>
        <v>0</v>
      </c>
      <c r="W19" s="350" t="b">
        <f>IF(AND(ISBLANK('Precio Mayorista'!$F$34),ISBLANK('Precio Mayorista'!$F$35)),FALSE,IF(AND('Precio Mayorista'!$G$22&gt;='Precio Mayorista'!$F$34,IF(ISBLANK('Precio Mayorista'!$G$34),"",'Precio Mayorista'!$G$22&lt;'Precio Mayorista'!$G$34)),TRUE,FALSE))</f>
        <v>0</v>
      </c>
      <c r="X19" s="350" t="b">
        <f>IF(AND(ISBLANK('Precio Mayorista'!$G$34),ISBLANK('Precio Mayorista'!$G$35)),FALSE,IF(AND('Precio Mayorista'!$G$22&gt;='Precio Mayorista'!$G$34,IF(ISBLANK('Precio Mayorista'!$H$34),"",'Precio Mayorista'!$G$22&lt;'Precio Mayorista'!$H$34)),TRUE,FALSE))</f>
        <v>0</v>
      </c>
      <c r="Y19" s="350" t="b">
        <f>IF(AND(ISBLANK('Precio Mayorista'!$H$34),ISBLANK('Precio Mayorista'!$H$35)),FALSE,IF(AND('Precio Mayorista'!$G$22&gt;='Precio Mayorista'!$H$34,IF(ISBLANK('Precio Mayorista'!$I$34),"",'Precio Mayorista'!$G$22&lt;'Precio Mayorista'!$I$34)),TRUE,FALSE))</f>
        <v>0</v>
      </c>
      <c r="Z19" s="350" t="b">
        <f>IF(AND(ISBLANK('Precio Mayorista'!$I$34),ISBLANK('Precio Mayorista'!$I$35)),FALSE,IF(AND('Precio Mayorista'!$G$22&gt;='Precio Mayorista'!$I$34,IF(ISBLANK('Precio Mayorista'!$J$34),"",'Precio Mayorista'!$G$22&lt;'Precio Mayorista'!$J$34)),TRUE,FALSE))</f>
        <v>0</v>
      </c>
      <c r="AA19" s="350" t="b">
        <f>IF(AND(ISBLANK('Precio Mayorista'!$J$34),ISBLANK('Precio Mayorista'!$J$35)),FALSE,IF(AND('Precio Mayorista'!$G$22&gt;='Precio Mayorista'!$J$34,IF(ISBLANK('Precio Mayorista'!$P$34),"",'Precio Mayorista'!$G$22&lt;'Precio Mayorista'!$P$34)),TRUE,FALSE))</f>
        <v>0</v>
      </c>
      <c r="AB19"/>
      <c r="AC19" s="182" t="s">
        <v>175</v>
      </c>
      <c r="AD19" s="350" t="b">
        <f>IF(AND(ISBLANK('Precio Mayorista'!$D$34),ISBLANK('Precio Mayorista'!$D$35)),FALSE,IF(AND('Precio Mayorista'!$H$22&gt;='Precio Mayorista'!$D$34,IF(ISBLANK('Precio Mayorista'!$E$34),"",'Precio Mayorista'!$H$22&lt;'Precio Mayorista'!$E$34)),TRUE,FALSE))</f>
        <v>0</v>
      </c>
      <c r="AE19" s="350" t="b">
        <f>IF(AND(ISBLANK('Precio Mayorista'!$E$34),ISBLANK('Precio Mayorista'!$E$35)),FALSE,IF(AND('Precio Mayorista'!$H$22&gt;='Precio Mayorista'!$E$34,IF(ISBLANK('Precio Mayorista'!$F$34),"",'Precio Mayorista'!$H$22&lt;'Precio Mayorista'!$F$34)),TRUE,FALSE))</f>
        <v>0</v>
      </c>
      <c r="AF19" s="350" t="b">
        <f>IF(AND(ISBLANK('Precio Mayorista'!$F$34),ISBLANK('Precio Mayorista'!$F$35)),FALSE,IF(AND('Precio Mayorista'!$H$22&gt;='Precio Mayorista'!$F$34,IF(ISBLANK('Precio Mayorista'!$G$34),"",'Precio Mayorista'!$H$22&lt;'Precio Mayorista'!$G$34)),TRUE,FALSE))</f>
        <v>0</v>
      </c>
      <c r="AG19" s="350" t="b">
        <f>IF(AND(ISBLANK('Precio Mayorista'!$G$34),ISBLANK('Precio Mayorista'!$G$35)),FALSE,IF(AND('Precio Mayorista'!$H$22&gt;='Precio Mayorista'!$G$34,IF(ISBLANK('Precio Mayorista'!$H$34),"",'Precio Mayorista'!$H$22&lt;'Precio Mayorista'!$H$34)),TRUE,FALSE))</f>
        <v>0</v>
      </c>
      <c r="AH19" s="350" t="b">
        <f>IF(AND(ISBLANK('Precio Mayorista'!$H$34),ISBLANK('Precio Mayorista'!$H$35)),FALSE,IF(AND('Precio Mayorista'!$H$22&gt;='Precio Mayorista'!$H$34,IF(ISBLANK('Precio Mayorista'!$I$34),"",'Precio Mayorista'!$H$22&lt;'Precio Mayorista'!$I$34)),TRUE,FALSE))</f>
        <v>0</v>
      </c>
      <c r="AI19" s="350" t="b">
        <f>IF(AND(ISBLANK('Precio Mayorista'!$I$34),ISBLANK('Precio Mayorista'!$I$35)),FALSE,IF(AND('Precio Mayorista'!$H$22&gt;='Precio Mayorista'!$I$34,IF(ISBLANK('Precio Mayorista'!$J$34),"",'Precio Mayorista'!$H$22&lt;'Precio Mayorista'!$J$34)),TRUE,FALSE))</f>
        <v>0</v>
      </c>
      <c r="AJ19" s="350" t="b">
        <f>IF(AND(ISBLANK('Precio Mayorista'!$J$34),ISBLANK('Precio Mayorista'!$J$35)),FALSE,IF(AND('Precio Mayorista'!$H$22&gt;='Precio Mayorista'!$J$34,IF(ISBLANK('Precio Mayorista'!$P$34),"",'Precio Mayorista'!$H$22&lt;'Precio Mayorista'!$P$34)),TRUE,FALSE))</f>
        <v>0</v>
      </c>
      <c r="AK19"/>
      <c r="AL19" s="182" t="s">
        <v>175</v>
      </c>
      <c r="AM19" s="350" t="b">
        <f>IF(AND(ISBLANK('Precio Mayorista'!$D$34),ISBLANK('Precio Mayorista'!$D$35)),FALSE,IF(AND('Precio Mayorista'!$I$22&gt;='Precio Mayorista'!$D$34,IF(ISBLANK('Precio Mayorista'!$E$34),"",'Precio Mayorista'!$I$22&lt;'Precio Mayorista'!$E$34)),TRUE,FALSE))</f>
        <v>0</v>
      </c>
      <c r="AN19" s="350" t="b">
        <f>IF(AND(ISBLANK('Precio Mayorista'!$E$34),ISBLANK('Precio Mayorista'!$E$35)),FALSE,IF(AND('Precio Mayorista'!$I$22&gt;='Precio Mayorista'!$E$34,IF(ISBLANK('Precio Mayorista'!$F$34),"",'Precio Mayorista'!$I$22&lt;'Precio Mayorista'!$F$34)),TRUE,FALSE))</f>
        <v>0</v>
      </c>
      <c r="AO19" s="350" t="b">
        <f>IF(AND(ISBLANK('Precio Mayorista'!$F$34),ISBLANK('Precio Mayorista'!$F$35)),FALSE,IF(AND('Precio Mayorista'!$I$22&gt;='Precio Mayorista'!$F$34,IF(ISBLANK('Precio Mayorista'!$G$34),"",'Precio Mayorista'!$I$22&lt;'Precio Mayorista'!$G$34)),TRUE,FALSE))</f>
        <v>0</v>
      </c>
      <c r="AP19" s="350" t="b">
        <f>IF(AND(ISBLANK('Precio Mayorista'!$G$34),ISBLANK('Precio Mayorista'!$G$35)),FALSE,IF(AND('Precio Mayorista'!$I$22&gt;='Precio Mayorista'!$G$34,IF(ISBLANK('Precio Mayorista'!$H$34),"",'Precio Mayorista'!$I$22&lt;'Precio Mayorista'!$H$34)),TRUE,FALSE))</f>
        <v>0</v>
      </c>
      <c r="AQ19" s="350" t="b">
        <f>IF(AND(ISBLANK('Precio Mayorista'!$H$34),ISBLANK('Precio Mayorista'!$H$35)),FALSE,IF(AND('Precio Mayorista'!$I$22&gt;='Precio Mayorista'!$H$34,IF(ISBLANK('Precio Mayorista'!$I$34),"",'Precio Mayorista'!$I$22&lt;'Precio Mayorista'!$I$34)),TRUE,FALSE))</f>
        <v>0</v>
      </c>
      <c r="AR19" s="350" t="b">
        <f>IF(AND(ISBLANK('Precio Mayorista'!$I$34),ISBLANK('Precio Mayorista'!$I$35)),FALSE,IF(AND('Precio Mayorista'!$I$22&gt;='Precio Mayorista'!$I$34,IF(ISBLANK('Precio Mayorista'!$J$34),"",'Precio Mayorista'!$I$22&lt;'Precio Mayorista'!$J$34)),TRUE,FALSE))</f>
        <v>0</v>
      </c>
      <c r="AS19" s="350" t="b">
        <f>IF(AND(ISBLANK('Precio Mayorista'!$J$34),ISBLANK('Precio Mayorista'!$J$35)),FALSE,IF(AND('Precio Mayorista'!$I$22&gt;='Precio Mayorista'!$J$34,IF(ISBLANK('Precio Mayorista'!$P$34),"",'Precio Mayorista'!$I$22&lt;'Precio Mayorista'!$P$34)),TRUE,FALSE))</f>
        <v>0</v>
      </c>
      <c r="AT19"/>
      <c r="AU19" s="182" t="s">
        <v>175</v>
      </c>
      <c r="AV19" s="350" t="b">
        <f>IF(AND(ISBLANK('Precio Mayorista'!$D$34),ISBLANK('Precio Mayorista'!$D$35)),FALSE,IF(AND('Precio Mayorista'!$J$22&gt;='Precio Mayorista'!$D$34,IF(ISBLANK('Precio Mayorista'!$E$34),"",'Precio Mayorista'!$J$22&lt;'Precio Mayorista'!$E$34)),TRUE,FALSE))</f>
        <v>0</v>
      </c>
      <c r="AW19" s="350" t="b">
        <f>IF(AND(ISBLANK('Precio Mayorista'!$E$34),ISBLANK('Precio Mayorista'!$E$35)),FALSE,IF(AND('Precio Mayorista'!$J$22&gt;='Precio Mayorista'!$E$34,IF(ISBLANK('Precio Mayorista'!$F$34),"",'Precio Mayorista'!$J$22&lt;'Precio Mayorista'!$F$34)),TRUE,FALSE))</f>
        <v>0</v>
      </c>
      <c r="AX19" s="350" t="b">
        <f>IF(AND(ISBLANK('Precio Mayorista'!$F$34),ISBLANK('Precio Mayorista'!$F$35)),FALSE,IF(AND('Precio Mayorista'!$J$22&gt;='Precio Mayorista'!$F$34,IF(ISBLANK('Precio Mayorista'!$G$34),"",'Precio Mayorista'!$J$22&lt;'Precio Mayorista'!$G$34)),TRUE,FALSE))</f>
        <v>0</v>
      </c>
      <c r="AY19" s="350" t="b">
        <f>IF(AND(ISBLANK('Precio Mayorista'!$G$34),ISBLANK('Precio Mayorista'!$G$35)),FALSE,IF(AND('Precio Mayorista'!$J$22&gt;='Precio Mayorista'!$G$34,IF(ISBLANK('Precio Mayorista'!$H$34),"",'Precio Mayorista'!$J$22&lt;'Precio Mayorista'!$H$34)),TRUE,FALSE))</f>
        <v>0</v>
      </c>
      <c r="AZ19" s="350" t="b">
        <f>IF(AND(ISBLANK('Precio Mayorista'!$H$34),ISBLANK('Precio Mayorista'!$H$35)),FALSE,IF(AND('Precio Mayorista'!$J$22&gt;='Precio Mayorista'!$H$34,IF(ISBLANK('Precio Mayorista'!$I$34),"",'Precio Mayorista'!$J$22&lt;'Precio Mayorista'!$I$34)),TRUE,FALSE))</f>
        <v>0</v>
      </c>
      <c r="BA19" s="350" t="b">
        <f>IF(AND(ISBLANK('Precio Mayorista'!$I$34),ISBLANK('Precio Mayorista'!$I$35)),FALSE,IF(AND('Precio Mayorista'!$J$22&gt;='Precio Mayorista'!$I$34,IF(ISBLANK('Precio Mayorista'!$J$34),"",'Precio Mayorista'!$J$22&lt;'Precio Mayorista'!$J$34)),TRUE,FALSE))</f>
        <v>0</v>
      </c>
      <c r="BB19" s="350" t="b">
        <f>IF(AND(ISBLANK('Precio Mayorista'!$J$34),ISBLANK('Precio Mayorista'!$J$35)),FALSE,IF(AND('Precio Mayorista'!$J$22&gt;='Precio Mayorista'!$J$34,IF(ISBLANK('Precio Mayorista'!$P$34),"",'Precio Mayorista'!$J$22&lt;'Precio Mayorista'!$P$34)),TRUE,FALSE))</f>
        <v>0</v>
      </c>
      <c r="BC19"/>
    </row>
    <row r="20" spans="2:55" s="73" customFormat="1" ht="16.149999999999999" customHeight="1" x14ac:dyDescent="0.2">
      <c r="B20" s="167" t="s">
        <v>186</v>
      </c>
      <c r="C20" s="351" t="b">
        <f>IF(AND(ISBLANK('Precio Mayorista'!$D$38),ISBLANK('Precio Mayorista'!$D$39)),FALSE,IF(AND('Precio Mayorista'!$E$23&gt;='Precio Mayorista'!$D$38,IF(ISBLANK('Precio Mayorista'!$E$38),"",'Precio Mayorista'!$E$23&lt;'Precio Mayorista'!$E$38)),TRUE,FALSE))</f>
        <v>0</v>
      </c>
      <c r="D20" s="351" t="b">
        <f>IF(AND(ISBLANK('Precio Mayorista'!$E$38),ISBLANK('Precio Mayorista'!$E$39)),FALSE,IF(AND('Precio Mayorista'!$E$23&gt;='Precio Mayorista'!$E$38,IF(ISBLANK('Precio Mayorista'!$F$38),"",'Precio Mayorista'!$E$23&lt;'Precio Mayorista'!$F$38)),TRUE,FALSE))</f>
        <v>0</v>
      </c>
      <c r="E20" s="351" t="b">
        <f>IF(AND(ISBLANK('Precio Mayorista'!$F$38),ISBLANK('Precio Mayorista'!$F$39)),FALSE,IF(AND('Precio Mayorista'!$E$23&gt;='Precio Mayorista'!$F$38,IF(ISBLANK('Precio Mayorista'!$G$38),"",'Precio Mayorista'!$E$23&lt;'Precio Mayorista'!$G$38)),TRUE,FALSE))</f>
        <v>0</v>
      </c>
      <c r="F20" s="351" t="b">
        <f>IF(AND(ISBLANK('Precio Mayorista'!$G$38),ISBLANK('Precio Mayorista'!$G$39)),FALSE,IF(AND('Precio Mayorista'!$E$23&gt;='Precio Mayorista'!$G$38,IF(ISBLANK('Precio Mayorista'!$H$38),"",'Precio Mayorista'!$E$23&lt;'Precio Mayorista'!$H$38)),TRUE,FALSE))</f>
        <v>0</v>
      </c>
      <c r="G20" s="351" t="b">
        <f>IF(AND(ISBLANK('Precio Mayorista'!$H$38),ISBLANK('Precio Mayorista'!$H$39)),FALSE,IF(AND('Precio Mayorista'!$E$23&gt;='Precio Mayorista'!$H$38,IF(ISBLANK('Precio Mayorista'!$I$38),"",'Precio Mayorista'!$E$23&lt;'Precio Mayorista'!$I$38)),TRUE,FALSE))</f>
        <v>0</v>
      </c>
      <c r="H20" s="351" t="b">
        <f>IF(AND(ISBLANK('Precio Mayorista'!$I$38),ISBLANK('Precio Mayorista'!$I$39)),FALSE,IF(AND('Precio Mayorista'!$E$23&gt;='Precio Mayorista'!$I$38,IF(ISBLANK('Precio Mayorista'!$J$38),"",'Precio Mayorista'!$E$23&lt;'Precio Mayorista'!$J$38)),TRUE,FALSE))</f>
        <v>1</v>
      </c>
      <c r="I20" s="351" t="b">
        <f>IF(AND(ISBLANK('Precio Mayorista'!$J$38),ISBLANK('Precio Mayorista'!$J$39)),FALSE,IF(AND('Precio Mayorista'!$E$23&gt;='Precio Mayorista'!$J$38,IF(ISBLANK('Precio Mayorista'!$P$38),"",'Precio Mayorista'!$E$23&lt;'Precio Mayorista'!$P$38)),TRUE,FALSE))</f>
        <v>0</v>
      </c>
      <c r="J20"/>
      <c r="K20" s="167" t="s">
        <v>186</v>
      </c>
      <c r="L20" s="351" t="b">
        <f>IF(AND(ISBLANK('Precio Mayorista'!$D$38),ISBLANK('Precio Mayorista'!$D$39)),FALSE,IF(AND('Precio Mayorista'!$F$23&gt;='Precio Mayorista'!$D$38,IF(ISBLANK('Precio Mayorista'!$E$38),"",'Precio Mayorista'!$F$23&lt;'Precio Mayorista'!$E$38)),TRUE,FALSE))</f>
        <v>0</v>
      </c>
      <c r="M20" s="351" t="b">
        <f>IF(AND(ISBLANK('Precio Mayorista'!$E$38),ISBLANK('Precio Mayorista'!$E$39)),FALSE,IF(AND('Precio Mayorista'!$F$23&gt;='Precio Mayorista'!$E$38,IF(ISBLANK('Precio Mayorista'!$F$38),"",'Precio Mayorista'!$F$23&lt;'Precio Mayorista'!$F$38)),TRUE,FALSE))</f>
        <v>0</v>
      </c>
      <c r="N20" s="351" t="b">
        <f>IF(AND(ISBLANK('Precio Mayorista'!$F$38),ISBLANK('Precio Mayorista'!$F$39)),FALSE,IF(AND('Precio Mayorista'!$F$23&gt;='Precio Mayorista'!$F$38,IF(ISBLANK('Precio Mayorista'!$G$38),"",'Precio Mayorista'!$F$23&lt;'Precio Mayorista'!$G$38)),TRUE,FALSE))</f>
        <v>0</v>
      </c>
      <c r="O20" s="351" t="b">
        <f>IF(AND(ISBLANK('Precio Mayorista'!$G$38),ISBLANK('Precio Mayorista'!$G$39)),FALSE,IF(AND('Precio Mayorista'!$F$23&gt;='Precio Mayorista'!$G$38,IF(ISBLANK('Precio Mayorista'!$H$38),"",'Precio Mayorista'!$F$23&lt;'Precio Mayorista'!$H$38)),TRUE,FALSE))</f>
        <v>0</v>
      </c>
      <c r="P20" s="351" t="b">
        <f>IF(AND(ISBLANK('Precio Mayorista'!$H$38),ISBLANK('Precio Mayorista'!$H$39)),FALSE,IF(AND('Precio Mayorista'!$F$23&gt;='Precio Mayorista'!$H$38,IF(ISBLANK('Precio Mayorista'!$I$38),"",'Precio Mayorista'!$F$23&lt;'Precio Mayorista'!$I$38)),TRUE,FALSE))</f>
        <v>0</v>
      </c>
      <c r="Q20" s="351" t="b">
        <f>IF(AND(ISBLANK('Precio Mayorista'!$I$38),ISBLANK('Precio Mayorista'!$I$39)),FALSE,IF(AND('Precio Mayorista'!$F$23&gt;='Precio Mayorista'!$I$38,IF(ISBLANK('Precio Mayorista'!$J$38),"",'Precio Mayorista'!$F$23&lt;'Precio Mayorista'!$J$38)),TRUE,FALSE))</f>
        <v>1</v>
      </c>
      <c r="R20" s="351" t="b">
        <f>IF(AND(ISBLANK('Precio Mayorista'!$J$38),ISBLANK('Precio Mayorista'!$J$39)),FALSE,IF(AND('Precio Mayorista'!$F$23&gt;='Precio Mayorista'!$J$38,IF(ISBLANK('Precio Mayorista'!$P$38),"",'Precio Mayorista'!$F$23&lt;'Precio Mayorista'!$P$38)),TRUE,FALSE))</f>
        <v>0</v>
      </c>
      <c r="S20"/>
      <c r="T20" s="167" t="s">
        <v>186</v>
      </c>
      <c r="U20" s="351" t="b">
        <f>IF(AND(ISBLANK('Precio Mayorista'!$D$38),ISBLANK('Precio Mayorista'!$D$39)),FALSE,IF(AND('Precio Mayorista'!$G$23&gt;='Precio Mayorista'!$D$38,IF(ISBLANK('Precio Mayorista'!$E$38),"",'Precio Mayorista'!$G$23&lt;'Precio Mayorista'!$E$38)),TRUE,FALSE))</f>
        <v>0</v>
      </c>
      <c r="V20" s="351" t="b">
        <f>IF(AND(ISBLANK('Precio Mayorista'!$E$38),ISBLANK('Precio Mayorista'!$E$39)),FALSE,IF(AND('Precio Mayorista'!$G$23&gt;='Precio Mayorista'!$E$38,IF(ISBLANK('Precio Mayorista'!$F$38),"",'Precio Mayorista'!$G$23&lt;'Precio Mayorista'!$F$38)),TRUE,FALSE))</f>
        <v>0</v>
      </c>
      <c r="W20" s="351" t="b">
        <f>IF(AND(ISBLANK('Precio Mayorista'!$F$38),ISBLANK('Precio Mayorista'!$F$39)),FALSE,IF(AND('Precio Mayorista'!$G$23&gt;='Precio Mayorista'!$F$38,IF(ISBLANK('Precio Mayorista'!$G$38),"",'Precio Mayorista'!$G$23&lt;'Precio Mayorista'!$G$38)),TRUE,FALSE))</f>
        <v>0</v>
      </c>
      <c r="X20" s="351" t="b">
        <f>IF(AND(ISBLANK('Precio Mayorista'!$G$38),ISBLANK('Precio Mayorista'!$G$39)),FALSE,IF(AND('Precio Mayorista'!$G$23&gt;='Precio Mayorista'!$G$38,IF(ISBLANK('Precio Mayorista'!$H$38),"",'Precio Mayorista'!$G$23&lt;'Precio Mayorista'!$H$38)),TRUE,FALSE))</f>
        <v>0</v>
      </c>
      <c r="Y20" s="351" t="b">
        <f>IF(AND(ISBLANK('Precio Mayorista'!$H$38),ISBLANK('Precio Mayorista'!$H$39)),FALSE,IF(AND('Precio Mayorista'!$G$23&gt;='Precio Mayorista'!$H$38,IF(ISBLANK('Precio Mayorista'!$I$38),"",'Precio Mayorista'!$G$23&lt;'Precio Mayorista'!$I$38)),TRUE,FALSE))</f>
        <v>1</v>
      </c>
      <c r="Z20" s="351" t="b">
        <f>IF(AND(ISBLANK('Precio Mayorista'!$I$38),ISBLANK('Precio Mayorista'!$I$39)),FALSE,IF(AND('Precio Mayorista'!$G$23&gt;='Precio Mayorista'!$I$38,IF(ISBLANK('Precio Mayorista'!$J$38),"",'Precio Mayorista'!$G$23&lt;'Precio Mayorista'!$J$38)),TRUE,FALSE))</f>
        <v>0</v>
      </c>
      <c r="AA20" s="351" t="b">
        <f>IF(AND(ISBLANK('Precio Mayorista'!$J$38),ISBLANK('Precio Mayorista'!$J$39)),FALSE,IF(AND('Precio Mayorista'!$G$23&gt;='Precio Mayorista'!$J$38,IF(ISBLANK('Precio Mayorista'!$P$38),"",'Precio Mayorista'!$G$23&lt;'Precio Mayorista'!$P$38)),TRUE,FALSE))</f>
        <v>0</v>
      </c>
      <c r="AB20"/>
      <c r="AC20" s="167" t="s">
        <v>186</v>
      </c>
      <c r="AD20" s="351" t="b">
        <f>IF(AND(ISBLANK('Precio Mayorista'!$D$38),ISBLANK('Precio Mayorista'!$D$39)),FALSE,IF(AND('Precio Mayorista'!$H$23&gt;='Precio Mayorista'!$D$38,IF(ISBLANK('Precio Mayorista'!$E$38),"",'Precio Mayorista'!$H$23&lt;'Precio Mayorista'!$E$38)),TRUE,FALSE))</f>
        <v>0</v>
      </c>
      <c r="AE20" s="351" t="b">
        <f>IF(AND(ISBLANK('Precio Mayorista'!$E$38),ISBLANK('Precio Mayorista'!$E$39)),FALSE,IF(AND('Precio Mayorista'!$H$23&gt;='Precio Mayorista'!$E$38,IF(ISBLANK('Precio Mayorista'!$F$38),"",'Precio Mayorista'!$H$23&lt;'Precio Mayorista'!$F$38)),TRUE,FALSE))</f>
        <v>0</v>
      </c>
      <c r="AF20" s="351" t="b">
        <f>IF(AND(ISBLANK('Precio Mayorista'!$F$38),ISBLANK('Precio Mayorista'!$F$39)),FALSE,IF(AND('Precio Mayorista'!$H$23&gt;='Precio Mayorista'!$F$38,IF(ISBLANK('Precio Mayorista'!$G$38),"",'Precio Mayorista'!$H$23&lt;'Precio Mayorista'!$G$38)),TRUE,FALSE))</f>
        <v>0</v>
      </c>
      <c r="AG20" s="351" t="b">
        <f>IF(AND(ISBLANK('Precio Mayorista'!$G$38),ISBLANK('Precio Mayorista'!$G$39)),FALSE,IF(AND('Precio Mayorista'!$H$23&gt;='Precio Mayorista'!$G$38,IF(ISBLANK('Precio Mayorista'!$H$38),"",'Precio Mayorista'!$H$23&lt;'Precio Mayorista'!$H$38)),TRUE,FALSE))</f>
        <v>1</v>
      </c>
      <c r="AH20" s="351" t="b">
        <f>IF(AND(ISBLANK('Precio Mayorista'!$H$38),ISBLANK('Precio Mayorista'!$H$39)),FALSE,IF(AND('Precio Mayorista'!$H$23&gt;='Precio Mayorista'!$H$38,IF(ISBLANK('Precio Mayorista'!$I$38),"",'Precio Mayorista'!$H$23&lt;'Precio Mayorista'!$I$38)),TRUE,FALSE))</f>
        <v>0</v>
      </c>
      <c r="AI20" s="351" t="b">
        <f>IF(AND(ISBLANK('Precio Mayorista'!$I$38),ISBLANK('Precio Mayorista'!$I$39)),FALSE,IF(AND('Precio Mayorista'!$H$23&gt;='Precio Mayorista'!$I$38,IF(ISBLANK('Precio Mayorista'!$J$38),"",'Precio Mayorista'!$H$23&lt;'Precio Mayorista'!$J$38)),TRUE,FALSE))</f>
        <v>0</v>
      </c>
      <c r="AJ20" s="351" t="b">
        <f>IF(AND(ISBLANK('Precio Mayorista'!$J$38),ISBLANK('Precio Mayorista'!$J$39)),FALSE,IF(AND('Precio Mayorista'!$H$23&gt;='Precio Mayorista'!$J$38,IF(ISBLANK('Precio Mayorista'!$P$38),"",'Precio Mayorista'!$H$23&lt;'Precio Mayorista'!$P$38)),TRUE,FALSE))</f>
        <v>0</v>
      </c>
      <c r="AK20"/>
      <c r="AL20" s="167" t="s">
        <v>186</v>
      </c>
      <c r="AM20" s="351" t="b">
        <f>IF(AND(ISBLANK('Precio Mayorista'!$D$38),ISBLANK('Precio Mayorista'!$D$39)),FALSE,IF(AND('Precio Mayorista'!$I$23&gt;='Precio Mayorista'!$D$38,IF(ISBLANK('Precio Mayorista'!$E$38),"",'Precio Mayorista'!$I$23&lt;'Precio Mayorista'!$E$38)),TRUE,FALSE))</f>
        <v>0</v>
      </c>
      <c r="AN20" s="351" t="b">
        <f>IF(AND(ISBLANK('Precio Mayorista'!$E$38),ISBLANK('Precio Mayorista'!$E$39)),FALSE,IF(AND('Precio Mayorista'!$I$23&gt;='Precio Mayorista'!$E$38,IF(ISBLANK('Precio Mayorista'!$F$38),"",'Precio Mayorista'!$I$23&lt;'Precio Mayorista'!$F$38)),TRUE,FALSE))</f>
        <v>0</v>
      </c>
      <c r="AO20" s="351" t="b">
        <f>IF(AND(ISBLANK('Precio Mayorista'!$F$38),ISBLANK('Precio Mayorista'!$F$39)),FALSE,IF(AND('Precio Mayorista'!$I$23&gt;='Precio Mayorista'!$F$38,IF(ISBLANK('Precio Mayorista'!$G$38),"",'Precio Mayorista'!$I$23&lt;'Precio Mayorista'!$G$38)),TRUE,FALSE))</f>
        <v>1</v>
      </c>
      <c r="AP20" s="351" t="b">
        <f>IF(AND(ISBLANK('Precio Mayorista'!$G$38),ISBLANK('Precio Mayorista'!$G$39)),FALSE,IF(AND('Precio Mayorista'!$I$23&gt;='Precio Mayorista'!$G$38,IF(ISBLANK('Precio Mayorista'!$H$38),"",'Precio Mayorista'!$I$23&lt;'Precio Mayorista'!$H$38)),TRUE,FALSE))</f>
        <v>0</v>
      </c>
      <c r="AQ20" s="351" t="b">
        <f>IF(AND(ISBLANK('Precio Mayorista'!$H$38),ISBLANK('Precio Mayorista'!$H$39)),FALSE,IF(AND('Precio Mayorista'!$I$23&gt;='Precio Mayorista'!$H$38,IF(ISBLANK('Precio Mayorista'!$I$38),"",'Precio Mayorista'!$I$23&lt;'Precio Mayorista'!$I$38)),TRUE,FALSE))</f>
        <v>0</v>
      </c>
      <c r="AR20" s="351" t="b">
        <f>IF(AND(ISBLANK('Precio Mayorista'!$I$38),ISBLANK('Precio Mayorista'!$I$39)),FALSE,IF(AND('Precio Mayorista'!$I$23&gt;='Precio Mayorista'!$I$38,IF(ISBLANK('Precio Mayorista'!$J$38),"",'Precio Mayorista'!$I$23&lt;'Precio Mayorista'!$J$38)),TRUE,FALSE))</f>
        <v>0</v>
      </c>
      <c r="AS20" s="351" t="b">
        <f>IF(AND(ISBLANK('Precio Mayorista'!$J$38),ISBLANK('Precio Mayorista'!$J$39)),FALSE,IF(AND('Precio Mayorista'!$I$23&gt;='Precio Mayorista'!$J$38,IF(ISBLANK('Precio Mayorista'!$P$38),"",'Precio Mayorista'!$I$23&lt;'Precio Mayorista'!$P$38)),TRUE,FALSE))</f>
        <v>0</v>
      </c>
      <c r="AT20"/>
      <c r="AU20" s="167" t="s">
        <v>186</v>
      </c>
      <c r="AV20" s="351" t="b">
        <f>IF(AND(ISBLANK('Precio Mayorista'!$D$38),ISBLANK('Precio Mayorista'!$D$39)),FALSE,IF(AND('Precio Mayorista'!$J$23&gt;='Precio Mayorista'!$D$38,IF(ISBLANK('Precio Mayorista'!$E$38),"",'Precio Mayorista'!$J$23&lt;'Precio Mayorista'!$E$38)),TRUE,FALSE))</f>
        <v>0</v>
      </c>
      <c r="AW20" s="351" t="b">
        <f>IF(AND(ISBLANK('Precio Mayorista'!$E$38),ISBLANK('Precio Mayorista'!$E$39)),FALSE,IF(AND('Precio Mayorista'!$J$23&gt;='Precio Mayorista'!$E$38,IF(ISBLANK('Precio Mayorista'!$F$38),"",'Precio Mayorista'!$J$23&lt;'Precio Mayorista'!$F$38)),TRUE,FALSE))</f>
        <v>0</v>
      </c>
      <c r="AX20" s="351" t="b">
        <f>IF(AND(ISBLANK('Precio Mayorista'!$F$38),ISBLANK('Precio Mayorista'!$F$39)),FALSE,IF(AND('Precio Mayorista'!$J$23&gt;='Precio Mayorista'!$F$38,IF(ISBLANK('Precio Mayorista'!$G$38),"",'Precio Mayorista'!$J$23&lt;'Precio Mayorista'!$G$38)),TRUE,FALSE))</f>
        <v>1</v>
      </c>
      <c r="AY20" s="351" t="b">
        <f>IF(AND(ISBLANK('Precio Mayorista'!$G$38),ISBLANK('Precio Mayorista'!$G$39)),FALSE,IF(AND('Precio Mayorista'!$J$23&gt;='Precio Mayorista'!$G$38,IF(ISBLANK('Precio Mayorista'!$H$38),"",'Precio Mayorista'!$J$23&lt;'Precio Mayorista'!$H$38)),TRUE,FALSE))</f>
        <v>0</v>
      </c>
      <c r="AZ20" s="351" t="b">
        <f>IF(AND(ISBLANK('Precio Mayorista'!$H$38),ISBLANK('Precio Mayorista'!$H$39)),FALSE,IF(AND('Precio Mayorista'!$J$23&gt;='Precio Mayorista'!$H$38,IF(ISBLANK('Precio Mayorista'!$I$38),"",'Precio Mayorista'!$J$23&lt;'Precio Mayorista'!$I$38)),TRUE,FALSE))</f>
        <v>0</v>
      </c>
      <c r="BA20" s="351" t="b">
        <f>IF(AND(ISBLANK('Precio Mayorista'!$I$38),ISBLANK('Precio Mayorista'!$I$39)),FALSE,IF(AND('Precio Mayorista'!$J$23&gt;='Precio Mayorista'!$I$38,IF(ISBLANK('Precio Mayorista'!$J$38),"",'Precio Mayorista'!$J$23&lt;'Precio Mayorista'!$J$38)),TRUE,FALSE))</f>
        <v>0</v>
      </c>
      <c r="BB20" s="351" t="b">
        <f>IF(AND(ISBLANK('Precio Mayorista'!$J$38),ISBLANK('Precio Mayorista'!$J$39)),FALSE,IF(AND('Precio Mayorista'!$J$23&gt;='Precio Mayorista'!$J$38,IF(ISBLANK('Precio Mayorista'!$P$38),"",'Precio Mayorista'!$J$23&lt;'Precio Mayorista'!$P$38)),TRUE,FALSE))</f>
        <v>0</v>
      </c>
      <c r="BC20"/>
    </row>
    <row r="21" spans="2:55" s="73" customFormat="1" ht="16.149999999999999" customHeight="1" x14ac:dyDescent="0.2">
      <c r="B21" s="221"/>
      <c r="E21"/>
      <c r="F21"/>
      <c r="J21"/>
      <c r="K21"/>
      <c r="AK21"/>
      <c r="AT21"/>
      <c r="BC21"/>
    </row>
    <row r="22" spans="2:55" s="73" customFormat="1" ht="9.6" customHeight="1" x14ac:dyDescent="0.2">
      <c r="B22" s="222"/>
      <c r="C22" s="178"/>
      <c r="D22" s="221"/>
      <c r="E22" s="143"/>
      <c r="J22"/>
      <c r="AT22"/>
    </row>
    <row r="23" spans="2:55" s="73" customFormat="1" ht="9.6" customHeight="1" thickBot="1" x14ac:dyDescent="0.25">
      <c r="B23" s="222"/>
      <c r="C23" s="178"/>
      <c r="D23" s="221"/>
      <c r="E23" s="143"/>
      <c r="J23"/>
    </row>
    <row r="24" spans="2:55" s="73" customFormat="1" ht="16.149999999999999" customHeight="1" thickBot="1" x14ac:dyDescent="0.25">
      <c r="B24" s="222" t="s">
        <v>271</v>
      </c>
      <c r="C24" s="266">
        <f>IF('Precio Mayorista'!$D$14=B28,INDEX($C$27:$I$27,1,MATCH(C25,$C$28:$I$28,0)),"N/A")</f>
        <v>3</v>
      </c>
      <c r="E24"/>
      <c r="F24"/>
      <c r="G24"/>
      <c r="H24"/>
      <c r="I24"/>
      <c r="J24"/>
      <c r="K24" s="222" t="s">
        <v>271</v>
      </c>
      <c r="L24" s="266">
        <f>IF('Precio Mayorista'!$D$14=K28,INDEX(L27:S27,1,MATCH(L25,L28:S28,0)),"N/A")</f>
        <v>3</v>
      </c>
      <c r="T24" s="222" t="s">
        <v>271</v>
      </c>
      <c r="U24" s="266">
        <f>IF('Precio Mayorista'!$D$14=T28,INDEX(U27:AB27,1,MATCH(U25,U28:AB28,0)),"N/A")</f>
        <v>3</v>
      </c>
      <c r="AC24" s="222" t="s">
        <v>271</v>
      </c>
      <c r="AD24" s="266">
        <f>IF('Precio Mayorista'!$D$14=AC28,INDEX(AD27:AK27,1,MATCH(AD25,AD28:AK28,0)),"N/A")</f>
        <v>3</v>
      </c>
      <c r="AL24" s="222" t="s">
        <v>271</v>
      </c>
      <c r="AM24" s="266">
        <f>IF('Precio Mayorista'!$D$14=AL28,INDEX(AM27:AT27,1,MATCH(AM25,AM28:AT28,0)),"N/A")</f>
        <v>3</v>
      </c>
      <c r="AU24" s="222" t="s">
        <v>271</v>
      </c>
      <c r="AV24" s="266">
        <f>IF('Precio Mayorista'!$D$14=AU28,INDEX(AV27:BC27,1,MATCH(AV25,AV28:BC28,0)),"N/A")</f>
        <v>3</v>
      </c>
    </row>
    <row r="25" spans="2:55" s="73" customFormat="1" ht="16.149999999999999" customHeight="1" x14ac:dyDescent="0.2">
      <c r="B25" s="222"/>
      <c r="C25" s="221" t="b">
        <f>TRUE</f>
        <v>1</v>
      </c>
      <c r="D25" s="221"/>
      <c r="E25"/>
      <c r="F25"/>
      <c r="G25"/>
      <c r="H25"/>
      <c r="I25"/>
      <c r="J25"/>
      <c r="K25" s="222"/>
      <c r="L25" s="221" t="b">
        <f>TRUE</f>
        <v>1</v>
      </c>
      <c r="T25" s="222"/>
      <c r="U25" s="221" t="b">
        <f>TRUE</f>
        <v>1</v>
      </c>
      <c r="AC25" s="222"/>
      <c r="AD25" s="221" t="b">
        <f>TRUE</f>
        <v>1</v>
      </c>
      <c r="AL25" s="222"/>
      <c r="AM25" s="221" t="b">
        <f>TRUE</f>
        <v>1</v>
      </c>
      <c r="AU25" s="222"/>
      <c r="AV25" s="221" t="b">
        <f>TRUE</f>
        <v>1</v>
      </c>
    </row>
    <row r="26" spans="2:55" s="73" customFormat="1" ht="16.149999999999999" customHeight="1" thickBot="1" x14ac:dyDescent="0.25">
      <c r="B26" s="364" t="s">
        <v>259</v>
      </c>
      <c r="J26"/>
      <c r="K26" s="364" t="s">
        <v>260</v>
      </c>
      <c r="T26" s="19" t="s">
        <v>261</v>
      </c>
      <c r="AC26" s="19" t="s">
        <v>262</v>
      </c>
      <c r="AL26" s="19" t="s">
        <v>263</v>
      </c>
      <c r="AU26" s="19" t="s">
        <v>264</v>
      </c>
    </row>
    <row r="27" spans="2:55" s="73" customFormat="1" ht="16.149999999999999" customHeight="1" thickBot="1" x14ac:dyDescent="0.25">
      <c r="B27" s="219" t="s">
        <v>202</v>
      </c>
      <c r="C27" s="220">
        <v>0</v>
      </c>
      <c r="D27" s="220">
        <v>1</v>
      </c>
      <c r="E27" s="220">
        <v>2</v>
      </c>
      <c r="F27" s="220">
        <v>3</v>
      </c>
      <c r="G27" s="220">
        <v>4</v>
      </c>
      <c r="H27" s="220">
        <v>5</v>
      </c>
      <c r="I27" s="220">
        <v>6</v>
      </c>
      <c r="J27"/>
      <c r="K27" s="219" t="s">
        <v>202</v>
      </c>
      <c r="L27" s="220">
        <v>0</v>
      </c>
      <c r="M27" s="220">
        <v>1</v>
      </c>
      <c r="N27" s="220">
        <v>2</v>
      </c>
      <c r="O27" s="220">
        <v>3</v>
      </c>
      <c r="P27" s="220">
        <v>4</v>
      </c>
      <c r="Q27" s="220">
        <v>5</v>
      </c>
      <c r="R27" s="220">
        <v>6</v>
      </c>
      <c r="S27"/>
      <c r="T27" s="219" t="s">
        <v>202</v>
      </c>
      <c r="U27" s="220">
        <v>0</v>
      </c>
      <c r="V27" s="220">
        <v>1</v>
      </c>
      <c r="W27" s="220">
        <v>2</v>
      </c>
      <c r="X27" s="220">
        <v>3</v>
      </c>
      <c r="Y27" s="220">
        <v>4</v>
      </c>
      <c r="Z27" s="220">
        <v>5</v>
      </c>
      <c r="AA27" s="220">
        <v>6</v>
      </c>
      <c r="AB27"/>
      <c r="AC27" s="219" t="s">
        <v>202</v>
      </c>
      <c r="AD27" s="220">
        <v>0</v>
      </c>
      <c r="AE27" s="220">
        <v>1</v>
      </c>
      <c r="AF27" s="220">
        <v>2</v>
      </c>
      <c r="AG27" s="220">
        <v>3</v>
      </c>
      <c r="AH27" s="220">
        <v>4</v>
      </c>
      <c r="AI27" s="220">
        <v>5</v>
      </c>
      <c r="AJ27" s="220">
        <v>6</v>
      </c>
      <c r="AK27"/>
      <c r="AL27" s="219" t="s">
        <v>202</v>
      </c>
      <c r="AM27" s="220">
        <v>0</v>
      </c>
      <c r="AN27" s="220">
        <v>1</v>
      </c>
      <c r="AO27" s="220">
        <v>2</v>
      </c>
      <c r="AP27" s="220">
        <v>3</v>
      </c>
      <c r="AQ27" s="220">
        <v>4</v>
      </c>
      <c r="AR27" s="220">
        <v>5</v>
      </c>
      <c r="AS27" s="220">
        <v>6</v>
      </c>
      <c r="AT27"/>
      <c r="AU27" s="219" t="s">
        <v>202</v>
      </c>
      <c r="AV27" s="220">
        <v>0</v>
      </c>
      <c r="AW27" s="220">
        <v>1</v>
      </c>
      <c r="AX27" s="220">
        <v>2</v>
      </c>
      <c r="AY27" s="220">
        <v>3</v>
      </c>
      <c r="AZ27" s="220">
        <v>4</v>
      </c>
      <c r="BA27" s="220">
        <v>5</v>
      </c>
      <c r="BB27" s="220">
        <v>6</v>
      </c>
      <c r="BC27"/>
    </row>
    <row r="28" spans="2:55" s="73" customFormat="1" ht="16.149999999999999" customHeight="1" x14ac:dyDescent="0.2">
      <c r="B28" s="167" t="s">
        <v>186</v>
      </c>
      <c r="C28" s="352" t="b">
        <f>IF(AND(ISBLANK('Precio Mayorista'!$D$42),ISBLANK('Precio Mayorista'!$D$43)),FALSE,IF(AND('Precio Mayorista'!$E$26&gt;='Precio Mayorista'!$D$42,IF(AND(ISBLANK('Precio Mayorista'!$E$42),(ISBLANK('Precio Mayorista'!$E$43))),"",'Precio Mayorista'!$E$26&lt;'Precio Mayorista'!$E$42)),TRUE,FALSE))</f>
        <v>0</v>
      </c>
      <c r="D28" s="352" t="b">
        <f>IF(AND(ISBLANK('Precio Mayorista'!$E$42),ISBLANK('Precio Mayorista'!$E$43)),FALSE,IF(AND('Precio Mayorista'!$E$26&gt;='Precio Mayorista'!$E$42,IF(AND(ISBLANK('Precio Mayorista'!$F$42),(ISBLANK('Precio Mayorista'!$F$43))),"",'Precio Mayorista'!$E$26&lt;'Precio Mayorista'!$F$42)),TRUE,FALSE))</f>
        <v>0</v>
      </c>
      <c r="E28" s="352" t="b">
        <f>IF(AND(ISBLANK('Precio Mayorista'!$F$42),ISBLANK('Precio Mayorista'!$F$43)),FALSE,IF(AND('Precio Mayorista'!$E$26&gt;='Precio Mayorista'!$F$42,IF(AND(ISBLANK('Precio Mayorista'!$G$42),(ISBLANK('Precio Mayorista'!$G$43))),"",'Precio Mayorista'!$E$26&lt;'Precio Mayorista'!$G$42)),TRUE,FALSE))</f>
        <v>0</v>
      </c>
      <c r="F28" s="352" t="b">
        <f>IF(AND(ISBLANK('Precio Mayorista'!$G$42),ISBLANK('Precio Mayorista'!$G$43)),FALSE,IF(AND('Precio Mayorista'!$E$26&gt;='Precio Mayorista'!$G$42,IF(AND(ISBLANK('Precio Mayorista'!$H$42),(ISBLANK('Precio Mayorista'!$H$43))),"",'Precio Mayorista'!$E$26&lt;'Precio Mayorista'!$H$42)),TRUE,FALSE))</f>
        <v>1</v>
      </c>
      <c r="G28" s="352" t="b">
        <f>IF(AND(ISBLANK('Precio Mayorista'!$H$42),ISBLANK('Precio Mayorista'!$H$43)),FALSE,IF(AND('Precio Mayorista'!$E$26&gt;='Precio Mayorista'!$H$42,IF(AND(ISBLANK('Precio Mayorista'!$I$42),(ISBLANK('Precio Mayorista'!$I$43))),"",'Precio Mayorista'!$E$26&lt;'Precio Mayorista'!$I$42)),TRUE,FALSE))</f>
        <v>0</v>
      </c>
      <c r="H28" s="352" t="b">
        <f>IF(AND(ISBLANK('Precio Mayorista'!$I$42),ISBLANK('Precio Mayorista'!$I$43)),FALSE,IF(AND('Precio Mayorista'!$E$26&gt;='Precio Mayorista'!$I$42,IF(AND(ISBLANK('Precio Mayorista'!$J$42),(ISBLANK('Precio Mayorista'!$J$43))),"",'Precio Mayorista'!$E$26&lt;'Precio Mayorista'!$J$42)),TRUE,FALSE))</f>
        <v>0</v>
      </c>
      <c r="I28" s="352" t="b">
        <f>IF(AND(ISBLANK('Precio Mayorista'!$J$42),ISBLANK('Precio Mayorista'!$J$43)),FALSE,IF(AND('Precio Mayorista'!$E$26&gt;='Precio Mayorista'!$J$42,IF(AND(ISBLANK('Precio Mayorista'!$P$42),(ISBLANK('Precio Mayorista'!$P$43))),"",'Precio Mayorista'!$E$26&lt;'Precio Mayorista'!$P$42)),TRUE,FALSE))</f>
        <v>0</v>
      </c>
      <c r="J28"/>
      <c r="K28" s="167" t="s">
        <v>186</v>
      </c>
      <c r="L28" s="352" t="b">
        <f>IF(AND(ISBLANK('Precio Mayorista'!$D$42),ISBLANK('Precio Mayorista'!$D$43)),FALSE,IF(AND('Precio Mayorista'!$F$26&gt;='Precio Mayorista'!$D$42,IF(AND(ISBLANK('Precio Mayorista'!$E$42),(ISBLANK('Precio Mayorista'!$E$43))),"",'Precio Mayorista'!$F$26&lt;'Precio Mayorista'!$E$42)),TRUE,FALSE))</f>
        <v>0</v>
      </c>
      <c r="M28" s="352" t="b">
        <f>IF(AND(ISBLANK('Precio Mayorista'!$E$42),ISBLANK('Precio Mayorista'!$E$43)),FALSE,IF(AND('Precio Mayorista'!$F$26&gt;='Precio Mayorista'!$E$42,IF(AND(ISBLANK('Precio Mayorista'!$F$42),(ISBLANK('Precio Mayorista'!$F$43))),"",'Precio Mayorista'!$F$26&lt;'Precio Mayorista'!$F$42)),TRUE,FALSE))</f>
        <v>0</v>
      </c>
      <c r="N28" s="352" t="b">
        <f>IF(AND(ISBLANK('Precio Mayorista'!$F$42),ISBLANK('Precio Mayorista'!$F$43)),FALSE,IF(AND('Precio Mayorista'!$F$26&gt;='Precio Mayorista'!$F$42,IF(AND(ISBLANK('Precio Mayorista'!$G$42),(ISBLANK('Precio Mayorista'!$G$43))),"",'Precio Mayorista'!$F$26&lt;'Precio Mayorista'!$G$42)),TRUE,FALSE))</f>
        <v>0</v>
      </c>
      <c r="O28" s="352" t="b">
        <f>IF(AND(ISBLANK('Precio Mayorista'!$G$42),ISBLANK('Precio Mayorista'!$G$43)),FALSE,IF(AND('Precio Mayorista'!$F$26&gt;='Precio Mayorista'!$G$42,IF(AND(ISBLANK('Precio Mayorista'!$H$42),(ISBLANK('Precio Mayorista'!$H$43))),"",'Precio Mayorista'!$F$26&lt;'Precio Mayorista'!$H$42)),TRUE,FALSE))</f>
        <v>1</v>
      </c>
      <c r="P28" s="352" t="b">
        <f>IF(AND(ISBLANK('Precio Mayorista'!$H$42),ISBLANK('Precio Mayorista'!$H$43)),FALSE,IF(AND('Precio Mayorista'!$F$26&gt;='Precio Mayorista'!$H$42,IF(AND(ISBLANK('Precio Mayorista'!$I$42),(ISBLANK('Precio Mayorista'!$I$43))),"",'Precio Mayorista'!$F$26&lt;'Precio Mayorista'!$I$42)),TRUE,FALSE))</f>
        <v>0</v>
      </c>
      <c r="Q28" s="352" t="b">
        <f>IF(AND(ISBLANK('Precio Mayorista'!$I$42),ISBLANK('Precio Mayorista'!$I$43)),FALSE,IF(AND('Precio Mayorista'!$F$26&gt;='Precio Mayorista'!$I$42,IF(AND(ISBLANK('Precio Mayorista'!$J$42),(ISBLANK('Precio Mayorista'!$J$43))),"",'Precio Mayorista'!$F$26&lt;'Precio Mayorista'!$J$42)),TRUE,FALSE))</f>
        <v>0</v>
      </c>
      <c r="R28" s="352" t="b">
        <f>IF(AND(ISBLANK('Precio Mayorista'!$J$42),ISBLANK('Precio Mayorista'!$J$43)),FALSE,IF(AND('Precio Mayorista'!$F$26&gt;='Precio Mayorista'!$J$42,IF(AND(ISBLANK('Precio Mayorista'!$P$42),(ISBLANK('Precio Mayorista'!$P$43))),"",'Precio Mayorista'!$F$26&lt;'Precio Mayorista'!$P$42)),TRUE,FALSE))</f>
        <v>0</v>
      </c>
      <c r="S28"/>
      <c r="T28" s="167" t="s">
        <v>186</v>
      </c>
      <c r="U28" s="352" t="b">
        <f>IF(AND(ISBLANK('Precio Mayorista'!$D$42),ISBLANK('Precio Mayorista'!$D$43)),FALSE,IF(AND('Precio Mayorista'!$G$26&gt;='Precio Mayorista'!$D$42,IF(AND(ISBLANK('Precio Mayorista'!$E$42),(ISBLANK('Precio Mayorista'!$E$43))),"",'Precio Mayorista'!$G$26&lt;'Precio Mayorista'!$E$42)),TRUE,FALSE))</f>
        <v>0</v>
      </c>
      <c r="V28" s="352" t="b">
        <f>IF(AND(ISBLANK('Precio Mayorista'!$E$42),ISBLANK('Precio Mayorista'!$E$43)),FALSE,IF(AND('Precio Mayorista'!$G$26&gt;='Precio Mayorista'!$E$42,IF(AND(ISBLANK('Precio Mayorista'!$F$42),(ISBLANK('Precio Mayorista'!$F$43))),"",'Precio Mayorista'!$G$26&lt;'Precio Mayorista'!$F$42)),TRUE,FALSE))</f>
        <v>0</v>
      </c>
      <c r="W28" s="352" t="b">
        <f>IF(AND(ISBLANK('Precio Mayorista'!$F$42),ISBLANK('Precio Mayorista'!$F$43)),FALSE,IF(AND('Precio Mayorista'!$G$26&gt;='Precio Mayorista'!$F$42,IF(AND(ISBLANK('Precio Mayorista'!$G$42),(ISBLANK('Precio Mayorista'!$G$43))),"",'Precio Mayorista'!$G$26&lt;'Precio Mayorista'!$G$42)),TRUE,FALSE))</f>
        <v>0</v>
      </c>
      <c r="X28" s="352" t="b">
        <f>IF(AND(ISBLANK('Precio Mayorista'!$G$42),ISBLANK('Precio Mayorista'!$G$43)),FALSE,IF(AND('Precio Mayorista'!$G$26&gt;='Precio Mayorista'!$G$42,IF(AND(ISBLANK('Precio Mayorista'!$H$42),(ISBLANK('Precio Mayorista'!$H$43))),"",'Precio Mayorista'!$G$26&lt;'Precio Mayorista'!$H$42)),TRUE,FALSE))</f>
        <v>1</v>
      </c>
      <c r="Y28" s="352" t="b">
        <f>IF(AND(ISBLANK('Precio Mayorista'!$H$42),ISBLANK('Precio Mayorista'!$H$43)),FALSE,IF(AND('Precio Mayorista'!$G$26&gt;='Precio Mayorista'!$H$42,IF(AND(ISBLANK('Precio Mayorista'!$I$42),(ISBLANK('Precio Mayorista'!$I$43))),"",'Precio Mayorista'!$G$26&lt;'Precio Mayorista'!$I$42)),TRUE,FALSE))</f>
        <v>0</v>
      </c>
      <c r="Z28" s="352" t="b">
        <f>IF(AND(ISBLANK('Precio Mayorista'!$I$42),ISBLANK('Precio Mayorista'!$I$43)),FALSE,IF(AND('Precio Mayorista'!$G$26&gt;='Precio Mayorista'!$I$42,IF(AND(ISBLANK('Precio Mayorista'!$J$42),(ISBLANK('Precio Mayorista'!$J$43))),"",'Precio Mayorista'!$G$26&lt;'Precio Mayorista'!$J$42)),TRUE,FALSE))</f>
        <v>0</v>
      </c>
      <c r="AA28" s="352" t="b">
        <f>IF(AND(ISBLANK('Precio Mayorista'!$J$42),ISBLANK('Precio Mayorista'!$J$43)),FALSE,IF(AND('Precio Mayorista'!$G$26&gt;='Precio Mayorista'!$J$42,IF(AND(ISBLANK('Precio Mayorista'!$P$42),(ISBLANK('Precio Mayorista'!$P$43))),"",'Precio Mayorista'!$G$26&lt;'Precio Mayorista'!$P$42)),TRUE,FALSE))</f>
        <v>0</v>
      </c>
      <c r="AB28"/>
      <c r="AC28" s="167" t="s">
        <v>186</v>
      </c>
      <c r="AD28" s="352" t="b">
        <f>IF(AND(ISBLANK('Precio Mayorista'!$D$42),ISBLANK('Precio Mayorista'!$D$43)),FALSE,IF(AND('Precio Mayorista'!$H$26&gt;='Precio Mayorista'!$D$42,IF(AND(ISBLANK('Precio Mayorista'!$E$42),(ISBLANK('Precio Mayorista'!$E$43))),"",'Precio Mayorista'!$H$26&lt;'Precio Mayorista'!$E$42)),TRUE,FALSE))</f>
        <v>0</v>
      </c>
      <c r="AE28" s="352" t="b">
        <f>IF(AND(ISBLANK('Precio Mayorista'!$E$42),ISBLANK('Precio Mayorista'!$E$43)),FALSE,IF(AND('Precio Mayorista'!$H$26&gt;='Precio Mayorista'!$E$42,IF(AND(ISBLANK('Precio Mayorista'!$F$42),(ISBLANK('Precio Mayorista'!$F$43))),"",'Precio Mayorista'!$H$26&lt;'Precio Mayorista'!$F$42)),TRUE,FALSE))</f>
        <v>0</v>
      </c>
      <c r="AF28" s="352" t="b">
        <f>IF(AND(ISBLANK('Precio Mayorista'!$F$42),ISBLANK('Precio Mayorista'!$F$43)),FALSE,IF(AND('Precio Mayorista'!$H$26&gt;='Precio Mayorista'!$F$42,IF(AND(ISBLANK('Precio Mayorista'!$G$42),(ISBLANK('Precio Mayorista'!$G$43))),"",'Precio Mayorista'!$H$26&lt;'Precio Mayorista'!$G$42)),TRUE,FALSE))</f>
        <v>0</v>
      </c>
      <c r="AG28" s="352" t="b">
        <f>IF(AND(ISBLANK('Precio Mayorista'!$G$42),ISBLANK('Precio Mayorista'!$G$43)),FALSE,IF(AND('Precio Mayorista'!$H$26&gt;='Precio Mayorista'!$G$42,IF(AND(ISBLANK('Precio Mayorista'!$H$42),(ISBLANK('Precio Mayorista'!$H$43))),"",'Precio Mayorista'!$H$26&lt;'Precio Mayorista'!$H$42)),TRUE,FALSE))</f>
        <v>1</v>
      </c>
      <c r="AH28" s="352" t="b">
        <f>IF(AND(ISBLANK('Precio Mayorista'!$H$42),ISBLANK('Precio Mayorista'!$H$43)),FALSE,IF(AND('Precio Mayorista'!$H$26&gt;='Precio Mayorista'!$H$42,IF(AND(ISBLANK('Precio Mayorista'!$I$42),(ISBLANK('Precio Mayorista'!$I$43))),"",'Precio Mayorista'!$H$26&lt;'Precio Mayorista'!$I$42)),TRUE,FALSE))</f>
        <v>0</v>
      </c>
      <c r="AI28" s="352" t="b">
        <f>IF(AND(ISBLANK('Precio Mayorista'!$I$42),ISBLANK('Precio Mayorista'!$I$43)),FALSE,IF(AND('Precio Mayorista'!$H$26&gt;='Precio Mayorista'!$I$42,IF(AND(ISBLANK('Precio Mayorista'!$J$42),(ISBLANK('Precio Mayorista'!$J$43))),"",'Precio Mayorista'!$H$26&lt;'Precio Mayorista'!$J$42)),TRUE,FALSE))</f>
        <v>0</v>
      </c>
      <c r="AJ28" s="352" t="b">
        <f>IF(AND(ISBLANK('Precio Mayorista'!$J$42),ISBLANK('Precio Mayorista'!$J$43)),FALSE,IF(AND('Precio Mayorista'!$H$26&gt;='Precio Mayorista'!$J$42,IF(AND(ISBLANK('Precio Mayorista'!$P$42),(ISBLANK('Precio Mayorista'!$P$43))),"",'Precio Mayorista'!$H$26&lt;'Precio Mayorista'!$P$42)),TRUE,FALSE))</f>
        <v>0</v>
      </c>
      <c r="AK28"/>
      <c r="AL28" s="167" t="s">
        <v>186</v>
      </c>
      <c r="AM28" s="352" t="b">
        <f>IF(AND(ISBLANK('Precio Mayorista'!$D$42),ISBLANK('Precio Mayorista'!$D$43)),FALSE,IF(AND('Precio Mayorista'!$I$26&gt;='Precio Mayorista'!$D$42,IF(AND(ISBLANK('Precio Mayorista'!$E$42),(ISBLANK('Precio Mayorista'!$E$43))),"",'Precio Mayorista'!$I$26&lt;'Precio Mayorista'!$E$42)),TRUE,FALSE))</f>
        <v>0</v>
      </c>
      <c r="AN28" s="352" t="b">
        <f>IF(AND(ISBLANK('Precio Mayorista'!$E$42),ISBLANK('Precio Mayorista'!$E$43)),FALSE,IF(AND('Precio Mayorista'!$I$26&gt;='Precio Mayorista'!$E$42,IF(AND(ISBLANK('Precio Mayorista'!$F$42),(ISBLANK('Precio Mayorista'!$F$43))),"",'Precio Mayorista'!$I$26&lt;'Precio Mayorista'!$F$42)),TRUE,FALSE))</f>
        <v>0</v>
      </c>
      <c r="AO28" s="352" t="b">
        <f>IF(AND(ISBLANK('Precio Mayorista'!$F$42),ISBLANK('Precio Mayorista'!$F$43)),FALSE,IF(AND('Precio Mayorista'!$I$26&gt;='Precio Mayorista'!$F$42,IF(AND(ISBLANK('Precio Mayorista'!$G$42),(ISBLANK('Precio Mayorista'!$G$43))),"",'Precio Mayorista'!$I$26&lt;'Precio Mayorista'!$G$42)),TRUE,FALSE))</f>
        <v>0</v>
      </c>
      <c r="AP28" s="352" t="b">
        <f>IF(AND(ISBLANK('Precio Mayorista'!$G$42),ISBLANK('Precio Mayorista'!$G$43)),FALSE,IF(AND('Precio Mayorista'!$I$26&gt;='Precio Mayorista'!$G$42,IF(AND(ISBLANK('Precio Mayorista'!$H$42),(ISBLANK('Precio Mayorista'!$H$43))),"",'Precio Mayorista'!$I$26&lt;'Precio Mayorista'!$H$42)),TRUE,FALSE))</f>
        <v>1</v>
      </c>
      <c r="AQ28" s="352" t="b">
        <f>IF(AND(ISBLANK('Precio Mayorista'!$H$42),ISBLANK('Precio Mayorista'!$H$43)),FALSE,IF(AND('Precio Mayorista'!$I$26&gt;='Precio Mayorista'!$H$42,IF(AND(ISBLANK('Precio Mayorista'!$I$42),(ISBLANK('Precio Mayorista'!$I$43))),"",'Precio Mayorista'!$I$26&lt;'Precio Mayorista'!$I$42)),TRUE,FALSE))</f>
        <v>0</v>
      </c>
      <c r="AR28" s="352" t="b">
        <f>IF(AND(ISBLANK('Precio Mayorista'!$I$42),ISBLANK('Precio Mayorista'!$I$43)),FALSE,IF(AND('Precio Mayorista'!$I$26&gt;='Precio Mayorista'!$I$42,IF(AND(ISBLANK('Precio Mayorista'!$J$42),(ISBLANK('Precio Mayorista'!$J$43))),"",'Precio Mayorista'!$I$26&lt;'Precio Mayorista'!$J$42)),TRUE,FALSE))</f>
        <v>0</v>
      </c>
      <c r="AS28" s="352" t="b">
        <f>IF(AND(ISBLANK('Precio Mayorista'!$J$42),ISBLANK('Precio Mayorista'!$J$43)),FALSE,IF(AND('Precio Mayorista'!$I$26&gt;='Precio Mayorista'!$J$42,IF(AND(ISBLANK('Precio Mayorista'!$P$42),(ISBLANK('Precio Mayorista'!$P$43))),"",'Precio Mayorista'!$I$26&lt;'Precio Mayorista'!$P$42)),TRUE,FALSE))</f>
        <v>0</v>
      </c>
      <c r="AT28"/>
      <c r="AU28" s="167" t="s">
        <v>186</v>
      </c>
      <c r="AV28" s="352" t="b">
        <f>IF(AND(ISBLANK('Precio Mayorista'!$D$42),ISBLANK('Precio Mayorista'!$D$43)),FALSE,IF(AND('Precio Mayorista'!$J$26&gt;='Precio Mayorista'!$D$42,IF(AND(ISBLANK('Precio Mayorista'!$E$42),(ISBLANK('Precio Mayorista'!$E$43))),"",'Precio Mayorista'!$J$26&lt;'Precio Mayorista'!$E$42)),TRUE,FALSE))</f>
        <v>0</v>
      </c>
      <c r="AW28" s="352" t="b">
        <f>IF(AND(ISBLANK('Precio Mayorista'!$E$42),ISBLANK('Precio Mayorista'!$E$43)),FALSE,IF(AND('Precio Mayorista'!$J$26&gt;='Precio Mayorista'!$E$42,IF(AND(ISBLANK('Precio Mayorista'!$F$42),(ISBLANK('Precio Mayorista'!$F$43))),"",'Precio Mayorista'!$J$26&lt;'Precio Mayorista'!$F$42)),TRUE,FALSE))</f>
        <v>0</v>
      </c>
      <c r="AX28" s="352" t="b">
        <f>IF(AND(ISBLANK('Precio Mayorista'!$F$42),ISBLANK('Precio Mayorista'!$F$43)),FALSE,IF(AND('Precio Mayorista'!$J$26&gt;='Precio Mayorista'!$F$42,IF(AND(ISBLANK('Precio Mayorista'!$G$42),(ISBLANK('Precio Mayorista'!$G$43))),"",'Precio Mayorista'!$J$26&lt;'Precio Mayorista'!$G$42)),TRUE,FALSE))</f>
        <v>0</v>
      </c>
      <c r="AY28" s="352" t="b">
        <f>IF(AND(ISBLANK('Precio Mayorista'!$G$42),ISBLANK('Precio Mayorista'!$G$43)),FALSE,IF(AND('Precio Mayorista'!$J$26&gt;='Precio Mayorista'!$G$42,IF(AND(ISBLANK('Precio Mayorista'!$H$42),(ISBLANK('Precio Mayorista'!$H$43))),"",'Precio Mayorista'!$J$26&lt;'Precio Mayorista'!$H$42)),TRUE,FALSE))</f>
        <v>1</v>
      </c>
      <c r="AZ28" s="352" t="b">
        <f>IF(AND(ISBLANK('Precio Mayorista'!$H$42),ISBLANK('Precio Mayorista'!$H$43)),FALSE,IF(AND('Precio Mayorista'!$J$26&gt;='Precio Mayorista'!$H$42,IF(AND(ISBLANK('Precio Mayorista'!$I$42),(ISBLANK('Precio Mayorista'!$I$43))),"",'Precio Mayorista'!$J$26&lt;'Precio Mayorista'!$I$42)),TRUE,FALSE))</f>
        <v>0</v>
      </c>
      <c r="BA28" s="352" t="b">
        <f>IF(AND(ISBLANK('Precio Mayorista'!$I$42),ISBLANK('Precio Mayorista'!$I$43)),FALSE,IF(AND('Precio Mayorista'!$J$26&gt;='Precio Mayorista'!$I$42,IF(AND(ISBLANK('Precio Mayorista'!$J$42),(ISBLANK('Precio Mayorista'!$J$43))),"",'Precio Mayorista'!$J$26&lt;'Precio Mayorista'!$J$42)),TRUE,FALSE))</f>
        <v>0</v>
      </c>
      <c r="BB28" s="352" t="b">
        <f>IF(AND(ISBLANK('Precio Mayorista'!$J$42),ISBLANK('Precio Mayorista'!$J$43)),FALSE,IF(AND('Precio Mayorista'!$J$26&gt;='Precio Mayorista'!$J$42,IF(AND(ISBLANK('Precio Mayorista'!$P$42),(ISBLANK('Precio Mayorista'!$P$43))),"",'Precio Mayorista'!$J$26&lt;'Precio Mayorista'!$P$42)),TRUE,FALSE))</f>
        <v>0</v>
      </c>
      <c r="BC28"/>
    </row>
    <row r="29" spans="2:55" s="73" customFormat="1" ht="10.15" customHeight="1" x14ac:dyDescent="0.2">
      <c r="B29" s="167"/>
      <c r="C29" s="178"/>
      <c r="D29" s="221"/>
      <c r="E29" s="143"/>
      <c r="F29" s="143"/>
      <c r="G29" s="143"/>
      <c r="I29"/>
      <c r="AK29"/>
    </row>
    <row r="30" spans="2:55" s="168" customFormat="1" x14ac:dyDescent="0.2">
      <c r="B30" s="174"/>
      <c r="C30" s="171"/>
      <c r="D30" s="172"/>
      <c r="E30" s="173"/>
      <c r="F30" s="173"/>
      <c r="G30" s="173"/>
      <c r="L30" s="162"/>
      <c r="O30" s="163"/>
      <c r="AK30"/>
    </row>
    <row r="31" spans="2:55" s="200" customFormat="1" x14ac:dyDescent="0.2">
      <c r="B31" s="196" t="s">
        <v>255</v>
      </c>
      <c r="C31" s="197"/>
      <c r="D31" s="198"/>
      <c r="E31" s="199"/>
      <c r="F31" s="199"/>
      <c r="G31" s="199"/>
    </row>
    <row r="32" spans="2:55" s="168" customFormat="1" x14ac:dyDescent="0.2">
      <c r="B32" s="179" t="s">
        <v>176</v>
      </c>
      <c r="C32" s="171"/>
      <c r="D32" s="172"/>
      <c r="E32" s="173"/>
      <c r="F32" s="173"/>
      <c r="G32" s="173"/>
    </row>
    <row r="33" spans="2:7" s="168" customFormat="1" x14ac:dyDescent="0.2">
      <c r="B33" s="179" t="s">
        <v>175</v>
      </c>
      <c r="C33" s="171"/>
      <c r="D33" s="172"/>
      <c r="E33" s="173"/>
      <c r="F33" s="173"/>
      <c r="G33" s="173"/>
    </row>
    <row r="34" spans="2:7" s="168" customFormat="1" x14ac:dyDescent="0.2">
      <c r="B34" s="179" t="s">
        <v>185</v>
      </c>
      <c r="C34" s="171"/>
      <c r="D34" s="172"/>
      <c r="E34" s="173"/>
      <c r="F34" s="173"/>
      <c r="G34" s="173"/>
    </row>
    <row r="35" spans="2:7" s="168" customFormat="1" x14ac:dyDescent="0.2">
      <c r="B35" s="179" t="s">
        <v>186</v>
      </c>
      <c r="C35" s="171"/>
      <c r="D35" s="172"/>
      <c r="E35" s="173"/>
      <c r="F35" s="173"/>
      <c r="G35" s="173"/>
    </row>
    <row r="36" spans="2:7" s="168" customFormat="1" x14ac:dyDescent="0.2">
      <c r="B36" s="165"/>
      <c r="C36" s="171"/>
      <c r="D36" s="172"/>
      <c r="E36" s="173"/>
      <c r="F36" s="173"/>
      <c r="G36" s="173"/>
    </row>
    <row r="37" spans="2:7" s="232" customFormat="1" x14ac:dyDescent="0.2">
      <c r="B37" s="196" t="s">
        <v>310</v>
      </c>
    </row>
    <row r="38" spans="2:7" x14ac:dyDescent="0.2">
      <c r="B38" s="249"/>
      <c r="C38" s="249"/>
      <c r="D38" s="249"/>
    </row>
    <row r="39" spans="2:7" x14ac:dyDescent="0.2">
      <c r="B39" s="18"/>
      <c r="C39" s="18"/>
      <c r="D39" s="288" t="s">
        <v>285</v>
      </c>
    </row>
    <row r="40" spans="2:7" x14ac:dyDescent="0.2">
      <c r="B40" s="446" t="s">
        <v>169</v>
      </c>
      <c r="C40" s="447" t="str">
        <f>IF(Supuestos!B48="","",Supuestos!B48)</f>
        <v>Datos</v>
      </c>
      <c r="D40" s="477">
        <f>IF($B$32='Precio Mayorista'!$D$14,INDEX('Precios mayoristas efectivos'!$C$11:$C$13,MATCH('Hoja Auxiliar'!$B40,'Precios mayoristas efectivos'!$B$11:$B$13,0)),IF($B$33='Precio Mayorista'!$D$14,INDEX('Precios mayoristas efectivos'!$C$26:$C$28,MATCH('Hoja Auxiliar'!B40,'Precios mayoristas efectivos'!$B$11:$B$13,0)),IF($B$34='Precio Mayorista'!$D$14,INDEX('Precios mayoristas efectivos'!$C$68:$C$70,MATCH('Hoja Auxiliar'!B40,'Precios mayoristas efectivos'!$B$68:$B$70,0)),IF($B$35='Precio Mayorista'!$D$14,INDEX('Precios mayoristas efectivos'!$C$98:$C$100,MATCH('Hoja Auxiliar'!B40,'Precios mayoristas efectivos'!$B$98:$B$100,0)),""))))</f>
        <v>1.58125E-2</v>
      </c>
      <c r="E40" s="283"/>
    </row>
    <row r="41" spans="2:7" ht="25.5" x14ac:dyDescent="0.2">
      <c r="B41" s="446" t="s">
        <v>168</v>
      </c>
      <c r="C41" s="447" t="str">
        <f>IF(Supuestos!B49="","",Supuestos!B49)</f>
        <v>Originación voz on-net local</v>
      </c>
      <c r="D41" s="448">
        <f>IF($B$32='Precio Mayorista'!$D$14,INDEX('Precios mayoristas efectivos'!$C$11:$C$13,MATCH('Hoja Auxiliar'!$B41,'Precios mayoristas efectivos'!$B$11:$B$13,0)),IF($B$33='Precio Mayorista'!$D$14,INDEX('Precios mayoristas efectivos'!$C$26:$C$28,MATCH('Hoja Auxiliar'!B41,'Precios mayoristas efectivos'!$B$11:$B$13,0)),IF($B$34='Precio Mayorista'!$D$14,INDEX('Precios mayoristas efectivos'!$C$68:$C$70,MATCH('Hoja Auxiliar'!B41,'Precios mayoristas efectivos'!$B$68:$B$70,0)),IF($B$35='Precio Mayorista'!$D$14,INDEX('Precios mayoristas efectivos'!$C$98:$C$100,MATCH('Hoja Auxiliar'!B41,'Precios mayoristas efectivos'!$B$98:$B$100,0)),""))))</f>
        <v>3.2358974358974356E-2</v>
      </c>
      <c r="E41" s="283"/>
      <c r="F41" s="51"/>
    </row>
    <row r="42" spans="2:7" ht="25.5" x14ac:dyDescent="0.2">
      <c r="B42" s="446" t="s">
        <v>168</v>
      </c>
      <c r="C42" s="447" t="str">
        <f>IF(Supuestos!B50="","",Supuestos!B50)</f>
        <v>Originación voz off-net móvil local</v>
      </c>
      <c r="D42" s="448">
        <f>IF($B$32='Precio Mayorista'!$D$14,INDEX('Precios mayoristas efectivos'!$C$11:$C$13,MATCH('Hoja Auxiliar'!$B42,'Precios mayoristas efectivos'!$B$11:$B$13,0)),IF($B$33='Precio Mayorista'!$D$14,INDEX('Precios mayoristas efectivos'!$C$26:$C$28,MATCH('Hoja Auxiliar'!B42,'Precios mayoristas efectivos'!$B$11:$B$13,0)),IF($B$34='Precio Mayorista'!$D$14,INDEX('Precios mayoristas efectivos'!$C$68:$C$70,MATCH('Hoja Auxiliar'!B42,'Precios mayoristas efectivos'!$B$68:$B$70,0)),IF($B$35='Precio Mayorista'!$D$14,INDEX('Precios mayoristas efectivos'!$C$98:$C$100,MATCH('Hoja Auxiliar'!B42,'Precios mayoristas efectivos'!$B$98:$B$100,0)),""))))</f>
        <v>3.2358974358974356E-2</v>
      </c>
      <c r="E42" s="283"/>
    </row>
    <row r="43" spans="2:7" ht="25.5" x14ac:dyDescent="0.2">
      <c r="B43" s="446" t="s">
        <v>168</v>
      </c>
      <c r="C43" s="447" t="str">
        <f>IF(Supuestos!B51="","",Supuestos!B51)</f>
        <v>Originación voz off-net fijo local</v>
      </c>
      <c r="D43" s="448">
        <f>IF($B$32='Precio Mayorista'!$D$14,INDEX('Precios mayoristas efectivos'!$C$11:$C$13,MATCH('Hoja Auxiliar'!$B43,'Precios mayoristas efectivos'!$B$11:$B$13,0)),IF($B$33='Precio Mayorista'!$D$14,INDEX('Precios mayoristas efectivos'!$C$26:$C$28,MATCH('Hoja Auxiliar'!B43,'Precios mayoristas efectivos'!$B$11:$B$13,0)),IF($B$34='Precio Mayorista'!$D$14,INDEX('Precios mayoristas efectivos'!$C$68:$C$70,MATCH('Hoja Auxiliar'!B43,'Precios mayoristas efectivos'!$B$68:$B$70,0)),IF($B$35='Precio Mayorista'!$D$14,INDEX('Precios mayoristas efectivos'!$C$98:$C$100,MATCH('Hoja Auxiliar'!B43,'Precios mayoristas efectivos'!$B$98:$B$100,0)),""))))</f>
        <v>3.2358974358974356E-2</v>
      </c>
      <c r="E43" s="283"/>
    </row>
    <row r="44" spans="2:7" ht="25.5" x14ac:dyDescent="0.2">
      <c r="B44" s="446" t="s">
        <v>168</v>
      </c>
      <c r="C44" s="447" t="str">
        <f>IF(Supuestos!B52="","",Supuestos!B52)</f>
        <v>Originación voz on-net LDN</v>
      </c>
      <c r="D44" s="448">
        <f>IF($B$32='Precio Mayorista'!$D$14,INDEX('Precios mayoristas efectivos'!$C$11:$C$13,MATCH('Hoja Auxiliar'!$B44,'Precios mayoristas efectivos'!$B$11:$B$13,0)),IF($B$33='Precio Mayorista'!$D$14,INDEX('Precios mayoristas efectivos'!$C$26:$C$28,MATCH('Hoja Auxiliar'!B44,'Precios mayoristas efectivos'!$B$11:$B$13,0)),IF($B$34='Precio Mayorista'!$D$14,INDEX('Precios mayoristas efectivos'!$C$68:$C$70,MATCH('Hoja Auxiliar'!B44,'Precios mayoristas efectivos'!$B$68:$B$70,0)),IF($B$35='Precio Mayorista'!$D$14,INDEX('Precios mayoristas efectivos'!$C$98:$C$100,MATCH('Hoja Auxiliar'!B44,'Precios mayoristas efectivos'!$B$98:$B$100,0)),""))))</f>
        <v>3.2358974358974356E-2</v>
      </c>
      <c r="E44" s="283"/>
    </row>
    <row r="45" spans="2:7" ht="25.5" x14ac:dyDescent="0.2">
      <c r="B45" s="446" t="s">
        <v>168</v>
      </c>
      <c r="C45" s="447" t="str">
        <f>IF(Supuestos!B53="","",Supuestos!B53)</f>
        <v>Originación voz off-net móvil LDN</v>
      </c>
      <c r="D45" s="448">
        <f>IF($B$32='Precio Mayorista'!$D$14,INDEX('Precios mayoristas efectivos'!$C$11:$C$13,MATCH('Hoja Auxiliar'!$B45,'Precios mayoristas efectivos'!$B$11:$B$13,0)),IF($B$33='Precio Mayorista'!$D$14,INDEX('Precios mayoristas efectivos'!$C$26:$C$28,MATCH('Hoja Auxiliar'!B45,'Precios mayoristas efectivos'!$B$11:$B$13,0)),IF($B$34='Precio Mayorista'!$D$14,INDEX('Precios mayoristas efectivos'!$C$68:$C$70,MATCH('Hoja Auxiliar'!B45,'Precios mayoristas efectivos'!$B$68:$B$70,0)),IF($B$35='Precio Mayorista'!$D$14,INDEX('Precios mayoristas efectivos'!$C$98:$C$100,MATCH('Hoja Auxiliar'!B45,'Precios mayoristas efectivos'!$B$98:$B$100,0)),""))))</f>
        <v>3.2358974358974356E-2</v>
      </c>
      <c r="E45" s="283"/>
    </row>
    <row r="46" spans="2:7" ht="25.5" x14ac:dyDescent="0.2">
      <c r="B46" s="446" t="s">
        <v>168</v>
      </c>
      <c r="C46" s="447" t="str">
        <f>IF(Supuestos!B54="","",Supuestos!B54)</f>
        <v>Originación voz off-net fijo LDN</v>
      </c>
      <c r="D46" s="448">
        <f>IF($B$32='Precio Mayorista'!$D$14,INDEX('Precios mayoristas efectivos'!$C$11:$C$13,MATCH('Hoja Auxiliar'!$B46,'Precios mayoristas efectivos'!$B$11:$B$13,0)),IF($B$33='Precio Mayorista'!$D$14,INDEX('Precios mayoristas efectivos'!$C$26:$C$28,MATCH('Hoja Auxiliar'!B46,'Precios mayoristas efectivos'!$B$11:$B$13,0)),IF($B$34='Precio Mayorista'!$D$14,INDEX('Precios mayoristas efectivos'!$C$68:$C$70,MATCH('Hoja Auxiliar'!B46,'Precios mayoristas efectivos'!$B$68:$B$70,0)),IF($B$35='Precio Mayorista'!$D$14,INDEX('Precios mayoristas efectivos'!$C$98:$C$100,MATCH('Hoja Auxiliar'!B46,'Precios mayoristas efectivos'!$B$98:$B$100,0)),""))))</f>
        <v>3.2358974358974356E-2</v>
      </c>
      <c r="E46" s="283"/>
    </row>
    <row r="47" spans="2:7" ht="38.25" x14ac:dyDescent="0.2">
      <c r="B47" s="446" t="s">
        <v>168</v>
      </c>
      <c r="C47" s="447" t="str">
        <f>IF(Supuestos!B55="","",Supuestos!B55)</f>
        <v>Originación voz internacional USA-Canadá</v>
      </c>
      <c r="D47" s="448">
        <f>IF($B$32='Precio Mayorista'!$D$14,INDEX('Precios mayoristas efectivos'!$C$11:$C$13,MATCH('Hoja Auxiliar'!$B47,'Precios mayoristas efectivos'!$B$11:$B$13,0)),IF($B$33='Precio Mayorista'!$D$14,INDEX('Precios mayoristas efectivos'!$C$26:$C$28,MATCH('Hoja Auxiliar'!B47,'Precios mayoristas efectivos'!$B$11:$B$13,0)),IF($B$34='Precio Mayorista'!$D$14,INDEX('Precios mayoristas efectivos'!$C$68:$C$70,MATCH('Hoja Auxiliar'!B47,'Precios mayoristas efectivos'!$B$68:$B$70,0)),IF($B$35='Precio Mayorista'!$D$14,INDEX('Precios mayoristas efectivos'!$C$98:$C$100,MATCH('Hoja Auxiliar'!B47,'Precios mayoristas efectivos'!$B$98:$B$100,0)),""))))</f>
        <v>3.2358974358974356E-2</v>
      </c>
      <c r="E47" s="283"/>
    </row>
    <row r="48" spans="2:7" ht="38.25" x14ac:dyDescent="0.2">
      <c r="B48" s="446" t="s">
        <v>168</v>
      </c>
      <c r="C48" s="447" t="str">
        <f>IF(Supuestos!B56="","",Supuestos!B56)</f>
        <v>Originación voz internacional Mundial Centroamérica</v>
      </c>
      <c r="D48" s="448">
        <f>IF($B$32='Precio Mayorista'!$D$14,INDEX('Precios mayoristas efectivos'!$C$11:$C$13,MATCH('Hoja Auxiliar'!$B48,'Precios mayoristas efectivos'!$B$11:$B$13,0)),IF($B$33='Precio Mayorista'!$D$14,INDEX('Precios mayoristas efectivos'!$C$26:$C$28,MATCH('Hoja Auxiliar'!B48,'Precios mayoristas efectivos'!$B$11:$B$13,0)),IF($B$34='Precio Mayorista'!$D$14,INDEX('Precios mayoristas efectivos'!$C$68:$C$70,MATCH('Hoja Auxiliar'!B48,'Precios mayoristas efectivos'!$B$68:$B$70,0)),IF($B$35='Precio Mayorista'!$D$14,INDEX('Precios mayoristas efectivos'!$C$98:$C$100,MATCH('Hoja Auxiliar'!B48,'Precios mayoristas efectivos'!$B$98:$B$100,0)),""))))</f>
        <v>3.2358974358974356E-2</v>
      </c>
      <c r="E48" s="283"/>
    </row>
    <row r="49" spans="1:10" ht="38.25" x14ac:dyDescent="0.2">
      <c r="B49" s="446" t="s">
        <v>168</v>
      </c>
      <c r="C49" s="447" t="str">
        <f>IF(Supuestos!B57="","",Supuestos!B57)</f>
        <v>Originación voz internacional Mundial LATAM y Caribe</v>
      </c>
      <c r="D49" s="448">
        <f>IF($B$32='Precio Mayorista'!$D$14,INDEX('Precios mayoristas efectivos'!$C$11:$C$13,MATCH('Hoja Auxiliar'!$B49,'Precios mayoristas efectivos'!$B$11:$B$13,0)),IF($B$33='Precio Mayorista'!$D$14,INDEX('Precios mayoristas efectivos'!$C$26:$C$28,MATCH('Hoja Auxiliar'!B49,'Precios mayoristas efectivos'!$B$11:$B$13,0)),IF($B$34='Precio Mayorista'!$D$14,INDEX('Precios mayoristas efectivos'!$C$68:$C$70,MATCH('Hoja Auxiliar'!B49,'Precios mayoristas efectivos'!$B$68:$B$70,0)),IF($B$35='Precio Mayorista'!$D$14,INDEX('Precios mayoristas efectivos'!$C$98:$C$100,MATCH('Hoja Auxiliar'!B49,'Precios mayoristas efectivos'!$B$98:$B$100,0)),""))))</f>
        <v>3.2358974358974356E-2</v>
      </c>
      <c r="E49" s="283"/>
    </row>
    <row r="50" spans="1:10" ht="25.5" x14ac:dyDescent="0.2">
      <c r="B50" s="446" t="s">
        <v>168</v>
      </c>
      <c r="C50" s="447" t="str">
        <f>IF(Supuestos!B58="","",Supuestos!B58)</f>
        <v>Originación voz internacional Europa</v>
      </c>
      <c r="D50" s="448">
        <f>IF($B$32='Precio Mayorista'!$D$14,INDEX('Precios mayoristas efectivos'!$C$11:$C$13,MATCH('Hoja Auxiliar'!$B50,'Precios mayoristas efectivos'!$B$11:$B$13,0)),IF($B$33='Precio Mayorista'!$D$14,INDEX('Precios mayoristas efectivos'!$C$26:$C$28,MATCH('Hoja Auxiliar'!B50,'Precios mayoristas efectivos'!$B$11:$B$13,0)),IF($B$34='Precio Mayorista'!$D$14,INDEX('Precios mayoristas efectivos'!$C$68:$C$70,MATCH('Hoja Auxiliar'!B50,'Precios mayoristas efectivos'!$B$68:$B$70,0)),IF($B$35='Precio Mayorista'!$D$14,INDEX('Precios mayoristas efectivos'!$C$98:$C$100,MATCH('Hoja Auxiliar'!B50,'Precios mayoristas efectivos'!$B$98:$B$100,0)),""))))</f>
        <v>3.2358974358974356E-2</v>
      </c>
      <c r="E50" s="283"/>
    </row>
    <row r="51" spans="1:10" ht="38.25" x14ac:dyDescent="0.2">
      <c r="B51" s="446" t="s">
        <v>168</v>
      </c>
      <c r="C51" s="447" t="str">
        <f>IF(Supuestos!B59="","",Supuestos!B59)</f>
        <v>Originación voz internacional Mundial Otros geográficos</v>
      </c>
      <c r="D51" s="448">
        <f>IF($B$32='Precio Mayorista'!$D$14,INDEX('Precios mayoristas efectivos'!$C$11:$C$13,MATCH('Hoja Auxiliar'!$B51,'Precios mayoristas efectivos'!$B$11:$B$13,0)),IF($B$33='Precio Mayorista'!$D$14,INDEX('Precios mayoristas efectivos'!$C$26:$C$28,MATCH('Hoja Auxiliar'!B51,'Precios mayoristas efectivos'!$B$11:$B$13,0)),IF($B$34='Precio Mayorista'!$D$14,INDEX('Precios mayoristas efectivos'!$C$68:$C$70,MATCH('Hoja Auxiliar'!B51,'Precios mayoristas efectivos'!$B$68:$B$70,0)),IF($B$35='Precio Mayorista'!$D$14,INDEX('Precios mayoristas efectivos'!$C$98:$C$100,MATCH('Hoja Auxiliar'!B51,'Precios mayoristas efectivos'!$B$98:$B$100,0)),""))))</f>
        <v>3.2358974358974356E-2</v>
      </c>
      <c r="E51" s="283"/>
    </row>
    <row r="52" spans="1:10" ht="25.5" x14ac:dyDescent="0.2">
      <c r="B52" s="446" t="s">
        <v>168</v>
      </c>
      <c r="C52" s="447" t="str">
        <f>IF(Supuestos!B60="","",Supuestos!B60)</f>
        <v>Originación voz internacional Cuba</v>
      </c>
      <c r="D52" s="448">
        <f>IF($B$32='Precio Mayorista'!$D$14,INDEX('Precios mayoristas efectivos'!$C$11:$C$13,MATCH('Hoja Auxiliar'!$B52,'Precios mayoristas efectivos'!$B$11:$B$13,0)),IF($B$33='Precio Mayorista'!$D$14,INDEX('Precios mayoristas efectivos'!$C$26:$C$28,MATCH('Hoja Auxiliar'!B52,'Precios mayoristas efectivos'!$B$11:$B$13,0)),IF($B$34='Precio Mayorista'!$D$14,INDEX('Precios mayoristas efectivos'!$C$68:$C$70,MATCH('Hoja Auxiliar'!B52,'Precios mayoristas efectivos'!$B$68:$B$70,0)),IF($B$35='Precio Mayorista'!$D$14,INDEX('Precios mayoristas efectivos'!$C$98:$C$100,MATCH('Hoja Auxiliar'!B52,'Precios mayoristas efectivos'!$B$98:$B$100,0)),""))))</f>
        <v>3.2358974358974356E-2</v>
      </c>
      <c r="E52" s="283"/>
    </row>
    <row r="53" spans="1:10" ht="25.5" x14ac:dyDescent="0.2">
      <c r="B53" s="446" t="s">
        <v>168</v>
      </c>
      <c r="C53" s="447" t="str">
        <f>IF(Supuestos!B61="","",Supuestos!B61)</f>
        <v>Originación voz Mundial destinos no geográficos</v>
      </c>
      <c r="D53" s="448">
        <f>IF($B$32='Precio Mayorista'!$D$14,INDEX('Precios mayoristas efectivos'!$C$11:$C$13,MATCH('Hoja Auxiliar'!$B53,'Precios mayoristas efectivos'!$B$11:$B$13,0)),IF($B$33='Precio Mayorista'!$D$14,INDEX('Precios mayoristas efectivos'!$C$26:$C$28,MATCH('Hoja Auxiliar'!B53,'Precios mayoristas efectivos'!$B$11:$B$13,0)),IF($B$34='Precio Mayorista'!$D$14,INDEX('Precios mayoristas efectivos'!$C$68:$C$70,MATCH('Hoja Auxiliar'!B53,'Precios mayoristas efectivos'!$B$68:$B$70,0)),IF($B$35='Precio Mayorista'!$D$14,INDEX('Precios mayoristas efectivos'!$C$98:$C$100,MATCH('Hoja Auxiliar'!B53,'Precios mayoristas efectivos'!$B$98:$B$100,0)),""))))</f>
        <v>3.2358974358974356E-2</v>
      </c>
      <c r="E53" s="283"/>
    </row>
    <row r="54" spans="1:10" ht="38.25" x14ac:dyDescent="0.2">
      <c r="B54" s="446" t="s">
        <v>168</v>
      </c>
      <c r="C54" s="447" t="str">
        <f>IF(Supuestos!B62="","",Supuestos!B66)</f>
        <v>Otros servicios (incluyendo marcaciones especiales)</v>
      </c>
      <c r="D54" s="448">
        <f>IF($B$32='Precio Mayorista'!$D$14,INDEX('Precios mayoristas efectivos'!$C$11:$C$13,MATCH('Hoja Auxiliar'!$B54,'Precios mayoristas efectivos'!$B$11:$B$13,0)),IF($B$33='Precio Mayorista'!$D$14,INDEX('Precios mayoristas efectivos'!$C$26:$C$28,MATCH('Hoja Auxiliar'!B54,'Precios mayoristas efectivos'!$B$11:$B$13,0)),IF($B$34='Precio Mayorista'!$D$14,INDEX('Precios mayoristas efectivos'!$C$68:$C$70,MATCH('Hoja Auxiliar'!B54,'Precios mayoristas efectivos'!$B$68:$B$70,0)),IF($B$35='Precio Mayorista'!$D$14,INDEX('Precios mayoristas efectivos'!$C$98:$C$100,MATCH('Hoja Auxiliar'!B54,'Precios mayoristas efectivos'!$B$98:$B$100,0)),""))))</f>
        <v>3.2358974358974356E-2</v>
      </c>
      <c r="E54" s="51"/>
    </row>
    <row r="55" spans="1:10" x14ac:dyDescent="0.2">
      <c r="B55" s="446" t="s">
        <v>149</v>
      </c>
      <c r="C55" s="447" t="str">
        <f>IF(Supuestos!B63="","",Supuestos!B62)</f>
        <v>Originación SMS on-net</v>
      </c>
      <c r="D55" s="448">
        <f>IF($B$32='Precio Mayorista'!$D$14,INDEX('Precios mayoristas efectivos'!$C$11:$C$13,MATCH('Hoja Auxiliar'!$B55,'Precios mayoristas efectivos'!$B$11:$B$13,0)),IF($B$33='Precio Mayorista'!$D$14,INDEX('Precios mayoristas efectivos'!$C$26:$C$28,MATCH('Hoja Auxiliar'!B55,'Precios mayoristas efectivos'!$B$11:$B$13,0)),IF($B$34='Precio Mayorista'!$D$14,INDEX('Precios mayoristas efectivos'!$C$68:$C$70,MATCH('Hoja Auxiliar'!B55,'Precios mayoristas efectivos'!$B$68:$B$70,0)),IF($B$35='Precio Mayorista'!$D$14,INDEX('Precios mayoristas efectivos'!$C$98:$C$100,MATCH('Hoja Auxiliar'!B55,'Precios mayoristas efectivos'!$B$98:$B$100,0)),""))))</f>
        <v>1.6222222222222221E-2</v>
      </c>
      <c r="E55" s="283"/>
    </row>
    <row r="56" spans="1:10" ht="25.5" x14ac:dyDescent="0.2">
      <c r="B56" s="446" t="s">
        <v>149</v>
      </c>
      <c r="C56" s="447" t="str">
        <f>IF(Supuestos!B64="","",Supuestos!B63)</f>
        <v>Originación SMS - off-net nacional</v>
      </c>
      <c r="D56" s="448">
        <f>IF($B$32='Precio Mayorista'!$D$14,INDEX('Precios mayoristas efectivos'!$C$11:$C$13,MATCH('Hoja Auxiliar'!$B56,'Precios mayoristas efectivos'!$B$11:$B$13,0)),IF($B$33='Precio Mayorista'!$D$14,INDEX('Precios mayoristas efectivos'!$C$26:$C$28,MATCH('Hoja Auxiliar'!B56,'Precios mayoristas efectivos'!$B$11:$B$13,0)),IF($B$34='Precio Mayorista'!$D$14,INDEX('Precios mayoristas efectivos'!$C$68:$C$70,MATCH('Hoja Auxiliar'!B56,'Precios mayoristas efectivos'!$B$68:$B$70,0)),IF($B$35='Precio Mayorista'!$D$14,INDEX('Precios mayoristas efectivos'!$C$98:$C$100,MATCH('Hoja Auxiliar'!B56,'Precios mayoristas efectivos'!$B$98:$B$100,0)),""))))</f>
        <v>1.6222222222222221E-2</v>
      </c>
      <c r="E56" s="283"/>
    </row>
    <row r="57" spans="1:10" ht="38.25" x14ac:dyDescent="0.2">
      <c r="B57" s="446" t="s">
        <v>149</v>
      </c>
      <c r="C57" s="447" t="str">
        <f>IF(Supuestos!B65="","",Supuestos!B64)</f>
        <v>Originación SMS internacional (USA-Canadá)</v>
      </c>
      <c r="D57" s="448">
        <f>IF($B$32='Precio Mayorista'!$D$14,INDEX('Precios mayoristas efectivos'!$C$11:$C$13,MATCH('Hoja Auxiliar'!$B57,'Precios mayoristas efectivos'!$B$11:$B$13,0)),IF($B$33='Precio Mayorista'!$D$14,INDEX('Precios mayoristas efectivos'!$C$26:$C$28,MATCH('Hoja Auxiliar'!B57,'Precios mayoristas efectivos'!$B$11:$B$13,0)),IF($B$34='Precio Mayorista'!$D$14,INDEX('Precios mayoristas efectivos'!$C$68:$C$70,MATCH('Hoja Auxiliar'!B57,'Precios mayoristas efectivos'!$B$68:$B$70,0)),IF($B$35='Precio Mayorista'!$D$14,INDEX('Precios mayoristas efectivos'!$C$98:$C$100,MATCH('Hoja Auxiliar'!B57,'Precios mayoristas efectivos'!$B$98:$B$100,0)),""))))</f>
        <v>1.6222222222222221E-2</v>
      </c>
      <c r="E57" s="283"/>
    </row>
    <row r="58" spans="1:10" ht="38.25" x14ac:dyDescent="0.2">
      <c r="B58" s="446" t="s">
        <v>149</v>
      </c>
      <c r="C58" s="447" t="str">
        <f>IF(Supuestos!B66="","",Supuestos!B65)</f>
        <v>Originación SMS internacional (Resto del Mundo)</v>
      </c>
      <c r="D58" s="448">
        <f>IF($B$32='Precio Mayorista'!$D$14,INDEX('Precios mayoristas efectivos'!$C$11:$C$13,MATCH('Hoja Auxiliar'!$B58,'Precios mayoristas efectivos'!$B$11:$B$13,0)),IF($B$33='Precio Mayorista'!$D$14,INDEX('Precios mayoristas efectivos'!$C$26:$C$28,MATCH('Hoja Auxiliar'!B58,'Precios mayoristas efectivos'!$B$11:$B$13,0)),IF($B$34='Precio Mayorista'!$D$14,INDEX('Precios mayoristas efectivos'!$C$68:$C$70,MATCH('Hoja Auxiliar'!B58,'Precios mayoristas efectivos'!$B$68:$B$70,0)),IF($B$35='Precio Mayorista'!$D$14,INDEX('Precios mayoristas efectivos'!$C$98:$C$100,MATCH('Hoja Auxiliar'!B58,'Precios mayoristas efectivos'!$B$98:$B$100,0)),""))))</f>
        <v>1.6222222222222221E-2</v>
      </c>
      <c r="E58" s="283"/>
    </row>
    <row r="59" spans="1:10" s="73" customFormat="1" x14ac:dyDescent="0.2">
      <c r="B59" s="450"/>
      <c r="C59" s="451"/>
      <c r="D59" s="449"/>
      <c r="E59" s="382"/>
    </row>
    <row r="60" spans="1:10" s="232" customFormat="1" x14ac:dyDescent="0.2">
      <c r="A60"/>
      <c r="B60" s="196" t="s">
        <v>312</v>
      </c>
      <c r="C60" s="196"/>
      <c r="D60" s="196"/>
      <c r="E60" s="196"/>
      <c r="F60" s="196"/>
      <c r="G60" s="196"/>
      <c r="H60" s="196"/>
      <c r="I60" s="196"/>
      <c r="J60" s="196"/>
    </row>
    <row r="61" spans="1:10" s="73" customFormat="1" x14ac:dyDescent="0.2">
      <c r="B61" s="446" t="s">
        <v>152</v>
      </c>
      <c r="C61" s="447" t="s">
        <v>152</v>
      </c>
      <c r="D61" s="448" cm="1">
        <f t="array" ref="D61">IF($B$32='Precio Mayorista'!$D$14,'Precios mayoristas efectivos'!$C$17,IF('Hoja Auxiliar'!$B$33='Precio Mayorista'!$D$14,'Precios mayoristas efectivos'!$C$33,IF('Hoja Auxiliar'!$B$34='Precio Mayorista'!$D$14,'Precios mayoristas efectivos'!$C$74,IF('Hoja Auxiliar'!$B$35='Precio Mayorista'!$D$14,'Precios mayoristas efectivos'!$C$104,N/A))))</f>
        <v>0.53333333333333333</v>
      </c>
      <c r="E61" s="148"/>
      <c r="F61" s="148"/>
      <c r="G61" s="148"/>
      <c r="H61" s="148"/>
      <c r="I61" s="148"/>
      <c r="J61" s="148"/>
    </row>
  </sheetData>
  <mergeCells count="3">
    <mergeCell ref="D6:E6"/>
    <mergeCell ref="D3:J3"/>
    <mergeCell ref="B8:H11"/>
  </mergeCells>
  <hyperlinks>
    <hyperlink ref="B3" location="'Resultados &gt;&gt;'!A1" display="Ir a Resultados &gt;&gt;" xr:uid="{1265DD8B-51C4-4791-8A43-CF8157A0D9CF}"/>
  </hyperlink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6CA3A7-AC84-4EF9-9D94-3887B2BE4F37}">
  <sheetPr codeName="Sheet16">
    <tabColor theme="3"/>
  </sheetPr>
  <dimension ref="A1:F86"/>
  <sheetViews>
    <sheetView showGridLines="0" workbookViewId="0"/>
  </sheetViews>
  <sheetFormatPr baseColWidth="10" defaultColWidth="8.7109375" defaultRowHeight="12.75" x14ac:dyDescent="0.2"/>
  <cols>
    <col min="1" max="1" width="1.7109375" style="59" customWidth="1"/>
    <col min="2" max="2" width="49.5703125" style="59" customWidth="1"/>
    <col min="3" max="11" width="11.7109375" style="59" customWidth="1"/>
    <col min="12" max="16384" width="8.7109375" style="59"/>
  </cols>
  <sheetData>
    <row r="1" spans="2:6" s="1" customFormat="1" ht="20.25" x14ac:dyDescent="0.3">
      <c r="B1" s="1" t="s">
        <v>71</v>
      </c>
    </row>
    <row r="2" spans="2:6" s="58" customFormat="1" x14ac:dyDescent="0.2"/>
    <row r="3" spans="2:6" s="21" customFormat="1" ht="15.6" customHeight="1" x14ac:dyDescent="0.2">
      <c r="B3" s="21" t="s">
        <v>25</v>
      </c>
    </row>
    <row r="4" spans="2:6" s="58" customFormat="1" x14ac:dyDescent="0.2"/>
    <row r="5" spans="2:6" s="58" customFormat="1" x14ac:dyDescent="0.2">
      <c r="B5" s="4" t="s">
        <v>26</v>
      </c>
      <c r="C5" s="452">
        <v>44652</v>
      </c>
    </row>
    <row r="6" spans="2:6" s="58" customFormat="1" x14ac:dyDescent="0.2">
      <c r="B6" s="4" t="s">
        <v>27</v>
      </c>
      <c r="C6" s="453">
        <v>44742</v>
      </c>
      <c r="D6" s="310"/>
      <c r="E6" s="310"/>
      <c r="F6" s="310"/>
    </row>
    <row r="7" spans="2:6" s="58" customFormat="1" x14ac:dyDescent="0.2">
      <c r="B7" s="4" t="s">
        <v>77</v>
      </c>
      <c r="C7" s="115">
        <v>3</v>
      </c>
    </row>
    <row r="8" spans="2:6" s="58" customFormat="1" x14ac:dyDescent="0.2"/>
    <row r="9" spans="2:6" s="21" customFormat="1" ht="15.6" customHeight="1" x14ac:dyDescent="0.2">
      <c r="B9" s="21" t="s">
        <v>76</v>
      </c>
    </row>
    <row r="10" spans="2:6" s="58" customFormat="1" x14ac:dyDescent="0.2"/>
    <row r="11" spans="2:6" s="58" customFormat="1" x14ac:dyDescent="0.2">
      <c r="B11" s="4" t="s">
        <v>73</v>
      </c>
      <c r="C11" s="115">
        <v>24</v>
      </c>
    </row>
    <row r="12" spans="2:6" s="58" customFormat="1" x14ac:dyDescent="0.2"/>
    <row r="13" spans="2:6" s="58" customFormat="1" x14ac:dyDescent="0.2">
      <c r="B13" s="4" t="s">
        <v>75</v>
      </c>
      <c r="C13" s="116">
        <f>C11/C7</f>
        <v>8</v>
      </c>
    </row>
    <row r="14" spans="2:6" s="58" customFormat="1" x14ac:dyDescent="0.2">
      <c r="B14" s="4"/>
      <c r="C14" s="116"/>
    </row>
    <row r="15" spans="2:6" s="58" customFormat="1" x14ac:dyDescent="0.2">
      <c r="B15" s="4" t="s">
        <v>229</v>
      </c>
      <c r="C15" s="116">
        <f>12/C7</f>
        <v>4</v>
      </c>
    </row>
    <row r="16" spans="2:6" s="58" customFormat="1" x14ac:dyDescent="0.2">
      <c r="B16" s="4"/>
      <c r="C16" s="60"/>
    </row>
    <row r="17" spans="1:3" s="21" customFormat="1" ht="15.6" hidden="1" customHeight="1" x14ac:dyDescent="0.2">
      <c r="B17" s="21" t="s">
        <v>74</v>
      </c>
    </row>
    <row r="18" spans="1:3" hidden="1" x14ac:dyDescent="0.2"/>
    <row r="19" spans="1:3" hidden="1" x14ac:dyDescent="0.2">
      <c r="B19" s="59" t="s">
        <v>74</v>
      </c>
      <c r="C19" s="61">
        <f>'Informacion del AEP'!F88</f>
        <v>1000000</v>
      </c>
    </row>
    <row r="20" spans="1:3" customFormat="1" hidden="1" x14ac:dyDescent="0.2">
      <c r="A20" s="59"/>
      <c r="B20" s="59" t="s">
        <v>78</v>
      </c>
      <c r="C20" s="62">
        <f>+SQRT($C$19/'Informacion del AEP'!$H$29)</f>
        <v>0.11867816581938534</v>
      </c>
    </row>
    <row r="21" spans="1:3" hidden="1" x14ac:dyDescent="0.2"/>
    <row r="22" spans="1:3" hidden="1" x14ac:dyDescent="0.2"/>
    <row r="23" spans="1:3" s="21" customFormat="1" ht="15.6" hidden="1" customHeight="1" x14ac:dyDescent="0.2">
      <c r="B23" s="21" t="s">
        <v>138</v>
      </c>
    </row>
    <row r="24" spans="1:3" hidden="1" x14ac:dyDescent="0.2"/>
    <row r="25" spans="1:3" hidden="1" x14ac:dyDescent="0.2">
      <c r="B25" s="149" t="s">
        <v>81</v>
      </c>
      <c r="C25" s="69">
        <v>0.1</v>
      </c>
    </row>
    <row r="26" spans="1:3" hidden="1" x14ac:dyDescent="0.2">
      <c r="B26" s="149" t="s">
        <v>35</v>
      </c>
      <c r="C26" s="69">
        <v>0</v>
      </c>
    </row>
    <row r="27" spans="1:3" hidden="1" x14ac:dyDescent="0.2">
      <c r="B27" s="149" t="s">
        <v>36</v>
      </c>
      <c r="C27" s="69">
        <v>0</v>
      </c>
    </row>
    <row r="28" spans="1:3" hidden="1" x14ac:dyDescent="0.2">
      <c r="B28" s="149" t="s">
        <v>82</v>
      </c>
      <c r="C28" s="69">
        <v>0.1</v>
      </c>
    </row>
    <row r="29" spans="1:3" hidden="1" x14ac:dyDescent="0.2">
      <c r="B29" s="149" t="s">
        <v>83</v>
      </c>
      <c r="C29" s="69">
        <v>0.05</v>
      </c>
    </row>
    <row r="30" spans="1:3" hidden="1" x14ac:dyDescent="0.2">
      <c r="B30" s="149" t="s">
        <v>84</v>
      </c>
      <c r="C30" s="69">
        <v>0</v>
      </c>
    </row>
    <row r="31" spans="1:3" hidden="1" x14ac:dyDescent="0.2">
      <c r="B31" s="149" t="s">
        <v>85</v>
      </c>
      <c r="C31" s="69">
        <v>0.1</v>
      </c>
    </row>
    <row r="32" spans="1:3" hidden="1" x14ac:dyDescent="0.2">
      <c r="B32" s="149" t="s">
        <v>86</v>
      </c>
      <c r="C32" s="69">
        <v>0</v>
      </c>
    </row>
    <row r="33" spans="2:3" hidden="1" x14ac:dyDescent="0.2">
      <c r="B33" s="149" t="s">
        <v>87</v>
      </c>
      <c r="C33" s="69">
        <v>0</v>
      </c>
    </row>
    <row r="34" spans="2:3" hidden="1" x14ac:dyDescent="0.2">
      <c r="B34" s="149" t="s">
        <v>331</v>
      </c>
      <c r="C34" s="69">
        <v>0</v>
      </c>
    </row>
    <row r="35" spans="2:3" hidden="1" x14ac:dyDescent="0.2">
      <c r="B35" s="149" t="s">
        <v>332</v>
      </c>
      <c r="C35" s="69">
        <v>0.05</v>
      </c>
    </row>
    <row r="36" spans="2:3" hidden="1" x14ac:dyDescent="0.2">
      <c r="B36" s="149" t="s">
        <v>88</v>
      </c>
      <c r="C36" s="69">
        <v>0</v>
      </c>
    </row>
    <row r="37" spans="2:3" hidden="1" x14ac:dyDescent="0.2">
      <c r="B37" s="149" t="s">
        <v>89</v>
      </c>
      <c r="C37" s="69">
        <v>0</v>
      </c>
    </row>
    <row r="38" spans="2:3" hidden="1" x14ac:dyDescent="0.2">
      <c r="B38" s="149" t="s">
        <v>90</v>
      </c>
      <c r="C38" s="69">
        <v>0.05</v>
      </c>
    </row>
    <row r="39" spans="2:3" hidden="1" x14ac:dyDescent="0.2">
      <c r="B39" s="149" t="s">
        <v>101</v>
      </c>
      <c r="C39" s="69">
        <v>0</v>
      </c>
    </row>
    <row r="40" spans="2:3" hidden="1" x14ac:dyDescent="0.2">
      <c r="B40" s="309" t="s">
        <v>91</v>
      </c>
      <c r="C40" s="69">
        <v>0.1</v>
      </c>
    </row>
    <row r="41" spans="2:3" hidden="1" x14ac:dyDescent="0.2">
      <c r="B41" s="309" t="s">
        <v>197</v>
      </c>
      <c r="C41" s="69">
        <v>0</v>
      </c>
    </row>
    <row r="42" spans="2:3" hidden="1" x14ac:dyDescent="0.2">
      <c r="B42" s="309" t="s">
        <v>198</v>
      </c>
      <c r="C42" s="69">
        <v>0</v>
      </c>
    </row>
    <row r="43" spans="2:3" hidden="1" x14ac:dyDescent="0.2">
      <c r="B43" s="309" t="s">
        <v>199</v>
      </c>
      <c r="C43" s="69">
        <v>0.05</v>
      </c>
    </row>
    <row r="44" spans="2:3" hidden="1" x14ac:dyDescent="0.2">
      <c r="B44" s="309" t="s">
        <v>200</v>
      </c>
      <c r="C44" s="69">
        <v>0</v>
      </c>
    </row>
    <row r="45" spans="2:3" hidden="1" x14ac:dyDescent="0.2">
      <c r="C45" s="102"/>
    </row>
    <row r="46" spans="2:3" s="21" customFormat="1" ht="15.6" customHeight="1" x14ac:dyDescent="0.2">
      <c r="B46" s="21" t="s">
        <v>72</v>
      </c>
    </row>
    <row r="47" spans="2:3" s="58" customFormat="1" x14ac:dyDescent="0.2"/>
    <row r="48" spans="2:3" s="58" customFormat="1" x14ac:dyDescent="0.2">
      <c r="B48" s="309" t="s">
        <v>66</v>
      </c>
      <c r="C48" s="459"/>
    </row>
    <row r="49" spans="2:3" s="58" customFormat="1" x14ac:dyDescent="0.2">
      <c r="B49" s="309" t="s">
        <v>314</v>
      </c>
      <c r="C49" s="459"/>
    </row>
    <row r="50" spans="2:3" s="58" customFormat="1" x14ac:dyDescent="0.2">
      <c r="B50" s="309" t="s">
        <v>315</v>
      </c>
      <c r="C50" s="459"/>
    </row>
    <row r="51" spans="2:3" s="58" customFormat="1" x14ac:dyDescent="0.2">
      <c r="B51" s="309" t="s">
        <v>316</v>
      </c>
      <c r="C51" s="459"/>
    </row>
    <row r="52" spans="2:3" s="58" customFormat="1" x14ac:dyDescent="0.2">
      <c r="B52" s="309" t="s">
        <v>317</v>
      </c>
      <c r="C52" s="459"/>
    </row>
    <row r="53" spans="2:3" s="58" customFormat="1" x14ac:dyDescent="0.2">
      <c r="B53" s="309" t="s">
        <v>318</v>
      </c>
      <c r="C53" s="459"/>
    </row>
    <row r="54" spans="2:3" s="457" customFormat="1" ht="12" customHeight="1" x14ac:dyDescent="0.2">
      <c r="B54" s="458" t="s">
        <v>319</v>
      </c>
      <c r="C54" s="460"/>
    </row>
    <row r="55" spans="2:3" s="457" customFormat="1" ht="12.6" customHeight="1" x14ac:dyDescent="0.2">
      <c r="B55" s="458" t="s">
        <v>67</v>
      </c>
      <c r="C55" s="460"/>
    </row>
    <row r="56" spans="2:3" s="457" customFormat="1" ht="12.6" customHeight="1" x14ac:dyDescent="0.2">
      <c r="B56" s="458" t="s">
        <v>320</v>
      </c>
      <c r="C56" s="460"/>
    </row>
    <row r="57" spans="2:3" s="58" customFormat="1" x14ac:dyDescent="0.2">
      <c r="B57" s="309" t="s">
        <v>321</v>
      </c>
      <c r="C57" s="459"/>
    </row>
    <row r="58" spans="2:3" s="58" customFormat="1" x14ac:dyDescent="0.2">
      <c r="B58" s="309" t="s">
        <v>322</v>
      </c>
      <c r="C58" s="459"/>
    </row>
    <row r="59" spans="2:3" s="58" customFormat="1" x14ac:dyDescent="0.2">
      <c r="B59" s="309" t="s">
        <v>323</v>
      </c>
      <c r="C59" s="459"/>
    </row>
    <row r="60" spans="2:3" s="58" customFormat="1" x14ac:dyDescent="0.2">
      <c r="B60" s="309" t="s">
        <v>68</v>
      </c>
      <c r="C60" s="459"/>
    </row>
    <row r="61" spans="2:3" s="58" customFormat="1" x14ac:dyDescent="0.2">
      <c r="B61" s="309" t="s">
        <v>324</v>
      </c>
      <c r="C61" s="459"/>
    </row>
    <row r="62" spans="2:3" s="58" customFormat="1" x14ac:dyDescent="0.2">
      <c r="B62" s="309" t="s">
        <v>69</v>
      </c>
      <c r="C62" s="459"/>
    </row>
    <row r="63" spans="2:3" s="58" customFormat="1" x14ac:dyDescent="0.2">
      <c r="B63" s="309" t="s">
        <v>325</v>
      </c>
      <c r="C63" s="459"/>
    </row>
    <row r="64" spans="2:3" s="58" customFormat="1" x14ac:dyDescent="0.2">
      <c r="B64" s="149" t="s">
        <v>326</v>
      </c>
      <c r="C64" s="459"/>
    </row>
    <row r="65" spans="2:3" s="58" customFormat="1" x14ac:dyDescent="0.2">
      <c r="B65" s="149" t="s">
        <v>327</v>
      </c>
      <c r="C65" s="459"/>
    </row>
    <row r="66" spans="2:3" s="58" customFormat="1" x14ac:dyDescent="0.2">
      <c r="B66" s="149" t="s">
        <v>70</v>
      </c>
      <c r="C66" s="459"/>
    </row>
    <row r="67" spans="2:3" s="58" customFormat="1" x14ac:dyDescent="0.2"/>
    <row r="68" spans="2:3" s="21" customFormat="1" ht="15.6" customHeight="1" x14ac:dyDescent="0.2">
      <c r="B68" s="21" t="s">
        <v>127</v>
      </c>
    </row>
    <row r="70" spans="2:3" x14ac:dyDescent="0.2">
      <c r="B70" s="59" t="s">
        <v>119</v>
      </c>
    </row>
    <row r="71" spans="2:3" x14ac:dyDescent="0.2">
      <c r="B71" s="59" t="s">
        <v>120</v>
      </c>
    </row>
    <row r="73" spans="2:3" s="21" customFormat="1" ht="15.6" customHeight="1" x14ac:dyDescent="0.2">
      <c r="B73" s="21" t="s">
        <v>147</v>
      </c>
    </row>
    <row r="75" spans="2:3" x14ac:dyDescent="0.2">
      <c r="B75" s="117" t="s">
        <v>29</v>
      </c>
    </row>
    <row r="76" spans="2:3" x14ac:dyDescent="0.2">
      <c r="B76" s="117" t="s">
        <v>39</v>
      </c>
    </row>
    <row r="77" spans="2:3" x14ac:dyDescent="0.2">
      <c r="B77" s="117" t="s">
        <v>40</v>
      </c>
    </row>
    <row r="78" spans="2:3" x14ac:dyDescent="0.2">
      <c r="B78" s="117" t="str">
        <f>'Ofertas insignia'!C57</f>
        <v>Telcel Prepago 1</v>
      </c>
    </row>
    <row r="79" spans="2:3" x14ac:dyDescent="0.2">
      <c r="B79" s="117" t="str">
        <f>'Ofertas insignia'!C58</f>
        <v>Telcel Prepago 2</v>
      </c>
    </row>
    <row r="80" spans="2:3" x14ac:dyDescent="0.2">
      <c r="B80" s="117" t="str">
        <f>'Ofertas insignia'!C59</f>
        <v>Telcel Prepago 3</v>
      </c>
    </row>
    <row r="81" spans="2:2" x14ac:dyDescent="0.2">
      <c r="B81" s="117" t="str">
        <f>'Ofertas insignia'!D57</f>
        <v>Telcel Pospago 1</v>
      </c>
    </row>
    <row r="82" spans="2:2" x14ac:dyDescent="0.2">
      <c r="B82" s="117" t="str">
        <f>'Ofertas insignia'!D58</f>
        <v>Telcel Pospago 8</v>
      </c>
    </row>
    <row r="83" spans="2:2" x14ac:dyDescent="0.2">
      <c r="B83" s="117" t="str">
        <f>'Ofertas insignia'!D59</f>
        <v>Telcel Pospago 4</v>
      </c>
    </row>
    <row r="84" spans="2:2" x14ac:dyDescent="0.2">
      <c r="B84" s="117"/>
    </row>
    <row r="85" spans="2:2" x14ac:dyDescent="0.2">
      <c r="B85" s="117"/>
    </row>
    <row r="86" spans="2:2" x14ac:dyDescent="0.2">
      <c r="B86" s="117"/>
    </row>
  </sheetData>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329A4-9E68-491D-92C2-6EC5531465C6}">
  <sheetPr>
    <tabColor theme="3"/>
  </sheetPr>
  <dimension ref="B1:F14"/>
  <sheetViews>
    <sheetView showGridLines="0" workbookViewId="0"/>
  </sheetViews>
  <sheetFormatPr baseColWidth="10" defaultColWidth="8.7109375" defaultRowHeight="12.75" x14ac:dyDescent="0.2"/>
  <cols>
    <col min="2" max="2" width="16.7109375" customWidth="1"/>
    <col min="3" max="3" width="2.7109375" customWidth="1"/>
    <col min="4" max="6" width="12.28515625" customWidth="1"/>
  </cols>
  <sheetData>
    <row r="1" spans="2:6" s="1" customFormat="1" ht="20.25" x14ac:dyDescent="0.3">
      <c r="B1" s="1" t="s">
        <v>284</v>
      </c>
    </row>
    <row r="3" spans="2:6" ht="20.100000000000001" customHeight="1" x14ac:dyDescent="0.2">
      <c r="B3" s="17" t="s">
        <v>24</v>
      </c>
      <c r="C3" s="17"/>
    </row>
    <row r="5" spans="2:6" s="232" customFormat="1" x14ac:dyDescent="0.2">
      <c r="B5" s="194" t="s">
        <v>194</v>
      </c>
      <c r="C5" s="194"/>
    </row>
    <row r="9" spans="2:6" ht="54.6" customHeight="1" x14ac:dyDescent="0.2">
      <c r="B9" s="256" t="s">
        <v>28</v>
      </c>
      <c r="C9" s="256"/>
      <c r="D9" s="257" t="s">
        <v>142</v>
      </c>
      <c r="E9" s="257" t="s">
        <v>143</v>
      </c>
      <c r="F9" s="257" t="s">
        <v>144</v>
      </c>
    </row>
    <row r="10" spans="2:6" x14ac:dyDescent="0.2">
      <c r="B10" s="19" t="s">
        <v>139</v>
      </c>
      <c r="C10" s="19"/>
      <c r="D10" s="258">
        <f>'Prueba Servicios Moviles'!C19</f>
        <v>1.6337641137123771E-2</v>
      </c>
      <c r="E10" s="258">
        <f>'Prueba Servicios Moviles'!D19</f>
        <v>0.19181438998232037</v>
      </c>
      <c r="F10" s="258">
        <f>'Prueba Servicios Moviles'!E19</f>
        <v>-0.30319974786301995</v>
      </c>
    </row>
    <row r="11" spans="2:6" x14ac:dyDescent="0.2">
      <c r="B11" s="19" t="s">
        <v>130</v>
      </c>
      <c r="C11" s="19"/>
      <c r="D11" s="258">
        <v>1</v>
      </c>
      <c r="E11" s="258">
        <v>1</v>
      </c>
      <c r="F11" s="258">
        <v>1</v>
      </c>
    </row>
    <row r="12" spans="2:6" x14ac:dyDescent="0.2">
      <c r="B12" s="19" t="s">
        <v>16</v>
      </c>
      <c r="C12" s="19"/>
      <c r="D12" s="258">
        <f>'Prueba Servicios Moviles'!C21/'Prueba Servicios Moviles'!C20</f>
        <v>0.98366235886287623</v>
      </c>
      <c r="E12" s="258">
        <f>'Prueba Servicios Moviles'!D21/'Prueba Servicios Moviles'!D20</f>
        <v>0.80818561001767963</v>
      </c>
      <c r="F12" s="258">
        <f>'Prueba Servicios Moviles'!E21/'Prueba Servicios Moviles'!E20</f>
        <v>1.30319974786302</v>
      </c>
    </row>
    <row r="13" spans="2:6" x14ac:dyDescent="0.2">
      <c r="B13" t="s">
        <v>2</v>
      </c>
      <c r="D13" s="258">
        <f>'Prueba Servicios Moviles'!C22/'Prueba Servicios Moviles'!C20</f>
        <v>0.35784061973244147</v>
      </c>
      <c r="E13" s="258">
        <f>'Prueba Servicios Moviles'!D22/'Prueba Servicios Moviles'!D20</f>
        <v>0.16767382550589507</v>
      </c>
      <c r="F13" s="258">
        <f>'Prueba Servicios Moviles'!E22/'Prueba Servicios Moviles'!E20</f>
        <v>0.70414453313909353</v>
      </c>
    </row>
    <row r="14" spans="2:6" x14ac:dyDescent="0.2">
      <c r="B14" t="s">
        <v>118</v>
      </c>
      <c r="D14" s="258">
        <f>'Prueba Servicios Moviles'!C23/'Prueba Servicios Moviles'!C21</f>
        <v>0.63621600795408206</v>
      </c>
      <c r="E14" s="258">
        <f>'Prueba Servicios Moviles'!D23/'Prueba Servicios Moviles'!D21</f>
        <v>0.79253054814694468</v>
      </c>
      <c r="F14" s="258">
        <f>'Prueba Servicios Moviles'!E23/'Prueba Servicios Moviles'!E21</f>
        <v>0.45968027211964546</v>
      </c>
    </row>
  </sheetData>
  <hyperlinks>
    <hyperlink ref="B3" location="'Resultados &gt;&gt;'!A1" display="Ir a Resultados &gt;&gt;" xr:uid="{E5DF6881-9C9A-4E5B-BF12-603C0EBA660D}"/>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D0FD5C-0CB7-4049-9663-6D1781307A5D}">
  <sheetPr codeName="Sheet4">
    <tabColor theme="4"/>
  </sheetPr>
  <dimension ref="C13"/>
  <sheetViews>
    <sheetView showGridLines="0" topLeftCell="A4" workbookViewId="0">
      <selection activeCell="A4" sqref="A4"/>
    </sheetView>
  </sheetViews>
  <sheetFormatPr baseColWidth="10" defaultColWidth="8.7109375" defaultRowHeight="12.75" x14ac:dyDescent="0.2"/>
  <cols>
    <col min="1" max="16384" width="8.7109375" style="7"/>
  </cols>
  <sheetData>
    <row r="13" spans="3:3" ht="27.75" x14ac:dyDescent="0.4">
      <c r="C13" s="14" t="s">
        <v>7</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D4DA5D-8FAB-4B21-A110-29890E01084A}">
  <sheetPr codeName="Sheet5">
    <tabColor theme="4" tint="0.79998168889431442"/>
  </sheetPr>
  <dimension ref="B1:Q54"/>
  <sheetViews>
    <sheetView showGridLines="0" zoomScaleNormal="100" workbookViewId="0"/>
  </sheetViews>
  <sheetFormatPr baseColWidth="10" defaultColWidth="8.7109375" defaultRowHeight="12.75" x14ac:dyDescent="0.2"/>
  <cols>
    <col min="1" max="1" width="6.28515625" customWidth="1"/>
    <col min="2" max="2" width="23.7109375" customWidth="1"/>
    <col min="3" max="5" width="19.7109375" bestFit="1" customWidth="1"/>
    <col min="6" max="6" width="3.5703125" customWidth="1"/>
    <col min="7" max="7" width="18.7109375" bestFit="1" customWidth="1"/>
    <col min="8" max="8" width="18.28515625" bestFit="1" customWidth="1"/>
    <col min="9" max="9" width="17.28515625" bestFit="1" customWidth="1"/>
    <col min="10" max="10" width="4.28515625" customWidth="1"/>
    <col min="11" max="12" width="18" bestFit="1" customWidth="1"/>
    <col min="13" max="13" width="17.5703125" bestFit="1" customWidth="1"/>
  </cols>
  <sheetData>
    <row r="1" spans="2:13" s="1" customFormat="1" ht="20.25" x14ac:dyDescent="0.3">
      <c r="B1" s="1" t="s">
        <v>125</v>
      </c>
    </row>
    <row r="3" spans="2:13" x14ac:dyDescent="0.2">
      <c r="B3" s="19" t="s">
        <v>25</v>
      </c>
      <c r="C3" s="105" t="s">
        <v>26</v>
      </c>
      <c r="D3" s="86"/>
      <c r="E3" s="105" t="s">
        <v>27</v>
      </c>
      <c r="F3" s="105"/>
    </row>
    <row r="4" spans="2:13" x14ac:dyDescent="0.2">
      <c r="C4" s="101">
        <f>Supuestos!$C$5</f>
        <v>44652</v>
      </c>
      <c r="D4" s="107"/>
      <c r="E4" s="101">
        <f>Supuestos!$C$6</f>
        <v>44742</v>
      </c>
      <c r="F4" s="101"/>
    </row>
    <row r="6" spans="2:13" ht="20.100000000000001" customHeight="1" x14ac:dyDescent="0.2">
      <c r="B6" s="46" t="s">
        <v>126</v>
      </c>
      <c r="C6" s="99" t="s">
        <v>119</v>
      </c>
    </row>
    <row r="8" spans="2:13" s="21" customFormat="1" ht="15.6" customHeight="1" x14ac:dyDescent="0.2">
      <c r="B8" s="21" t="s">
        <v>11</v>
      </c>
    </row>
    <row r="9" spans="2:13" x14ac:dyDescent="0.2">
      <c r="G9" s="143"/>
      <c r="H9" s="73"/>
      <c r="I9" s="73"/>
      <c r="J9" s="73"/>
      <c r="K9" s="73"/>
      <c r="L9" s="73"/>
      <c r="M9" s="73"/>
    </row>
    <row r="10" spans="2:13" ht="42" customHeight="1" x14ac:dyDescent="0.2">
      <c r="F10" s="142"/>
      <c r="G10" s="493" t="s">
        <v>240</v>
      </c>
      <c r="H10" s="494"/>
      <c r="I10" s="494"/>
      <c r="J10" s="494"/>
      <c r="K10" s="494"/>
      <c r="L10" s="494"/>
      <c r="M10" s="495"/>
    </row>
    <row r="11" spans="2:13" x14ac:dyDescent="0.2">
      <c r="G11" s="4"/>
    </row>
    <row r="12" spans="2:13" x14ac:dyDescent="0.2">
      <c r="G12" s="4"/>
      <c r="J12" s="3"/>
    </row>
    <row r="13" spans="2:13" x14ac:dyDescent="0.2">
      <c r="G13" s="492" t="s">
        <v>241</v>
      </c>
      <c r="H13" s="492"/>
      <c r="I13" s="492"/>
      <c r="J13" s="492"/>
      <c r="K13" s="492"/>
      <c r="L13" s="492"/>
      <c r="M13" s="492"/>
    </row>
    <row r="14" spans="2:13" s="3" customFormat="1" x14ac:dyDescent="0.2">
      <c r="G14" s="141"/>
      <c r="H14" s="141"/>
      <c r="I14" s="141"/>
      <c r="J14" s="141"/>
      <c r="K14" s="141"/>
      <c r="L14" s="141"/>
      <c r="M14" s="141"/>
    </row>
    <row r="15" spans="2:13" x14ac:dyDescent="0.2">
      <c r="G15" s="491" t="s">
        <v>156</v>
      </c>
      <c r="H15" s="491"/>
      <c r="I15" s="491"/>
      <c r="J15" s="135"/>
      <c r="K15" s="491" t="s">
        <v>157</v>
      </c>
      <c r="L15" s="491"/>
      <c r="M15" s="491"/>
    </row>
    <row r="16" spans="2:13" x14ac:dyDescent="0.2">
      <c r="G16" s="315" t="s">
        <v>238</v>
      </c>
      <c r="H16" s="134" t="s">
        <v>158</v>
      </c>
      <c r="I16" s="134" t="s">
        <v>159</v>
      </c>
      <c r="J16" s="134"/>
      <c r="K16" s="317" t="s">
        <v>238</v>
      </c>
      <c r="L16" s="134" t="s">
        <v>158</v>
      </c>
      <c r="M16" s="134" t="s">
        <v>159</v>
      </c>
    </row>
    <row r="17" spans="2:17" ht="46.15" customHeight="1" x14ac:dyDescent="0.2">
      <c r="B17" s="47" t="s">
        <v>28</v>
      </c>
      <c r="C17" s="28" t="str">
        <f>Supuestos!B$75</f>
        <v>Todos los segmentos</v>
      </c>
      <c r="D17" s="28" t="str">
        <f>Supuestos!B$76</f>
        <v>Segmento Prepago</v>
      </c>
      <c r="E17" s="28" t="str">
        <f>Supuestos!B$77</f>
        <v>Segmento Pospago</v>
      </c>
      <c r="F17" s="136"/>
      <c r="G17" s="316" t="str">
        <f>Supuestos!B$78</f>
        <v>Telcel Prepago 1</v>
      </c>
      <c r="H17" s="136" t="str">
        <f>Supuestos!B$79</f>
        <v>Telcel Prepago 2</v>
      </c>
      <c r="I17" s="136" t="str">
        <f>Supuestos!B$80</f>
        <v>Telcel Prepago 3</v>
      </c>
      <c r="J17" s="136"/>
      <c r="K17" s="316" t="str">
        <f>Supuestos!B$81</f>
        <v>Telcel Pospago 1</v>
      </c>
      <c r="L17" s="136" t="str">
        <f>Supuestos!B$82</f>
        <v>Telcel Pospago 8</v>
      </c>
      <c r="M17" s="28" t="str">
        <f>Supuestos!B$83</f>
        <v>Telcel Pospago 4</v>
      </c>
      <c r="N17" s="28"/>
    </row>
    <row r="18" spans="2:17" x14ac:dyDescent="0.2">
      <c r="B18" s="110" t="s">
        <v>141</v>
      </c>
      <c r="C18" s="113" t="str">
        <f>IF(C19&lt;0,"No","Sí")</f>
        <v>Sí</v>
      </c>
      <c r="D18" s="113" t="str">
        <f>IF(D19&lt;0,"No","Sí")</f>
        <v>Sí</v>
      </c>
      <c r="E18" s="113" t="str">
        <f>IF(E19&lt;0,"No","Sí")</f>
        <v>No</v>
      </c>
      <c r="F18" s="137"/>
      <c r="G18" s="114"/>
      <c r="H18" s="114"/>
      <c r="I18" s="114"/>
      <c r="J18" s="137"/>
      <c r="K18" s="114"/>
      <c r="L18" s="114"/>
      <c r="M18" s="114"/>
    </row>
    <row r="19" spans="2:17" x14ac:dyDescent="0.2">
      <c r="B19" s="110" t="s">
        <v>139</v>
      </c>
      <c r="C19" s="111">
        <f>(C20-C21)/C20</f>
        <v>1.6337641137123771E-2</v>
      </c>
      <c r="D19" s="111">
        <f t="shared" ref="D19:M19" si="0">(D20-D21)/D20</f>
        <v>0.19181438998232037</v>
      </c>
      <c r="E19" s="111">
        <f t="shared" si="0"/>
        <v>-0.30319974786301995</v>
      </c>
      <c r="F19" s="138"/>
      <c r="G19" s="111">
        <f t="shared" si="0"/>
        <v>0.18858206674999745</v>
      </c>
      <c r="H19" s="111">
        <f t="shared" si="0"/>
        <v>0.45429707471978575</v>
      </c>
      <c r="I19" s="111">
        <f t="shared" si="0"/>
        <v>0.19391540008333077</v>
      </c>
      <c r="J19" s="138"/>
      <c r="K19" s="111">
        <f t="shared" si="0"/>
        <v>-0.30297070900821438</v>
      </c>
      <c r="L19" s="111">
        <f t="shared" si="0"/>
        <v>-0.30281365379349029</v>
      </c>
      <c r="M19" s="111">
        <f t="shared" si="0"/>
        <v>-0.30297070900821438</v>
      </c>
    </row>
    <row r="20" spans="2:17" x14ac:dyDescent="0.2">
      <c r="B20" s="40" t="s">
        <v>130</v>
      </c>
      <c r="C20" s="109">
        <f>INDEX('Ingresos minoristas'!$D$13:$L$21,MATCH('Prueba Servicios Moviles'!$B$20,'Ingresos minoristas'!$C$13:$C$21,0),MATCH('Prueba Servicios Moviles'!C$17,'Ingresos minoristas'!$D$12:$L$12,0))</f>
        <v>23000000000</v>
      </c>
      <c r="D20" s="109">
        <f>INDEX('Ingresos minoristas'!$D$13:$L$21,MATCH('Prueba Servicios Moviles'!$B$20,'Ingresos minoristas'!$C$13:$C$21,0),MATCH('Prueba Servicios Moviles'!D$17,'Ingresos minoristas'!$D$12:$L$12,0))</f>
        <v>14850000000</v>
      </c>
      <c r="E20" s="109">
        <f>INDEX('Ingresos minoristas'!$D$13:$L$21,MATCH('Prueba Servicios Moviles'!$B$20,'Ingresos minoristas'!$C$13:$C$21,0),MATCH('Prueba Servicios Moviles'!E$17,'Ingresos minoristas'!$D$12:$L$12,0))</f>
        <v>8150000000</v>
      </c>
      <c r="F20" s="139"/>
      <c r="G20" s="109">
        <f>INDEX('Ingresos minoristas'!$D$13:$L$21,MATCH('Prueba Servicios Moviles'!$B$20,'Ingresos minoristas'!$C$13:$C$21,0),MATCH('Prueba Servicios Moviles'!G$17,'Ingresos minoristas'!$D$12:$L$12,0))</f>
        <v>4950000000.000001</v>
      </c>
      <c r="H20" s="109">
        <f>INDEX('Ingresos minoristas'!$D$13:$L$21,MATCH('Prueba Servicios Moviles'!$B$20,'Ingresos minoristas'!$C$13:$C$21,0),MATCH('Prueba Servicios Moviles'!H$17,'Ingresos minoristas'!$D$12:$L$12,0))</f>
        <v>4950000000.000001</v>
      </c>
      <c r="I20" s="109">
        <f>INDEX('Ingresos minoristas'!$D$13:$L$21,MATCH('Prueba Servicios Moviles'!$B$20,'Ingresos minoristas'!$C$13:$C$21,0),MATCH('Prueba Servicios Moviles'!I$17,'Ingresos minoristas'!$D$12:$L$12,0))</f>
        <v>4950000000.000001</v>
      </c>
      <c r="J20" s="139"/>
      <c r="K20" s="109">
        <f>INDEX('Ingresos minoristas'!$D$13:$L$21,MATCH('Prueba Servicios Moviles'!$B$20,'Ingresos minoristas'!$C$13:$C$21,0),MATCH('Prueba Servicios Moviles'!K$17,'Ingresos minoristas'!$D$12:$L$12,0))</f>
        <v>2716666666.6666665</v>
      </c>
      <c r="L20" s="109">
        <f>INDEX('Ingresos minoristas'!$D$13:$L$21,MATCH('Prueba Servicios Moviles'!$B$20,'Ingresos minoristas'!$C$13:$C$21,0),MATCH('Prueba Servicios Moviles'!L$17,'Ingresos minoristas'!$D$12:$L$12,0))</f>
        <v>2716666666.6666665</v>
      </c>
      <c r="M20" s="109">
        <f>INDEX('Ingresos minoristas'!$D$13:$L$21,MATCH('Prueba Servicios Moviles'!$B$20,'Ingresos minoristas'!$C$13:$C$21,0),MATCH('Prueba Servicios Moviles'!M$17,'Ingresos minoristas'!$D$12:$L$12,0))</f>
        <v>2716666666.6666665</v>
      </c>
      <c r="Q20" s="31"/>
    </row>
    <row r="21" spans="2:17" x14ac:dyDescent="0.2">
      <c r="B21" s="40" t="s">
        <v>16</v>
      </c>
      <c r="C21" s="109">
        <f>SUM(C22:C23)</f>
        <v>22624234253.846153</v>
      </c>
      <c r="D21" s="109">
        <f t="shared" ref="D21:M21" si="1">SUM(D22:D23)</f>
        <v>12001556308.762543</v>
      </c>
      <c r="E21" s="109">
        <f t="shared" si="1"/>
        <v>10621077945.083612</v>
      </c>
      <c r="F21" s="139"/>
      <c r="G21" s="109">
        <f t="shared" si="1"/>
        <v>4016518769.5875134</v>
      </c>
      <c r="H21" s="109">
        <f t="shared" si="1"/>
        <v>2701229480.1370611</v>
      </c>
      <c r="I21" s="109">
        <f t="shared" si="1"/>
        <v>3990118769.5875134</v>
      </c>
      <c r="J21" s="139"/>
      <c r="K21" s="109">
        <f t="shared" si="1"/>
        <v>3539737092.8056488</v>
      </c>
      <c r="L21" s="109">
        <f t="shared" si="1"/>
        <v>3539310426.1389818</v>
      </c>
      <c r="M21" s="109">
        <f t="shared" si="1"/>
        <v>3539737092.8056488</v>
      </c>
    </row>
    <row r="22" spans="2:17" x14ac:dyDescent="0.2">
      <c r="B22" s="98" t="s">
        <v>2</v>
      </c>
      <c r="C22" s="104">
        <f>INDEX(Costos!$D$11:$L$16,MATCH('Prueba Servicios Moviles'!$B$22,Costos!$C$11:$C$16,0),MATCH('Prueba Servicios Moviles'!C$17,Costos!$D$10:$L$10,0))</f>
        <v>8230334253.8461542</v>
      </c>
      <c r="D22" s="104">
        <f>INDEX(Costos!$D$11:$L$16,MATCH('Prueba Servicios Moviles'!$B$22,Costos!$C$11:$C$16,0),MATCH('Prueba Servicios Moviles'!D$17,Costos!$D$10:$L$10,0))</f>
        <v>2489956308.7625418</v>
      </c>
      <c r="E22" s="104">
        <f>INDEX(Costos!$D$11:$L$16,MATCH('Prueba Servicios Moviles'!$B$22,Costos!$C$11:$C$16,0),MATCH('Prueba Servicios Moviles'!E$17,Costos!$D$10:$L$10,0))</f>
        <v>5738777945.0836124</v>
      </c>
      <c r="F22" s="140"/>
      <c r="G22" s="104">
        <f>INDEX(Costos!$D$11:$L$16,MATCH('Prueba Servicios Moviles'!$B$22,Costos!$C$11:$C$16,0),MATCH('Prueba Servicios Moviles'!G$17,Costos!$D$10:$L$10,0))</f>
        <v>845985436.25418055</v>
      </c>
      <c r="H22" s="104">
        <f>INDEX(Costos!$D$11:$L$16,MATCH('Prueba Servicios Moviles'!$B$22,Costos!$C$11:$C$16,0),MATCH('Prueba Servicios Moviles'!H$17,Costos!$D$10:$L$10,0))</f>
        <v>1073796146.8037276</v>
      </c>
      <c r="I22" s="104">
        <f>INDEX(Costos!$D$11:$L$16,MATCH('Prueba Servicios Moviles'!$B$22,Costos!$C$11:$C$16,0),MATCH('Prueba Servicios Moviles'!I$17,Costos!$D$10:$L$10,0))</f>
        <v>819585436.25418055</v>
      </c>
      <c r="J22" s="140"/>
      <c r="K22" s="104">
        <f>INDEX(Costos!$D$11:$L$16,MATCH('Prueba Servicios Moviles'!$B$22,Costos!$C$11:$C$16,0),MATCH('Prueba Servicios Moviles'!K$17,Costos!$D$10:$L$10,0))</f>
        <v>1912303759.4723153</v>
      </c>
      <c r="L22" s="104">
        <f>INDEX(Costos!$D$11:$L$16,MATCH('Prueba Servicios Moviles'!$B$22,Costos!$C$11:$C$16,0),MATCH('Prueba Servicios Moviles'!L$17,Costos!$D$10:$L$10,0))</f>
        <v>1911877092.8056486</v>
      </c>
      <c r="M22" s="104">
        <f>INDEX(Costos!$D$11:$L$16,MATCH('Prueba Servicios Moviles'!$B$22,Costos!$C$11:$C$16,0),MATCH('Prueba Servicios Moviles'!M$17,Costos!$D$10:$L$10,0))</f>
        <v>1912303759.4723153</v>
      </c>
    </row>
    <row r="23" spans="2:17" x14ac:dyDescent="0.2">
      <c r="B23" s="98" t="str">
        <f>IF(C6="EEO",'Costos aguas abajo'!$D$9,'Costos aguas abajo'!$K$9)</f>
        <v>Costos totales</v>
      </c>
      <c r="C23" s="104">
        <f>INDEX(Costos!$D$25:$L$25,1,MATCH('Prueba Servicios Moviles'!C$17,Costos!$D$24:$L$24,))</f>
        <v>14393900000</v>
      </c>
      <c r="D23" s="104">
        <f>INDEX(Costos!$D$25:$L$25,1,MATCH('Prueba Servicios Moviles'!D$17,Costos!$D$24:$L$24,))</f>
        <v>9511600000</v>
      </c>
      <c r="E23" s="104">
        <f>INDEX(Costos!$D$25:$L$25,1,MATCH('Prueba Servicios Moviles'!E$17,Costos!$D$24:$L$24,))</f>
        <v>4882300000</v>
      </c>
      <c r="F23" s="140"/>
      <c r="G23" s="104">
        <f>INDEX(Costos!$D$25:$L$25,1,MATCH('Prueba Servicios Moviles'!G$17,Costos!$D$24:$L$24,))</f>
        <v>3170533333.333333</v>
      </c>
      <c r="H23" s="104">
        <f>INDEX(Costos!$D$25:$L$25,1,MATCH('Prueba Servicios Moviles'!H$17,Costos!$D$24:$L$24,))</f>
        <v>1627433333.3333335</v>
      </c>
      <c r="I23" s="104">
        <f>INDEX(Costos!$D$25:$L$25,1,MATCH('Prueba Servicios Moviles'!I$17,Costos!$D$24:$L$24,))</f>
        <v>3170533333.333333</v>
      </c>
      <c r="J23" s="140"/>
      <c r="K23" s="104">
        <f>INDEX(Costos!$D$25:$L$25,1,MATCH('Prueba Servicios Moviles'!K$17,Costos!$D$24:$L$24,))</f>
        <v>1627433333.3333335</v>
      </c>
      <c r="L23" s="104">
        <f>INDEX(Costos!$D$25:$L$25,1,MATCH('Prueba Servicios Moviles'!L$17,Costos!$D$24:$L$24,))</f>
        <v>1627433333.3333335</v>
      </c>
      <c r="M23" s="104">
        <f>INDEX(Costos!$D$25:$L$25,1,MATCH('Prueba Servicios Moviles'!M$17,Costos!$D$24:$L$24,))</f>
        <v>1627433333.3333335</v>
      </c>
    </row>
    <row r="24" spans="2:17" x14ac:dyDescent="0.2">
      <c r="F24" s="31"/>
      <c r="J24" s="30"/>
    </row>
    <row r="25" spans="2:17" x14ac:dyDescent="0.2">
      <c r="B25" s="47"/>
      <c r="F25" s="31"/>
    </row>
    <row r="26" spans="2:17" s="21" customFormat="1" ht="15.6" customHeight="1" x14ac:dyDescent="0.2">
      <c r="B26" s="21" t="s">
        <v>140</v>
      </c>
    </row>
    <row r="27" spans="2:17" x14ac:dyDescent="0.2">
      <c r="B27" s="18"/>
    </row>
    <row r="28" spans="2:17" x14ac:dyDescent="0.2">
      <c r="I28" s="31"/>
      <c r="J28" s="31"/>
    </row>
    <row r="46" spans="2:7" x14ac:dyDescent="0.2">
      <c r="B46" s="247"/>
      <c r="C46" s="248"/>
      <c r="D46" s="248"/>
      <c r="E46" s="248"/>
      <c r="F46" s="248"/>
      <c r="G46" s="249"/>
    </row>
    <row r="47" spans="2:7" x14ac:dyDescent="0.2">
      <c r="B47" s="250"/>
      <c r="C47" s="251"/>
      <c r="D47" s="251"/>
      <c r="E47" s="251"/>
      <c r="F47" s="251"/>
      <c r="G47" s="249"/>
    </row>
    <row r="48" spans="2:7" x14ac:dyDescent="0.2">
      <c r="B48" s="252"/>
      <c r="C48" s="253"/>
      <c r="D48" s="253"/>
      <c r="E48" s="253"/>
      <c r="F48" s="253"/>
      <c r="G48" s="249"/>
    </row>
    <row r="49" spans="2:7" x14ac:dyDescent="0.2">
      <c r="B49" s="252"/>
      <c r="C49" s="253"/>
      <c r="D49" s="253"/>
      <c r="E49" s="253"/>
      <c r="F49" s="253"/>
      <c r="G49" s="249"/>
    </row>
    <row r="50" spans="2:7" x14ac:dyDescent="0.2">
      <c r="B50" s="254"/>
      <c r="C50" s="255"/>
      <c r="D50" s="255"/>
      <c r="E50" s="255"/>
      <c r="F50" s="255"/>
      <c r="G50" s="249"/>
    </row>
    <row r="51" spans="2:7" x14ac:dyDescent="0.2">
      <c r="B51" s="254"/>
      <c r="C51" s="255"/>
      <c r="D51" s="255"/>
      <c r="E51" s="255"/>
      <c r="F51" s="255"/>
      <c r="G51" s="249"/>
    </row>
    <row r="52" spans="2:7" x14ac:dyDescent="0.2">
      <c r="B52" s="249"/>
      <c r="C52" s="249"/>
      <c r="D52" s="249"/>
      <c r="E52" s="249"/>
      <c r="F52" s="249"/>
      <c r="G52" s="249"/>
    </row>
    <row r="53" spans="2:7" x14ac:dyDescent="0.2">
      <c r="B53" s="249"/>
      <c r="C53" s="249"/>
      <c r="D53" s="249"/>
      <c r="E53" s="249"/>
      <c r="F53" s="249"/>
      <c r="G53" s="249"/>
    </row>
    <row r="54" spans="2:7" x14ac:dyDescent="0.2">
      <c r="B54" s="249"/>
      <c r="C54" s="249"/>
      <c r="D54" s="249"/>
      <c r="E54" s="249"/>
      <c r="F54" s="249"/>
      <c r="G54" s="249"/>
    </row>
  </sheetData>
  <mergeCells count="4">
    <mergeCell ref="G15:I15"/>
    <mergeCell ref="K15:M15"/>
    <mergeCell ref="G13:M13"/>
    <mergeCell ref="G10:M10"/>
  </mergeCells>
  <conditionalFormatting sqref="C19:M19">
    <cfRule type="cellIs" dxfId="126" priority="11" operator="lessThan">
      <formula>0</formula>
    </cfRule>
  </conditionalFormatting>
  <conditionalFormatting sqref="C47:F47">
    <cfRule type="cellIs" dxfId="125" priority="10" operator="lessThan">
      <formula>0</formula>
    </cfRule>
  </conditionalFormatting>
  <pageMargins left="0.7" right="0.7" top="0.75" bottom="0.75" header="0.3" footer="0.3"/>
  <pageSetup paperSize="9" orientation="portrait" r:id="rId1"/>
  <ignoredErrors>
    <ignoredError sqref="K22:M23 G22:I23 C22:E23" unlocked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9" id="{592F2A29-2AC6-403D-9276-A8D1BD514FF1}">
            <xm:f>'Ofertas insignia'!$C$63='Ofertas insignia'!$D$63</xm:f>
            <x14:dxf>
              <font>
                <color theme="0"/>
              </font>
              <fill>
                <patternFill>
                  <bgColor theme="6"/>
                </patternFill>
              </fill>
            </x14:dxf>
          </x14:cfRule>
          <xm:sqref>G16:G17</xm:sqref>
        </x14:conditionalFormatting>
        <x14:conditionalFormatting xmlns:xm="http://schemas.microsoft.com/office/excel/2006/main">
          <x14:cfRule type="expression" priority="8" id="{488D4798-3D65-47B9-850E-03F4DE3F881B}">
            <xm:f>'Ofertas insignia'!$C$63&lt;&gt;'Ofertas insignia'!$D$63</xm:f>
            <x14:dxf>
              <font>
                <color theme="0"/>
              </font>
              <fill>
                <patternFill>
                  <bgColor theme="6"/>
                </patternFill>
              </fill>
            </x14:dxf>
          </x14:cfRule>
          <xm:sqref>G16:H17</xm:sqref>
        </x14:conditionalFormatting>
        <x14:conditionalFormatting xmlns:xm="http://schemas.microsoft.com/office/excel/2006/main">
          <x14:cfRule type="expression" priority="6" id="{C79B8BBF-A4E6-4428-96D7-B3A3554CECEC}">
            <xm:f>'Ofertas insignia'!$G$63&lt;&gt;'Ofertas insignia'!$H$63</xm:f>
            <x14:dxf>
              <font>
                <color theme="0"/>
              </font>
              <fill>
                <patternFill>
                  <bgColor theme="6"/>
                </patternFill>
              </fill>
            </x14:dxf>
          </x14:cfRule>
          <xm:sqref>L16</xm:sqref>
        </x14:conditionalFormatting>
        <x14:conditionalFormatting xmlns:xm="http://schemas.microsoft.com/office/excel/2006/main">
          <x14:cfRule type="expression" priority="5" id="{7DC54EFF-D0C4-4D14-AF83-70DA82B3B823}">
            <xm:f>'Ofertas insignia'!$C$63='Ofertas insignia'!$D$63</xm:f>
            <x14:dxf>
              <font>
                <color theme="0"/>
              </font>
              <fill>
                <patternFill>
                  <bgColor theme="6"/>
                </patternFill>
              </fill>
            </x14:dxf>
          </x14:cfRule>
          <xm:sqref>K16</xm:sqref>
        </x14:conditionalFormatting>
        <x14:conditionalFormatting xmlns:xm="http://schemas.microsoft.com/office/excel/2006/main">
          <x14:cfRule type="expression" priority="4" id="{8EDFED2F-6502-42A0-A298-79800F3B764E}">
            <xm:f>'Ofertas insignia'!$C$63&lt;&gt;'Ofertas insignia'!$D$63</xm:f>
            <x14:dxf>
              <font>
                <color theme="0"/>
              </font>
              <fill>
                <patternFill>
                  <bgColor theme="6"/>
                </patternFill>
              </fill>
            </x14:dxf>
          </x14:cfRule>
          <xm:sqref>K16</xm:sqref>
        </x14:conditionalFormatting>
        <x14:conditionalFormatting xmlns:xm="http://schemas.microsoft.com/office/excel/2006/main">
          <x14:cfRule type="expression" priority="3" id="{E282CDA5-1944-4319-8608-2B51D58E536B}">
            <xm:f>'Ofertas insignia'!$C$63='Ofertas insignia'!$D$63</xm:f>
            <x14:dxf>
              <font>
                <color theme="0"/>
              </font>
              <fill>
                <patternFill>
                  <bgColor theme="6"/>
                </patternFill>
              </fill>
            </x14:dxf>
          </x14:cfRule>
          <xm:sqref>K17</xm:sqref>
        </x14:conditionalFormatting>
        <x14:conditionalFormatting xmlns:xm="http://schemas.microsoft.com/office/excel/2006/main">
          <x14:cfRule type="expression" priority="2" id="{4E876F9A-9675-4805-8163-2753C99E7A5C}">
            <xm:f>'Ofertas insignia'!$C$63&lt;&gt;'Ofertas insignia'!$D$63</xm:f>
            <x14:dxf>
              <font>
                <color theme="0"/>
              </font>
              <fill>
                <patternFill>
                  <bgColor theme="6"/>
                </patternFill>
              </fill>
            </x14:dxf>
          </x14:cfRule>
          <xm:sqref>K17</xm:sqref>
        </x14:conditionalFormatting>
        <x14:conditionalFormatting xmlns:xm="http://schemas.microsoft.com/office/excel/2006/main">
          <x14:cfRule type="expression" priority="1" id="{1B198993-71DA-4024-BD4F-F6D7B408FA98}">
            <xm:f>'Ofertas insignia'!$C$63&lt;&gt;'Ofertas insignia'!$D$63</xm:f>
            <x14:dxf>
              <font>
                <color theme="0"/>
              </font>
              <fill>
                <patternFill>
                  <bgColor theme="6"/>
                </patternFill>
              </fill>
            </x14:dxf>
          </x14:cfRule>
          <xm:sqref>L17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FE8B8D9-9524-4129-87BC-C7C09761149F}">
          <x14:formula1>
            <xm:f>Supuestos!$B$70:$B$71</xm:f>
          </x14:formula1>
          <xm:sqref>C6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FE1A7A-4403-408B-B0B2-784D708FD1AB}">
  <sheetPr codeName="Sheet6">
    <tabColor theme="6"/>
  </sheetPr>
  <dimension ref="C13"/>
  <sheetViews>
    <sheetView showGridLines="0" topLeftCell="A4" workbookViewId="0">
      <selection activeCell="A4" sqref="A4"/>
    </sheetView>
  </sheetViews>
  <sheetFormatPr baseColWidth="10" defaultColWidth="8.7109375" defaultRowHeight="12.75" x14ac:dyDescent="0.2"/>
  <cols>
    <col min="1" max="16384" width="8.7109375" style="10"/>
  </cols>
  <sheetData>
    <row r="13" spans="3:3" ht="27.75" x14ac:dyDescent="0.4">
      <c r="C13" s="9" t="s">
        <v>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62AFD3-04E1-45CA-BA09-535E9B28DCDB}">
  <sheetPr codeName="Sheet7">
    <tabColor theme="5" tint="0.39997558519241921"/>
  </sheetPr>
  <dimension ref="B1:L25"/>
  <sheetViews>
    <sheetView showGridLines="0" zoomScaleNormal="100" workbookViewId="0"/>
  </sheetViews>
  <sheetFormatPr baseColWidth="10" defaultColWidth="8.7109375" defaultRowHeight="12.75" x14ac:dyDescent="0.2"/>
  <cols>
    <col min="1" max="1" width="1.7109375" style="6" customWidth="1"/>
    <col min="2" max="2" width="8.7109375" style="6"/>
    <col min="3" max="3" width="47.28515625" style="6" customWidth="1"/>
    <col min="4" max="4" width="22.85546875" style="6" customWidth="1"/>
    <col min="5" max="5" width="20.7109375" style="6" customWidth="1"/>
    <col min="6" max="6" width="21.28515625" style="6" customWidth="1"/>
    <col min="7" max="12" width="16.42578125" style="6" customWidth="1"/>
    <col min="13" max="16384" width="8.7109375" style="6"/>
  </cols>
  <sheetData>
    <row r="1" spans="2:12" s="1" customFormat="1" ht="20.25" x14ac:dyDescent="0.3">
      <c r="B1" s="1" t="s">
        <v>131</v>
      </c>
    </row>
    <row r="3" spans="2:12" ht="20.100000000000001" customHeight="1" x14ac:dyDescent="0.2">
      <c r="C3" s="17" t="s">
        <v>24</v>
      </c>
    </row>
    <row r="5" spans="2:12" x14ac:dyDescent="0.2">
      <c r="C5" s="19" t="s">
        <v>25</v>
      </c>
      <c r="D5" s="105" t="s">
        <v>26</v>
      </c>
      <c r="E5" s="86"/>
      <c r="F5" s="105" t="s">
        <v>27</v>
      </c>
    </row>
    <row r="6" spans="2:12" x14ac:dyDescent="0.2">
      <c r="C6"/>
      <c r="D6" s="101">
        <f>Supuestos!$C$5</f>
        <v>44652</v>
      </c>
      <c r="E6" s="107"/>
      <c r="F6" s="101">
        <f>Supuestos!$C$6</f>
        <v>44742</v>
      </c>
    </row>
    <row r="7" spans="2:12" x14ac:dyDescent="0.2">
      <c r="C7"/>
    </row>
    <row r="8" spans="2:12" ht="30" customHeight="1" x14ac:dyDescent="0.2">
      <c r="C8" s="496" t="s">
        <v>129</v>
      </c>
      <c r="D8" s="497"/>
      <c r="E8" s="497"/>
      <c r="F8" s="498"/>
    </row>
    <row r="10" spans="2:12" s="21" customFormat="1" ht="15.6" customHeight="1" x14ac:dyDescent="0.2">
      <c r="B10" s="21" t="s">
        <v>130</v>
      </c>
    </row>
    <row r="12" spans="2:12" ht="43.15" customHeight="1" x14ac:dyDescent="0.2">
      <c r="C12" s="47" t="s">
        <v>28</v>
      </c>
      <c r="D12" s="28" t="str">
        <f>Supuestos!B$75</f>
        <v>Todos los segmentos</v>
      </c>
      <c r="E12" s="28" t="str">
        <f>Supuestos!B$76</f>
        <v>Segmento Prepago</v>
      </c>
      <c r="F12" s="28" t="str">
        <f>Supuestos!B$77</f>
        <v>Segmento Pospago</v>
      </c>
      <c r="G12" s="28" t="str">
        <f>Supuestos!B$78</f>
        <v>Telcel Prepago 1</v>
      </c>
      <c r="H12" s="28" t="str">
        <f>Supuestos!B$79</f>
        <v>Telcel Prepago 2</v>
      </c>
      <c r="I12" s="28" t="str">
        <f>Supuestos!B$80</f>
        <v>Telcel Prepago 3</v>
      </c>
      <c r="J12" s="28" t="str">
        <f>Supuestos!B$81</f>
        <v>Telcel Pospago 1</v>
      </c>
      <c r="K12" s="28" t="str">
        <f>Supuestos!B$82</f>
        <v>Telcel Pospago 8</v>
      </c>
      <c r="L12" s="28" t="str">
        <f>Supuestos!B$83</f>
        <v>Telcel Pospago 4</v>
      </c>
    </row>
    <row r="13" spans="2:12" x14ac:dyDescent="0.2">
      <c r="C13" s="6" t="str">
        <f>'Informacion del AEP'!$C13</f>
        <v>Pago recurrente</v>
      </c>
      <c r="D13" s="104">
        <f>INDEX('Informacion del AEP'!$D$13:$N$20,MATCH('Ingresos minoristas'!$C13,'Informacion del AEP'!$C$13:$C$20,0),MATCH('Ingresos minoristas'!D$12,'Informacion del AEP'!$D$11:$N$11,0))</f>
        <v>20000000</v>
      </c>
      <c r="E13" s="104">
        <f>INDEX('Informacion del AEP'!$D$13:$N$20,MATCH('Ingresos minoristas'!$C13,'Informacion del AEP'!$C$13:$C$20,0),MATCH('Ingresos minoristas'!E$12,'Informacion del AEP'!$D$11:$N$11,0))</f>
        <v>0</v>
      </c>
      <c r="F13" s="104">
        <f>INDEX('Informacion del AEP'!$D$13:$N$20,MATCH('Ingresos minoristas'!$C13,'Informacion del AEP'!$C$13:$C$20,0),MATCH('Ingresos minoristas'!F$12,'Informacion del AEP'!$D$11:$N$11,0))</f>
        <v>20000000</v>
      </c>
      <c r="G13" s="104">
        <f>INDEX('Informacion del AEP'!$D$13:$N$20,MATCH('Ingresos minoristas'!$C13,'Informacion del AEP'!$C$13:$C$20,0),MATCH('Ingresos minoristas'!G$12,'Informacion del AEP'!$D$11:$N$11,0))</f>
        <v>0</v>
      </c>
      <c r="H13" s="104">
        <f>INDEX('Informacion del AEP'!$D$13:$N$20,MATCH('Ingresos minoristas'!$C13,'Informacion del AEP'!$C$13:$C$20,0),MATCH('Ingresos minoristas'!H$12,'Informacion del AEP'!$D$11:$N$11,0))</f>
        <v>0</v>
      </c>
      <c r="I13" s="104">
        <f>INDEX('Informacion del AEP'!$D$13:$N$20,MATCH('Ingresos minoristas'!$C13,'Informacion del AEP'!$C$13:$C$20,0),MATCH('Ingresos minoristas'!I$12,'Informacion del AEP'!$D$11:$N$11,0))</f>
        <v>0</v>
      </c>
      <c r="J13" s="104">
        <f>INDEX('Informacion del AEP'!$D$13:$N$20,MATCH('Ingresos minoristas'!$C13,'Informacion del AEP'!$C$13:$C$20,0),MATCH('Ingresos minoristas'!J$12,'Informacion del AEP'!$D$11:$N$11,0))</f>
        <v>6666666.666666667</v>
      </c>
      <c r="K13" s="104">
        <f>INDEX('Informacion del AEP'!$D$13:$N$20,MATCH('Ingresos minoristas'!$C13,'Informacion del AEP'!$C$13:$C$20,0),MATCH('Ingresos minoristas'!K$12,'Informacion del AEP'!$D$11:$N$11,0))</f>
        <v>6666666.666666667</v>
      </c>
      <c r="L13" s="104">
        <f>INDEX('Informacion del AEP'!$D$13:$N$20,MATCH('Ingresos minoristas'!$C13,'Informacion del AEP'!$C$13:$C$20,0),MATCH('Ingresos minoristas'!L$12,'Informacion del AEP'!$D$11:$N$11,0))</f>
        <v>6666666.666666667</v>
      </c>
    </row>
    <row r="14" spans="2:12" x14ac:dyDescent="0.2">
      <c r="C14" s="6" t="str">
        <f>'Informacion del AEP'!$C14</f>
        <v>Servicio de Telefonía Móvil - voz</v>
      </c>
      <c r="D14" s="104">
        <f>INDEX('Informacion del AEP'!$D$13:$N$20,MATCH('Ingresos minoristas'!$C14,'Informacion del AEP'!$C$13:$C$20,0),MATCH('Ingresos minoristas'!D$12,'Informacion del AEP'!$D$11:$N$11,0))</f>
        <v>1080000000</v>
      </c>
      <c r="E14" s="104">
        <f>INDEX('Informacion del AEP'!$D$13:$N$20,MATCH('Ingresos minoristas'!$C14,'Informacion del AEP'!$C$13:$C$20,0),MATCH('Ingresos minoristas'!E$12,'Informacion del AEP'!$D$11:$N$11,0))</f>
        <v>1000000000</v>
      </c>
      <c r="F14" s="104">
        <f>INDEX('Informacion del AEP'!$D$13:$N$20,MATCH('Ingresos minoristas'!$C14,'Informacion del AEP'!$C$13:$C$20,0),MATCH('Ingresos minoristas'!F$12,'Informacion del AEP'!$D$11:$N$11,0))</f>
        <v>80000000</v>
      </c>
      <c r="G14" s="104">
        <f>INDEX('Informacion del AEP'!$D$13:$N$20,MATCH('Ingresos minoristas'!$C14,'Informacion del AEP'!$C$13:$C$20,0),MATCH('Ingresos minoristas'!G$12,'Informacion del AEP'!$D$11:$N$11,0))</f>
        <v>333333333.33333331</v>
      </c>
      <c r="H14" s="104">
        <f>INDEX('Informacion del AEP'!$D$13:$N$20,MATCH('Ingresos minoristas'!$C14,'Informacion del AEP'!$C$13:$C$20,0),MATCH('Ingresos minoristas'!H$12,'Informacion del AEP'!$D$11:$N$11,0))</f>
        <v>333333333.33333331</v>
      </c>
      <c r="I14" s="104">
        <f>INDEX('Informacion del AEP'!$D$13:$N$20,MATCH('Ingresos minoristas'!$C14,'Informacion del AEP'!$C$13:$C$20,0),MATCH('Ingresos minoristas'!I$12,'Informacion del AEP'!$D$11:$N$11,0))</f>
        <v>333333333.33333331</v>
      </c>
      <c r="J14" s="104">
        <f>INDEX('Informacion del AEP'!$D$13:$N$20,MATCH('Ingresos minoristas'!$C14,'Informacion del AEP'!$C$13:$C$20,0),MATCH('Ingresos minoristas'!J$12,'Informacion del AEP'!$D$11:$N$11,0))</f>
        <v>26666666.666666668</v>
      </c>
      <c r="K14" s="104">
        <f>INDEX('Informacion del AEP'!$D$13:$N$20,MATCH('Ingresos minoristas'!$C14,'Informacion del AEP'!$C$13:$C$20,0),MATCH('Ingresos minoristas'!K$12,'Informacion del AEP'!$D$11:$N$11,0))</f>
        <v>26666666.666666668</v>
      </c>
      <c r="L14" s="104">
        <f>INDEX('Informacion del AEP'!$D$13:$N$20,MATCH('Ingresos minoristas'!$C14,'Informacion del AEP'!$C$13:$C$20,0),MATCH('Ingresos minoristas'!L$12,'Informacion del AEP'!$D$11:$N$11,0))</f>
        <v>26666666.666666668</v>
      </c>
    </row>
    <row r="15" spans="2:12" x14ac:dyDescent="0.2">
      <c r="C15" s="6" t="str">
        <f>'Informacion del AEP'!$C15</f>
        <v>Servicio de Acceso a Internet Móvil</v>
      </c>
      <c r="D15" s="104">
        <f>INDEX('Informacion del AEP'!$D$13:$N$20,MATCH('Ingresos minoristas'!$C15,'Informacion del AEP'!$C$13:$C$20,0),MATCH('Ingresos minoristas'!D$12,'Informacion del AEP'!$D$11:$N$11,0))</f>
        <v>10000000000</v>
      </c>
      <c r="E15" s="104">
        <f>INDEX('Informacion del AEP'!$D$13:$N$20,MATCH('Ingresos minoristas'!$C15,'Informacion del AEP'!$C$13:$C$20,0),MATCH('Ingresos minoristas'!E$12,'Informacion del AEP'!$D$11:$N$11,0))</f>
        <v>7000000000</v>
      </c>
      <c r="F15" s="104">
        <f>INDEX('Informacion del AEP'!$D$13:$N$20,MATCH('Ingresos minoristas'!$C15,'Informacion del AEP'!$C$13:$C$20,0),MATCH('Ingresos minoristas'!F$12,'Informacion del AEP'!$D$11:$N$11,0))</f>
        <v>3000000000</v>
      </c>
      <c r="G15" s="104">
        <f>INDEX('Informacion del AEP'!$D$13:$N$20,MATCH('Ingresos minoristas'!$C15,'Informacion del AEP'!$C$13:$C$20,0),MATCH('Ingresos minoristas'!G$12,'Informacion del AEP'!$D$11:$N$11,0))</f>
        <v>2333333333.3333335</v>
      </c>
      <c r="H15" s="104">
        <f>INDEX('Informacion del AEP'!$D$13:$N$20,MATCH('Ingresos minoristas'!$C15,'Informacion del AEP'!$C$13:$C$20,0),MATCH('Ingresos minoristas'!H$12,'Informacion del AEP'!$D$11:$N$11,0))</f>
        <v>2333333333.3333335</v>
      </c>
      <c r="I15" s="104">
        <f>INDEX('Informacion del AEP'!$D$13:$N$20,MATCH('Ingresos minoristas'!$C15,'Informacion del AEP'!$C$13:$C$20,0),MATCH('Ingresos minoristas'!I$12,'Informacion del AEP'!$D$11:$N$11,0))</f>
        <v>2333333333.3333335</v>
      </c>
      <c r="J15" s="104">
        <f>INDEX('Informacion del AEP'!$D$13:$N$20,MATCH('Ingresos minoristas'!$C15,'Informacion del AEP'!$C$13:$C$20,0),MATCH('Ingresos minoristas'!J$12,'Informacion del AEP'!$D$11:$N$11,0))</f>
        <v>1000000000</v>
      </c>
      <c r="K15" s="104">
        <f>INDEX('Informacion del AEP'!$D$13:$N$20,MATCH('Ingresos minoristas'!$C15,'Informacion del AEP'!$C$13:$C$20,0),MATCH('Ingresos minoristas'!K$12,'Informacion del AEP'!$D$11:$N$11,0))</f>
        <v>1000000000</v>
      </c>
      <c r="L15" s="104">
        <f>INDEX('Informacion del AEP'!$D$13:$N$20,MATCH('Ingresos minoristas'!$C15,'Informacion del AEP'!$C$13:$C$20,0),MATCH('Ingresos minoristas'!L$12,'Informacion del AEP'!$D$11:$N$11,0))</f>
        <v>1000000000</v>
      </c>
    </row>
    <row r="16" spans="2:12" x14ac:dyDescent="0.2">
      <c r="C16" s="6" t="str">
        <f>'Informacion del AEP'!$C16</f>
        <v>Servicio de Telefonía Móvil - mensajes</v>
      </c>
      <c r="D16" s="104">
        <f>INDEX('Informacion del AEP'!$D$13:$N$20,MATCH('Ingresos minoristas'!$C16,'Informacion del AEP'!$C$13:$C$20,0),MATCH('Ingresos minoristas'!D$12,'Informacion del AEP'!$D$11:$N$11,0))</f>
        <v>900000000</v>
      </c>
      <c r="E16" s="104">
        <f>INDEX('Informacion del AEP'!$D$13:$N$20,MATCH('Ingresos minoristas'!$C16,'Informacion del AEP'!$C$13:$C$20,0),MATCH('Ingresos minoristas'!E$12,'Informacion del AEP'!$D$11:$N$11,0))</f>
        <v>800000000</v>
      </c>
      <c r="F16" s="104">
        <f>INDEX('Informacion del AEP'!$D$13:$N$20,MATCH('Ingresos minoristas'!$C16,'Informacion del AEP'!$C$13:$C$20,0),MATCH('Ingresos minoristas'!F$12,'Informacion del AEP'!$D$11:$N$11,0))</f>
        <v>100000000</v>
      </c>
      <c r="G16" s="104">
        <f>INDEX('Informacion del AEP'!$D$13:$N$20,MATCH('Ingresos minoristas'!$C16,'Informacion del AEP'!$C$13:$C$20,0),MATCH('Ingresos minoristas'!G$12,'Informacion del AEP'!$D$11:$N$11,0))</f>
        <v>266666666.66666666</v>
      </c>
      <c r="H16" s="104">
        <f>INDEX('Informacion del AEP'!$D$13:$N$20,MATCH('Ingresos minoristas'!$C16,'Informacion del AEP'!$C$13:$C$20,0),MATCH('Ingresos minoristas'!H$12,'Informacion del AEP'!$D$11:$N$11,0))</f>
        <v>266666666.66666666</v>
      </c>
      <c r="I16" s="104">
        <f>INDEX('Informacion del AEP'!$D$13:$N$20,MATCH('Ingresos minoristas'!$C16,'Informacion del AEP'!$C$13:$C$20,0),MATCH('Ingresos minoristas'!I$12,'Informacion del AEP'!$D$11:$N$11,0))</f>
        <v>266666666.66666666</v>
      </c>
      <c r="J16" s="104">
        <f>INDEX('Informacion del AEP'!$D$13:$N$20,MATCH('Ingresos minoristas'!$C16,'Informacion del AEP'!$C$13:$C$20,0),MATCH('Ingresos minoristas'!J$12,'Informacion del AEP'!$D$11:$N$11,0))</f>
        <v>33333333.333333332</v>
      </c>
      <c r="K16" s="104">
        <f>INDEX('Informacion del AEP'!$D$13:$N$20,MATCH('Ingresos minoristas'!$C16,'Informacion del AEP'!$C$13:$C$20,0),MATCH('Ingresos minoristas'!K$12,'Informacion del AEP'!$D$11:$N$11,0))</f>
        <v>33333333.333333332</v>
      </c>
      <c r="L16" s="104">
        <f>INDEX('Informacion del AEP'!$D$13:$N$20,MATCH('Ingresos minoristas'!$C16,'Informacion del AEP'!$C$13:$C$20,0),MATCH('Ingresos minoristas'!L$12,'Informacion del AEP'!$D$11:$N$11,0))</f>
        <v>33333333.333333332</v>
      </c>
    </row>
    <row r="17" spans="3:12" x14ac:dyDescent="0.2">
      <c r="C17" s="6" t="str">
        <f>'Informacion del AEP'!$C17</f>
        <v>Servicios OTT de vídeo</v>
      </c>
      <c r="D17" s="104">
        <f>INDEX('Informacion del AEP'!$D$13:$N$20,MATCH('Ingresos minoristas'!$C17,'Informacion del AEP'!$C$13:$C$20,0),MATCH('Ingresos minoristas'!D$12,'Informacion del AEP'!$D$11:$N$11,0))</f>
        <v>0</v>
      </c>
      <c r="E17" s="104">
        <f>INDEX('Informacion del AEP'!$D$13:$N$20,MATCH('Ingresos minoristas'!$C17,'Informacion del AEP'!$C$13:$C$20,0),MATCH('Ingresos minoristas'!E$12,'Informacion del AEP'!$D$11:$N$11,0))</f>
        <v>0</v>
      </c>
      <c r="F17" s="104">
        <f>INDEX('Informacion del AEP'!$D$13:$N$20,MATCH('Ingresos minoristas'!$C17,'Informacion del AEP'!$C$13:$C$20,0),MATCH('Ingresos minoristas'!F$12,'Informacion del AEP'!$D$11:$N$11,0))</f>
        <v>0</v>
      </c>
      <c r="G17" s="104">
        <f>INDEX('Informacion del AEP'!$D$13:$N$20,MATCH('Ingresos minoristas'!$C17,'Informacion del AEP'!$C$13:$C$20,0),MATCH('Ingresos minoristas'!G$12,'Informacion del AEP'!$D$11:$N$11,0))</f>
        <v>0</v>
      </c>
      <c r="H17" s="104">
        <f>INDEX('Informacion del AEP'!$D$13:$N$20,MATCH('Ingresos minoristas'!$C17,'Informacion del AEP'!$C$13:$C$20,0),MATCH('Ingresos minoristas'!H$12,'Informacion del AEP'!$D$11:$N$11,0))</f>
        <v>0</v>
      </c>
      <c r="I17" s="104">
        <f>INDEX('Informacion del AEP'!$D$13:$N$20,MATCH('Ingresos minoristas'!$C17,'Informacion del AEP'!$C$13:$C$20,0),MATCH('Ingresos minoristas'!I$12,'Informacion del AEP'!$D$11:$N$11,0))</f>
        <v>0</v>
      </c>
      <c r="J17" s="104">
        <f>INDEX('Informacion del AEP'!$D$13:$N$20,MATCH('Ingresos minoristas'!$C17,'Informacion del AEP'!$C$13:$C$20,0),MATCH('Ingresos minoristas'!J$12,'Informacion del AEP'!$D$11:$N$11,0))</f>
        <v>0</v>
      </c>
      <c r="K17" s="104">
        <f>INDEX('Informacion del AEP'!$D$13:$N$20,MATCH('Ingresos minoristas'!$C17,'Informacion del AEP'!$C$13:$C$20,0),MATCH('Ingresos minoristas'!K$12,'Informacion del AEP'!$D$11:$N$11,0))</f>
        <v>0</v>
      </c>
      <c r="L17" s="104">
        <f>INDEX('Informacion del AEP'!$D$13:$N$20,MATCH('Ingresos minoristas'!$C17,'Informacion del AEP'!$C$13:$C$20,0),MATCH('Ingresos minoristas'!L$12,'Informacion del AEP'!$D$11:$N$11,0))</f>
        <v>0</v>
      </c>
    </row>
    <row r="18" spans="3:12" x14ac:dyDescent="0.2">
      <c r="C18" s="6" t="str">
        <f>'Informacion del AEP'!$C18</f>
        <v>Servicios OTT de audio</v>
      </c>
      <c r="D18" s="104">
        <f>INDEX('Informacion del AEP'!$D$13:$N$20,MATCH('Ingresos minoristas'!$C18,'Informacion del AEP'!$C$13:$C$20,0),MATCH('Ingresos minoristas'!D$12,'Informacion del AEP'!$D$11:$N$11,0))</f>
        <v>0</v>
      </c>
      <c r="E18" s="104">
        <f>INDEX('Informacion del AEP'!$D$13:$N$20,MATCH('Ingresos minoristas'!$C18,'Informacion del AEP'!$C$13:$C$20,0),MATCH('Ingresos minoristas'!E$12,'Informacion del AEP'!$D$11:$N$11,0))</f>
        <v>0</v>
      </c>
      <c r="F18" s="104">
        <f>INDEX('Informacion del AEP'!$D$13:$N$20,MATCH('Ingresos minoristas'!$C18,'Informacion del AEP'!$C$13:$C$20,0),MATCH('Ingresos minoristas'!F$12,'Informacion del AEP'!$D$11:$N$11,0))</f>
        <v>0</v>
      </c>
      <c r="G18" s="104">
        <f>INDEX('Informacion del AEP'!$D$13:$N$20,MATCH('Ingresos minoristas'!$C18,'Informacion del AEP'!$C$13:$C$20,0),MATCH('Ingresos minoristas'!G$12,'Informacion del AEP'!$D$11:$N$11,0))</f>
        <v>0</v>
      </c>
      <c r="H18" s="104">
        <f>INDEX('Informacion del AEP'!$D$13:$N$20,MATCH('Ingresos minoristas'!$C18,'Informacion del AEP'!$C$13:$C$20,0),MATCH('Ingresos minoristas'!H$12,'Informacion del AEP'!$D$11:$N$11,0))</f>
        <v>0</v>
      </c>
      <c r="I18" s="104">
        <f>INDEX('Informacion del AEP'!$D$13:$N$20,MATCH('Ingresos minoristas'!$C18,'Informacion del AEP'!$C$13:$C$20,0),MATCH('Ingresos minoristas'!I$12,'Informacion del AEP'!$D$11:$N$11,0))</f>
        <v>0</v>
      </c>
      <c r="J18" s="104">
        <f>INDEX('Informacion del AEP'!$D$13:$N$20,MATCH('Ingresos minoristas'!$C18,'Informacion del AEP'!$C$13:$C$20,0),MATCH('Ingresos minoristas'!J$12,'Informacion del AEP'!$D$11:$N$11,0))</f>
        <v>0</v>
      </c>
      <c r="K18" s="104">
        <f>INDEX('Informacion del AEP'!$D$13:$N$20,MATCH('Ingresos minoristas'!$C18,'Informacion del AEP'!$C$13:$C$20,0),MATCH('Ingresos minoristas'!K$12,'Informacion del AEP'!$D$11:$N$11,0))</f>
        <v>0</v>
      </c>
      <c r="L18" s="104">
        <f>INDEX('Informacion del AEP'!$D$13:$N$20,MATCH('Ingresos minoristas'!$C18,'Informacion del AEP'!$C$13:$C$20,0),MATCH('Ingresos minoristas'!L$12,'Informacion del AEP'!$D$11:$N$11,0))</f>
        <v>0</v>
      </c>
    </row>
    <row r="19" spans="3:12" x14ac:dyDescent="0.2">
      <c r="C19" s="6" t="str">
        <f>'Informacion del AEP'!$C19</f>
        <v>Venta de equipos terminales</v>
      </c>
      <c r="D19" s="104">
        <f>INDEX('Informacion del AEP'!$D$13:$N$20,MATCH('Ingresos minoristas'!$C19,'Informacion del AEP'!$C$13:$C$20,0),MATCH('Ingresos minoristas'!D$12,'Informacion del AEP'!$D$11:$N$11,0))</f>
        <v>10000000000</v>
      </c>
      <c r="E19" s="104">
        <f>INDEX('Informacion del AEP'!$D$13:$N$20,MATCH('Ingresos minoristas'!$C19,'Informacion del AEP'!$C$13:$C$20,0),MATCH('Ingresos minoristas'!E$12,'Informacion del AEP'!$D$11:$N$11,0))</f>
        <v>6000000000</v>
      </c>
      <c r="F19" s="104">
        <f>INDEX('Informacion del AEP'!$D$13:$N$20,MATCH('Ingresos minoristas'!$C19,'Informacion del AEP'!$C$13:$C$20,0),MATCH('Ingresos minoristas'!F$12,'Informacion del AEP'!$D$11:$N$11,0))</f>
        <v>4000000000</v>
      </c>
      <c r="G19" s="104">
        <f>INDEX('Informacion del AEP'!$D$13:$N$20,MATCH('Ingresos minoristas'!$C19,'Informacion del AEP'!$C$13:$C$20,0),MATCH('Ingresos minoristas'!G$12,'Informacion del AEP'!$D$11:$N$11,0))</f>
        <v>2000000000</v>
      </c>
      <c r="H19" s="104">
        <f>INDEX('Informacion del AEP'!$D$13:$N$20,MATCH('Ingresos minoristas'!$C19,'Informacion del AEP'!$C$13:$C$20,0),MATCH('Ingresos minoristas'!H$12,'Informacion del AEP'!$D$11:$N$11,0))</f>
        <v>2000000000</v>
      </c>
      <c r="I19" s="104">
        <f>INDEX('Informacion del AEP'!$D$13:$N$20,MATCH('Ingresos minoristas'!$C19,'Informacion del AEP'!$C$13:$C$20,0),MATCH('Ingresos minoristas'!I$12,'Informacion del AEP'!$D$11:$N$11,0))</f>
        <v>2000000000</v>
      </c>
      <c r="J19" s="104">
        <f>INDEX('Informacion del AEP'!$D$13:$N$20,MATCH('Ingresos minoristas'!$C19,'Informacion del AEP'!$C$13:$C$20,0),MATCH('Ingresos minoristas'!J$12,'Informacion del AEP'!$D$11:$N$11,0))</f>
        <v>1333333333.3333333</v>
      </c>
      <c r="K19" s="104">
        <f>INDEX('Informacion del AEP'!$D$13:$N$20,MATCH('Ingresos minoristas'!$C19,'Informacion del AEP'!$C$13:$C$20,0),MATCH('Ingresos minoristas'!K$12,'Informacion del AEP'!$D$11:$N$11,0))</f>
        <v>1333333333.3333333</v>
      </c>
      <c r="L19" s="104">
        <f>INDEX('Informacion del AEP'!$D$13:$N$20,MATCH('Ingresos minoristas'!$C19,'Informacion del AEP'!$C$13:$C$20,0),MATCH('Ingresos minoristas'!L$12,'Informacion del AEP'!$D$11:$N$11,0))</f>
        <v>1333333333.3333333</v>
      </c>
    </row>
    <row r="20" spans="3:12" x14ac:dyDescent="0.2">
      <c r="C20" s="6" t="str">
        <f>'Informacion del AEP'!$C20</f>
        <v>Otros servicios minoristas</v>
      </c>
      <c r="D20" s="104">
        <f>INDEX('Informacion del AEP'!$D$13:$N$20,MATCH('Ingresos minoristas'!$C20,'Informacion del AEP'!$C$13:$C$20,0),MATCH('Ingresos minoristas'!D$12,'Informacion del AEP'!$D$11:$N$11,0))</f>
        <v>1000000000</v>
      </c>
      <c r="E20" s="104">
        <f>INDEX('Informacion del AEP'!$D$13:$N$20,MATCH('Ingresos minoristas'!$C20,'Informacion del AEP'!$C$13:$C$20,0),MATCH('Ingresos minoristas'!E$12,'Informacion del AEP'!$D$11:$N$11,0))</f>
        <v>50000000</v>
      </c>
      <c r="F20" s="104">
        <f>INDEX('Informacion del AEP'!$D$13:$N$20,MATCH('Ingresos minoristas'!$C20,'Informacion del AEP'!$C$13:$C$20,0),MATCH('Ingresos minoristas'!F$12,'Informacion del AEP'!$D$11:$N$11,0))</f>
        <v>950000000</v>
      </c>
      <c r="G20" s="104">
        <f>INDEX('Informacion del AEP'!$D$13:$N$20,MATCH('Ingresos minoristas'!$C20,'Informacion del AEP'!$C$13:$C$20,0),MATCH('Ingresos minoristas'!G$12,'Informacion del AEP'!$D$11:$N$11,0))</f>
        <v>16666666.666666666</v>
      </c>
      <c r="H20" s="104">
        <f>INDEX('Informacion del AEP'!$D$13:$N$20,MATCH('Ingresos minoristas'!$C20,'Informacion del AEP'!$C$13:$C$20,0),MATCH('Ingresos minoristas'!H$12,'Informacion del AEP'!$D$11:$N$11,0))</f>
        <v>16666666.666666666</v>
      </c>
      <c r="I20" s="104">
        <f>INDEX('Informacion del AEP'!$D$13:$N$20,MATCH('Ingresos minoristas'!$C20,'Informacion del AEP'!$C$13:$C$20,0),MATCH('Ingresos minoristas'!I$12,'Informacion del AEP'!$D$11:$N$11,0))</f>
        <v>16666666.666666666</v>
      </c>
      <c r="J20" s="104">
        <f>INDEX('Informacion del AEP'!$D$13:$N$20,MATCH('Ingresos minoristas'!$C20,'Informacion del AEP'!$C$13:$C$20,0),MATCH('Ingresos minoristas'!J$12,'Informacion del AEP'!$D$11:$N$11,0))</f>
        <v>316666666.66666669</v>
      </c>
      <c r="K20" s="104">
        <f>INDEX('Informacion del AEP'!$D$13:$N$20,MATCH('Ingresos minoristas'!$C20,'Informacion del AEP'!$C$13:$C$20,0),MATCH('Ingresos minoristas'!K$12,'Informacion del AEP'!$D$11:$N$11,0))</f>
        <v>316666666.66666669</v>
      </c>
      <c r="L20" s="104">
        <f>INDEX('Informacion del AEP'!$D$13:$N$20,MATCH('Ingresos minoristas'!$C20,'Informacion del AEP'!$C$13:$C$20,0),MATCH('Ingresos minoristas'!L$12,'Informacion del AEP'!$D$11:$N$11,0))</f>
        <v>316666666.66666669</v>
      </c>
    </row>
    <row r="21" spans="3:12" x14ac:dyDescent="0.2">
      <c r="C21" s="40" t="s">
        <v>130</v>
      </c>
      <c r="D21" s="109">
        <f>SUM(D13:D20)</f>
        <v>23000000000</v>
      </c>
      <c r="E21" s="109">
        <f t="shared" ref="E21:L21" si="0">SUM(E13:E20)</f>
        <v>14850000000</v>
      </c>
      <c r="F21" s="109">
        <f t="shared" si="0"/>
        <v>8150000000</v>
      </c>
      <c r="G21" s="109">
        <f t="shared" si="0"/>
        <v>4950000000.000001</v>
      </c>
      <c r="H21" s="109">
        <f t="shared" si="0"/>
        <v>4950000000.000001</v>
      </c>
      <c r="I21" s="109">
        <f t="shared" si="0"/>
        <v>4950000000.000001</v>
      </c>
      <c r="J21" s="109">
        <f t="shared" si="0"/>
        <v>2716666666.6666665</v>
      </c>
      <c r="K21" s="109">
        <f t="shared" si="0"/>
        <v>2716666666.6666665</v>
      </c>
      <c r="L21" s="109">
        <f t="shared" si="0"/>
        <v>2716666666.6666665</v>
      </c>
    </row>
    <row r="23" spans="3:12" x14ac:dyDescent="0.2">
      <c r="C23" s="88" t="s">
        <v>52</v>
      </c>
      <c r="D23" s="45" t="str">
        <f>IF(D21='Informacion del AEP'!F$12,"Ok","Error")</f>
        <v>Ok</v>
      </c>
      <c r="E23" s="45" t="str">
        <f>IF(E21='Informacion del AEP'!G$12,"Ok","Error")</f>
        <v>Ok</v>
      </c>
      <c r="F23" s="45" t="str">
        <f>IF(F21='Informacion del AEP'!H$12,"Ok","Error")</f>
        <v>Ok</v>
      </c>
      <c r="G23" s="45" t="str">
        <f>IF(G21='Informacion del AEP'!I$12,"Ok","Error")</f>
        <v>Ok</v>
      </c>
      <c r="H23" s="45" t="str">
        <f>IF(H21='Informacion del AEP'!J$12,"Ok","Error")</f>
        <v>Ok</v>
      </c>
      <c r="I23" s="45" t="str">
        <f>IF(I21='Informacion del AEP'!K$12,"Ok","Error")</f>
        <v>Ok</v>
      </c>
      <c r="J23" s="45" t="str">
        <f>IF(J21='Informacion del AEP'!L$12,"Ok","Error")</f>
        <v>Ok</v>
      </c>
      <c r="K23" s="45" t="str">
        <f>IF(K21='Informacion del AEP'!M$12,"Ok","Error")</f>
        <v>Ok</v>
      </c>
      <c r="L23" s="45" t="str">
        <f>IF(L21='Informacion del AEP'!N$12,"Ok","Error")</f>
        <v>Ok</v>
      </c>
    </row>
    <row r="25" spans="3:12" customFormat="1" x14ac:dyDescent="0.2"/>
  </sheetData>
  <mergeCells count="1">
    <mergeCell ref="C8:F8"/>
  </mergeCells>
  <conditionalFormatting sqref="D23:L23">
    <cfRule type="containsText" dxfId="116" priority="1" operator="containsText" text="Error">
      <formula>NOT(ISERROR(SEARCH("Error",D23)))</formula>
    </cfRule>
    <cfRule type="containsText" dxfId="115" priority="2" operator="containsText" text="Ok">
      <formula>NOT(ISERROR(SEARCH("Ok",D23)))</formula>
    </cfRule>
    <cfRule type="expression" dxfId="114" priority="3">
      <formula>"Ok"</formula>
    </cfRule>
  </conditionalFormatting>
  <hyperlinks>
    <hyperlink ref="C3" location="'Resultados &gt;&gt;'!A1" display="Ir a Resultados &gt;&gt;" xr:uid="{6F574289-1D08-46A2-A0EF-534AB946840B}"/>
  </hyperlinks>
  <pageMargins left="0.7" right="0.7" top="0.75" bottom="0.75" header="0.3" footer="0.3"/>
  <ignoredErrors>
    <ignoredError sqref="D13:L20"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9DCAD-0EE9-40E8-99F5-F77A892517F5}">
  <sheetPr codeName="Sheet8">
    <tabColor theme="5" tint="0.39997558519241921"/>
  </sheetPr>
  <dimension ref="B1:N27"/>
  <sheetViews>
    <sheetView showGridLines="0" zoomScaleNormal="100" workbookViewId="0"/>
  </sheetViews>
  <sheetFormatPr baseColWidth="10" defaultColWidth="8.7109375" defaultRowHeight="12.75" x14ac:dyDescent="0.2"/>
  <cols>
    <col min="1" max="1" width="1.7109375" style="6" customWidth="1"/>
    <col min="2" max="2" width="8.7109375" style="6"/>
    <col min="3" max="3" width="43.5703125" style="6" customWidth="1"/>
    <col min="4" max="4" width="18.42578125" style="6" customWidth="1"/>
    <col min="5" max="5" width="18.28515625" style="6" customWidth="1"/>
    <col min="6" max="6" width="16.7109375" style="6" bestFit="1" customWidth="1"/>
    <col min="7" max="7" width="17.28515625" style="6" bestFit="1" customWidth="1"/>
    <col min="8" max="12" width="16" style="6" customWidth="1"/>
    <col min="13" max="14" width="10.42578125" style="6" customWidth="1"/>
    <col min="15" max="15" width="8" style="6" customWidth="1"/>
    <col min="16" max="16384" width="8.7109375" style="6"/>
  </cols>
  <sheetData>
    <row r="1" spans="2:14" s="1" customFormat="1" ht="20.25" x14ac:dyDescent="0.3">
      <c r="B1" s="1" t="s">
        <v>124</v>
      </c>
    </row>
    <row r="3" spans="2:14" ht="20.100000000000001" customHeight="1" x14ac:dyDescent="0.2">
      <c r="C3" s="17" t="s">
        <v>24</v>
      </c>
    </row>
    <row r="5" spans="2:14" x14ac:dyDescent="0.2">
      <c r="C5" s="19" t="s">
        <v>25</v>
      </c>
      <c r="D5" s="105" t="s">
        <v>26</v>
      </c>
      <c r="E5" s="105" t="s">
        <v>27</v>
      </c>
    </row>
    <row r="6" spans="2:14" x14ac:dyDescent="0.2">
      <c r="C6"/>
      <c r="D6" s="101">
        <f>Supuestos!$C$5</f>
        <v>44652</v>
      </c>
      <c r="E6" s="101">
        <f>Supuestos!$C$6</f>
        <v>44742</v>
      </c>
    </row>
    <row r="7" spans="2:14" x14ac:dyDescent="0.2">
      <c r="C7"/>
    </row>
    <row r="8" spans="2:14" s="21" customFormat="1" ht="15.6" customHeight="1" x14ac:dyDescent="0.2">
      <c r="B8" s="21" t="s">
        <v>2</v>
      </c>
    </row>
    <row r="10" spans="2:14" ht="26.1" customHeight="1" x14ac:dyDescent="0.2">
      <c r="C10" s="47" t="s">
        <v>28</v>
      </c>
      <c r="D10" s="28" t="str">
        <f>Supuestos!B$75</f>
        <v>Todos los segmentos</v>
      </c>
      <c r="E10" s="28" t="str">
        <f>Supuestos!$B$76</f>
        <v>Segmento Prepago</v>
      </c>
      <c r="F10" s="28" t="str">
        <f>Supuestos!B$77</f>
        <v>Segmento Pospago</v>
      </c>
      <c r="G10" s="28" t="str">
        <f>Supuestos!B$78</f>
        <v>Telcel Prepago 1</v>
      </c>
      <c r="H10" s="28" t="str">
        <f>Supuestos!B$79</f>
        <v>Telcel Prepago 2</v>
      </c>
      <c r="I10" s="28" t="str">
        <f>Supuestos!B$80</f>
        <v>Telcel Prepago 3</v>
      </c>
      <c r="J10" s="28" t="str">
        <f>Supuestos!B$81</f>
        <v>Telcel Pospago 1</v>
      </c>
      <c r="K10" s="28" t="str">
        <f>Supuestos!B$82</f>
        <v>Telcel Pospago 8</v>
      </c>
      <c r="L10" s="28" t="str">
        <f>Supuestos!B$83</f>
        <v>Telcel Pospago 4</v>
      </c>
    </row>
    <row r="11" spans="2:14" x14ac:dyDescent="0.2">
      <c r="C11" s="98" t="str">
        <f>'Pagos Mayoristas'!$D$9</f>
        <v>Tarifa originación</v>
      </c>
      <c r="D11" s="94">
        <f>INDEX('Pagos Mayoristas'!$D$10:$N$237,MATCH(Costos!D$10,'Pagos Mayoristas'!$C$10:$C$242,0),MATCH(Costos!$C11,'Pagos Mayoristas'!$D$9:$N$9,0))</f>
        <v>2798664087.1794877</v>
      </c>
      <c r="E11" s="94">
        <f>INDEX('Pagos Mayoristas'!$D$10:$N$237,MATCH(Costos!E$10,'Pagos Mayoristas'!$C$10:$C$242,0),MATCH(Costos!$C11,'Pagos Mayoristas'!$D$9:$N$9,0))</f>
        <v>839599226.15384614</v>
      </c>
      <c r="F11" s="94">
        <f>INDEX('Pagos Mayoristas'!$D$10:$N$237,MATCH(Costos!F$10,'Pagos Mayoristas'!$C$10:$C$242,0),MATCH(Costos!$C11,'Pagos Mayoristas'!$D$9:$N$9,0))</f>
        <v>1959064861.025641</v>
      </c>
      <c r="G11" s="94">
        <f>INDEX('Pagos Mayoristas'!$D$10:$N$237,MATCH(Costos!G$10,'Pagos Mayoristas'!$C$10:$C$242,0),MATCH(Costos!$C11,'Pagos Mayoristas'!$D$9:$N$9,0))</f>
        <v>279866408.71794868</v>
      </c>
      <c r="H11" s="94">
        <f>INDEX('Pagos Mayoristas'!$D$10:$N$237,MATCH(Costos!H$10,'Pagos Mayoristas'!$C$10:$C$242,0),MATCH(Costos!$C11,'Pagos Mayoristas'!$D$9:$N$9,0))</f>
        <v>845956929.13286376</v>
      </c>
      <c r="I11" s="94">
        <f>INDEX('Pagos Mayoristas'!$D$10:$N$237,MATCH(Costos!I$10,'Pagos Mayoristas'!$C$10:$C$242,0),MATCH(Costos!$C11,'Pagos Mayoristas'!$D$9:$N$9,0))</f>
        <v>279866408.71794868</v>
      </c>
      <c r="J11" s="94">
        <f>INDEX('Pagos Mayoristas'!$D$10:$N$237,MATCH(Costos!J$10,'Pagos Mayoristas'!$C$10:$C$242,0),MATCH(Costos!$C11,'Pagos Mayoristas'!$D$9:$N$9,0))</f>
        <v>653021620.34188032</v>
      </c>
      <c r="K11" s="94">
        <f>INDEX('Pagos Mayoristas'!$D$10:$N$237,MATCH(Costos!K$10,'Pagos Mayoristas'!$C$10:$C$242,0),MATCH(Costos!$C11,'Pagos Mayoristas'!$D$9:$N$9,0))</f>
        <v>653021620.34188032</v>
      </c>
      <c r="L11" s="94">
        <f>INDEX('Pagos Mayoristas'!$D$10:$N$237,MATCH(Costos!L$10,'Pagos Mayoristas'!$C$10:$C$242,0),MATCH(Costos!$C11,'Pagos Mayoristas'!$D$9:$N$9,0))</f>
        <v>653021620.34188032</v>
      </c>
    </row>
    <row r="12" spans="2:14" x14ac:dyDescent="0.2">
      <c r="C12" s="98" t="str">
        <f>'Pagos Mayoristas'!$F$9</f>
        <v>Tránsito</v>
      </c>
      <c r="D12" s="94">
        <f>INDEX('Pagos Mayoristas'!$D$10:$N$237,MATCH(Costos!D$10,'Pagos Mayoristas'!$C$10:$C$242,0),MATCH(Costos!$C12,'Pagos Mayoristas'!$D$9:$N$9,0))</f>
        <v>0</v>
      </c>
      <c r="E12" s="94">
        <f>INDEX('Pagos Mayoristas'!$D$10:$N$237,MATCH(Costos!E$10,'Pagos Mayoristas'!$C$10:$C$242,0),MATCH(Costos!$C12,'Pagos Mayoristas'!$D$9:$N$9,0))</f>
        <v>0</v>
      </c>
      <c r="F12" s="94">
        <f>INDEX('Pagos Mayoristas'!$D$10:$N$237,MATCH(Costos!F$10,'Pagos Mayoristas'!$C$10:$C$242,0),MATCH(Costos!$C12,'Pagos Mayoristas'!$D$9:$N$9,0))</f>
        <v>0</v>
      </c>
      <c r="G12" s="94">
        <f>INDEX('Pagos Mayoristas'!$D$10:$N$237,MATCH(Costos!G$10,'Pagos Mayoristas'!$C$10:$C$242,0),MATCH(Costos!$C12,'Pagos Mayoristas'!$D$9:$N$9,0))</f>
        <v>0</v>
      </c>
      <c r="H12" s="94">
        <f>INDEX('Pagos Mayoristas'!$D$10:$N$237,MATCH(Costos!H$10,'Pagos Mayoristas'!$C$10:$C$242,0),MATCH(Costos!$C12,'Pagos Mayoristas'!$D$9:$N$9,0))</f>
        <v>0</v>
      </c>
      <c r="I12" s="94">
        <f>INDEX('Pagos Mayoristas'!$D$10:$N$237,MATCH(Costos!I$10,'Pagos Mayoristas'!$C$10:$C$242,0),MATCH(Costos!$C12,'Pagos Mayoristas'!$D$9:$N$9,0))</f>
        <v>0</v>
      </c>
      <c r="J12" s="94">
        <f>INDEX('Pagos Mayoristas'!$D$10:$N$237,MATCH(Costos!J$10,'Pagos Mayoristas'!$C$10:$C$242,0),MATCH(Costos!$C12,'Pagos Mayoristas'!$D$9:$N$9,0))</f>
        <v>0</v>
      </c>
      <c r="K12" s="94">
        <f>INDEX('Pagos Mayoristas'!$D$10:$N$237,MATCH(Costos!K$10,'Pagos Mayoristas'!$C$10:$C$242,0),MATCH(Costos!$C12,'Pagos Mayoristas'!$D$9:$N$9,0))</f>
        <v>0</v>
      </c>
      <c r="L12" s="94">
        <f>INDEX('Pagos Mayoristas'!$D$10:$N$237,MATCH(Costos!L$10,'Pagos Mayoristas'!$C$10:$C$242,0),MATCH(Costos!$C12,'Pagos Mayoristas'!$D$9:$N$9,0))</f>
        <v>0</v>
      </c>
      <c r="N12" s="92"/>
    </row>
    <row r="13" spans="2:14" x14ac:dyDescent="0.2">
      <c r="C13" s="98" t="str">
        <f>'Pagos Mayoristas'!$I$9</f>
        <v>Cargo por administración de usuarios</v>
      </c>
      <c r="D13" s="94">
        <f>INDEX('Pagos Mayoristas'!$D$10:$N$237,MATCH(Costos!D$10,'Pagos Mayoristas'!$C$10:$C$242,0),MATCH(Costos!$C13,'Pagos Mayoristas'!$D$9:$N$9,0))</f>
        <v>37866666.666666664</v>
      </c>
      <c r="E13" s="94">
        <f>INDEX('Pagos Mayoristas'!$D$10:$N$237,MATCH(Costos!E$10,'Pagos Mayoristas'!$C$10:$C$242,0),MATCH(Costos!$C13,'Pagos Mayoristas'!$D$9:$N$9,0))</f>
        <v>32000000</v>
      </c>
      <c r="F13" s="94">
        <f>INDEX('Pagos Mayoristas'!$D$10:$N$237,MATCH(Costos!F$10,'Pagos Mayoristas'!$C$10:$C$242,0),MATCH(Costos!$C13,'Pagos Mayoristas'!$D$9:$N$9,0))</f>
        <v>4266666.666666667</v>
      </c>
      <c r="G13" s="94">
        <f>INDEX('Pagos Mayoristas'!$D$10:$N$237,MATCH(Costos!G$10,'Pagos Mayoristas'!$C$10:$C$242,0),MATCH(Costos!$C13,'Pagos Mayoristas'!$D$9:$N$9,0))</f>
        <v>26666666.666666668</v>
      </c>
      <c r="H13" s="94">
        <f>INDEX('Pagos Mayoristas'!$D$10:$N$237,MATCH(Costos!H$10,'Pagos Mayoristas'!$C$10:$C$242,0),MATCH(Costos!$C13,'Pagos Mayoristas'!$D$9:$N$9,0))</f>
        <v>800000</v>
      </c>
      <c r="I13" s="94">
        <f>INDEX('Pagos Mayoristas'!$D$10:$N$237,MATCH(Costos!I$10,'Pagos Mayoristas'!$C$10:$C$242,0),MATCH(Costos!$C13,'Pagos Mayoristas'!$D$9:$N$9,0))</f>
        <v>266666.66666666669</v>
      </c>
      <c r="J13" s="94">
        <f>INDEX('Pagos Mayoristas'!$D$10:$N$237,MATCH(Costos!J$10,'Pagos Mayoristas'!$C$10:$C$242,0),MATCH(Costos!$C13,'Pagos Mayoristas'!$D$9:$N$9,0))</f>
        <v>800000</v>
      </c>
      <c r="K13" s="94">
        <f>INDEX('Pagos Mayoristas'!$D$10:$N$237,MATCH(Costos!K$10,'Pagos Mayoristas'!$C$10:$C$242,0),MATCH(Costos!$C13,'Pagos Mayoristas'!$D$9:$N$9,0))</f>
        <v>373333.33333333331</v>
      </c>
      <c r="L13" s="94">
        <f>INDEX('Pagos Mayoristas'!$D$10:$N$237,MATCH(Costos!L$10,'Pagos Mayoristas'!$C$10:$C$242,0),MATCH(Costos!$C13,'Pagos Mayoristas'!$D$9:$N$9,0))</f>
        <v>800000</v>
      </c>
      <c r="N13" s="92"/>
    </row>
    <row r="14" spans="2:14" x14ac:dyDescent="0.2">
      <c r="C14" s="98" t="str">
        <f>'Pagos Mayoristas'!$L$9</f>
        <v>Pagos fijos</v>
      </c>
      <c r="D14" s="94">
        <f>INDEX('Pagos Mayoristas'!$D$10:$N$237,MATCH(Costos!D$10,'Pagos Mayoristas'!$C$10:$C$242,0),MATCH(Costos!$C14,'Pagos Mayoristas'!$D$9:$N$9,0))</f>
        <v>625000</v>
      </c>
      <c r="E14" s="94">
        <f>INDEX('Pagos Mayoristas'!$D$10:$N$237,MATCH(Costos!E$10,'Pagos Mayoristas'!$C$10:$C$242,0),MATCH(Costos!$C14,'Pagos Mayoristas'!$D$9:$N$9,0))</f>
        <v>403532.60869565222</v>
      </c>
      <c r="F14" s="94">
        <f>INDEX('Pagos Mayoristas'!$D$10:$N$237,MATCH(Costos!F$10,'Pagos Mayoristas'!$C$10:$C$242,0),MATCH(Costos!$C14,'Pagos Mayoristas'!$D$9:$N$9,0))</f>
        <v>221467.39130434784</v>
      </c>
      <c r="G14" s="94">
        <f>INDEX('Pagos Mayoristas'!$D$10:$N$237,MATCH(Costos!G$10,'Pagos Mayoristas'!$C$10:$C$242,0),MATCH(Costos!$C14,'Pagos Mayoristas'!$D$9:$N$9,0))</f>
        <v>134510.86956521741</v>
      </c>
      <c r="H14" s="94">
        <f>INDEX('Pagos Mayoristas'!$D$10:$N$237,MATCH(Costos!H$10,'Pagos Mayoristas'!$C$10:$C$242,0),MATCH(Costos!$C14,'Pagos Mayoristas'!$D$9:$N$9,0))</f>
        <v>134510.86956521741</v>
      </c>
      <c r="I14" s="94">
        <f>INDEX('Pagos Mayoristas'!$D$10:$N$237,MATCH(Costos!I$10,'Pagos Mayoristas'!$C$10:$C$242,0),MATCH(Costos!$C14,'Pagos Mayoristas'!$D$9:$N$9,0))</f>
        <v>134510.86956521741</v>
      </c>
      <c r="J14" s="94">
        <f>INDEX('Pagos Mayoristas'!$D$10:$N$237,MATCH(Costos!J$10,'Pagos Mayoristas'!$C$10:$C$242,0),MATCH(Costos!$C14,'Pagos Mayoristas'!$D$9:$N$9,0))</f>
        <v>73822.463768115937</v>
      </c>
      <c r="K14" s="94">
        <f>INDEX('Pagos Mayoristas'!$D$10:$N$237,MATCH(Costos!K$10,'Pagos Mayoristas'!$C$10:$C$242,0),MATCH(Costos!$C14,'Pagos Mayoristas'!$D$9:$N$9,0))</f>
        <v>73822.463768115937</v>
      </c>
      <c r="L14" s="94">
        <f>INDEX('Pagos Mayoristas'!$D$10:$N$237,MATCH(Costos!L$10,'Pagos Mayoristas'!$C$10:$C$242,0),MATCH(Costos!$C14,'Pagos Mayoristas'!$D$9:$N$9,0))</f>
        <v>73822.463768115937</v>
      </c>
      <c r="N14" s="92"/>
    </row>
    <row r="15" spans="2:14" x14ac:dyDescent="0.2">
      <c r="C15" s="98" t="str">
        <f>'Pagos Mayoristas'!$N$9</f>
        <v>Terminación</v>
      </c>
      <c r="D15" s="94">
        <f>INDEX('Pagos Mayoristas'!$D$10:$N$237,MATCH(Costos!D$10,'Pagos Mayoristas'!$C$10:$C$242,0),MATCH(Costos!$C15,'Pagos Mayoristas'!$D$9:$N$9,0))</f>
        <v>5393178500</v>
      </c>
      <c r="E15" s="94">
        <f>INDEX('Pagos Mayoristas'!$D$10:$N$237,MATCH(Costos!E$10,'Pagos Mayoristas'!$C$10:$C$242,0),MATCH(Costos!$C15,'Pagos Mayoristas'!$D$9:$N$9,0))</f>
        <v>1617953550</v>
      </c>
      <c r="F15" s="94">
        <f>INDEX('Pagos Mayoristas'!$D$10:$N$237,MATCH(Costos!F$10,'Pagos Mayoristas'!$C$10:$C$242,0),MATCH(Costos!$C15,'Pagos Mayoristas'!$D$9:$N$9,0))</f>
        <v>3775224950</v>
      </c>
      <c r="G15" s="94">
        <f>INDEX('Pagos Mayoristas'!$D$10:$N$237,MATCH(Costos!G$10,'Pagos Mayoristas'!$C$10:$C$242,0),MATCH(Costos!$C15,'Pagos Mayoristas'!$D$9:$N$9,0))</f>
        <v>539317850</v>
      </c>
      <c r="H15" s="94">
        <f>INDEX('Pagos Mayoristas'!$D$10:$N$237,MATCH(Costos!H$10,'Pagos Mayoristas'!$C$10:$C$242,0),MATCH(Costos!$C15,'Pagos Mayoristas'!$D$9:$N$9,0))</f>
        <v>226904706.80129871</v>
      </c>
      <c r="I15" s="94">
        <f>INDEX('Pagos Mayoristas'!$D$10:$N$237,MATCH(Costos!I$10,'Pagos Mayoristas'!$C$10:$C$242,0),MATCH(Costos!$C15,'Pagos Mayoristas'!$D$9:$N$9,0))</f>
        <v>539317850</v>
      </c>
      <c r="J15" s="94">
        <f>INDEX('Pagos Mayoristas'!$D$10:$N$237,MATCH(Costos!J$10,'Pagos Mayoristas'!$C$10:$C$242,0),MATCH(Costos!$C15,'Pagos Mayoristas'!$D$9:$N$9,0))</f>
        <v>1258408316.6666667</v>
      </c>
      <c r="K15" s="94">
        <f>INDEX('Pagos Mayoristas'!$D$10:$N$237,MATCH(Costos!K$10,'Pagos Mayoristas'!$C$10:$C$242,0),MATCH(Costos!$C15,'Pagos Mayoristas'!$D$9:$N$9,0))</f>
        <v>1258408316.6666667</v>
      </c>
      <c r="L15" s="94">
        <f>INDEX('Pagos Mayoristas'!$D$10:$N$237,MATCH(Costos!L$10,'Pagos Mayoristas'!$C$10:$C$242,0),MATCH(Costos!$C15,'Pagos Mayoristas'!$D$9:$N$9,0))</f>
        <v>1258408316.6666667</v>
      </c>
    </row>
    <row r="16" spans="2:14" x14ac:dyDescent="0.2">
      <c r="C16" s="40" t="s">
        <v>2</v>
      </c>
      <c r="D16" s="109">
        <f>SUM(D11:D15)</f>
        <v>8230334253.8461542</v>
      </c>
      <c r="E16" s="109">
        <f t="shared" ref="E16:L16" si="0">SUM(E11:E15)</f>
        <v>2489956308.7625418</v>
      </c>
      <c r="F16" s="109">
        <f t="shared" si="0"/>
        <v>5738777945.0836124</v>
      </c>
      <c r="G16" s="109">
        <f t="shared" si="0"/>
        <v>845985436.25418055</v>
      </c>
      <c r="H16" s="109">
        <f t="shared" si="0"/>
        <v>1073796146.8037276</v>
      </c>
      <c r="I16" s="109">
        <f t="shared" si="0"/>
        <v>819585436.25418055</v>
      </c>
      <c r="J16" s="109">
        <f t="shared" si="0"/>
        <v>1912303759.4723153</v>
      </c>
      <c r="K16" s="284">
        <f>SUM(K11:K15)</f>
        <v>1911877092.8056486</v>
      </c>
      <c r="L16" s="109">
        <f t="shared" si="0"/>
        <v>1912303759.4723153</v>
      </c>
      <c r="N16" s="92"/>
    </row>
    <row r="18" spans="2:14" x14ac:dyDescent="0.2">
      <c r="C18" s="88" t="s">
        <v>52</v>
      </c>
      <c r="D18" s="45" t="str">
        <f>IF(D16='Pagos Mayoristas'!O10,"Ok","Error")</f>
        <v>Ok</v>
      </c>
      <c r="E18" s="45" t="str">
        <f>IF(E16='Pagos Mayoristas'!O36,"Ok","Error")</f>
        <v>Ok</v>
      </c>
      <c r="F18" s="45" t="str">
        <f>IF(F16='Pagos Mayoristas'!O62,"Ok","Error")</f>
        <v>Ok</v>
      </c>
      <c r="G18" s="45" t="str">
        <f>IF(G16='Pagos Mayoristas'!O88,"Ok","Error")</f>
        <v>Ok</v>
      </c>
      <c r="H18" s="45" t="str">
        <f>IF(H16='Pagos Mayoristas'!O114,"Ok","Error")</f>
        <v>Ok</v>
      </c>
      <c r="I18" s="45" t="str">
        <f>IF(I16='Pagos Mayoristas'!O140,"Ok","Error")</f>
        <v>Ok</v>
      </c>
      <c r="J18" s="45" t="str">
        <f>IF(J16='Pagos Mayoristas'!O166,"Ok","Error")</f>
        <v>Ok</v>
      </c>
      <c r="K18" s="45" t="str">
        <f>IF(K16='Pagos Mayoristas'!O192,"Ok","Error")</f>
        <v>Ok</v>
      </c>
      <c r="L18" s="45" t="str">
        <f>IF(L16='Pagos Mayoristas'!O218,"Ok","Error")</f>
        <v>Ok</v>
      </c>
      <c r="N18" s="92"/>
    </row>
    <row r="20" spans="2:14" s="21" customFormat="1" ht="15.6" customHeight="1" x14ac:dyDescent="0.2">
      <c r="B20" s="21" t="s">
        <v>128</v>
      </c>
    </row>
    <row r="22" spans="2:14" x14ac:dyDescent="0.2">
      <c r="C22" s="57"/>
      <c r="D22" s="76" t="s">
        <v>127</v>
      </c>
      <c r="E22" s="99" t="str">
        <f>'Prueba Servicios Moviles'!C6</f>
        <v>EEO</v>
      </c>
      <c r="N22" s="228"/>
    </row>
    <row r="24" spans="2:14" ht="38.25" x14ac:dyDescent="0.2">
      <c r="C24" s="47" t="s">
        <v>28</v>
      </c>
      <c r="D24" s="28" t="str">
        <f>Supuestos!B$75</f>
        <v>Todos los segmentos</v>
      </c>
      <c r="E24" s="28" t="str">
        <f>Supuestos!B$76</f>
        <v>Segmento Prepago</v>
      </c>
      <c r="F24" s="28" t="str">
        <f>Supuestos!B$77</f>
        <v>Segmento Pospago</v>
      </c>
      <c r="G24" s="28" t="str">
        <f>Supuestos!B$78</f>
        <v>Telcel Prepago 1</v>
      </c>
      <c r="H24" s="28" t="str">
        <f>Supuestos!B$79</f>
        <v>Telcel Prepago 2</v>
      </c>
      <c r="I24" s="28" t="str">
        <f>Supuestos!B$80</f>
        <v>Telcel Prepago 3</v>
      </c>
      <c r="J24" s="28" t="str">
        <f>Supuestos!B$81</f>
        <v>Telcel Pospago 1</v>
      </c>
      <c r="K24" s="28" t="str">
        <f>Supuestos!B$82</f>
        <v>Telcel Pospago 8</v>
      </c>
      <c r="L24" s="28" t="str">
        <f>Supuestos!B$83</f>
        <v>Telcel Pospago 4</v>
      </c>
      <c r="N24" s="228"/>
    </row>
    <row r="25" spans="2:14" x14ac:dyDescent="0.2">
      <c r="C25" s="40" t="str">
        <f>IF(E22="EEO",'Costos aguas abajo'!$D$9,'Costos aguas abajo'!$K$9)</f>
        <v>Costos totales</v>
      </c>
      <c r="D25" s="109">
        <f>INDEX('Costos aguas abajo'!$D$10:$K$233,MATCH(Costos!D$24,'Costos aguas abajo'!$C$10:$C$233,0),MATCH(Costos!$C$25,'Costos aguas abajo'!$D$9:$K$9,0))</f>
        <v>14393900000</v>
      </c>
      <c r="E25" s="109">
        <f>INDEX('Costos aguas abajo'!$D$10:$K$233,MATCH(Costos!E$24,'Costos aguas abajo'!$C$10:$C$233,0),MATCH(Costos!$C$25,'Costos aguas abajo'!$D$9:$K$9,0))</f>
        <v>9511600000</v>
      </c>
      <c r="F25" s="109">
        <f>INDEX('Costos aguas abajo'!$D$10:$K$233,MATCH(Costos!F$24,'Costos aguas abajo'!$C$10:$C$233,0),MATCH(Costos!$C$25,'Costos aguas abajo'!$D$9:$K$9,0))</f>
        <v>4882300000</v>
      </c>
      <c r="G25" s="109">
        <f>INDEX('Costos aguas abajo'!$D$10:$K$233,MATCH(Costos!G$24,'Costos aguas abajo'!$C$10:$C$233,0),MATCH(Costos!$C$25,'Costos aguas abajo'!$D$9:$K$9,0))</f>
        <v>3170533333.333333</v>
      </c>
      <c r="H25" s="109">
        <f>INDEX('Costos aguas abajo'!$D$10:$K$233,MATCH(Costos!H$24,'Costos aguas abajo'!$C$10:$C$233,0),MATCH(Costos!$C$25,'Costos aguas abajo'!$D$9:$K$9,0))</f>
        <v>1627433333.3333335</v>
      </c>
      <c r="I25" s="109">
        <f>INDEX('Costos aguas abajo'!$D$10:$K$233,MATCH(Costos!I$24,'Costos aguas abajo'!$C$10:$C$233,0),MATCH(Costos!$C$25,'Costos aguas abajo'!$D$9:$K$9,0))</f>
        <v>3170533333.333333</v>
      </c>
      <c r="J25" s="109">
        <f>INDEX('Costos aguas abajo'!$D$10:$K$233,MATCH(Costos!J$24,'Costos aguas abajo'!$C$10:$C$233,0),MATCH(Costos!$C$25,'Costos aguas abajo'!$D$9:$K$9,0))</f>
        <v>1627433333.3333335</v>
      </c>
      <c r="K25" s="109">
        <f>INDEX('Costos aguas abajo'!$D$10:$K$233,MATCH(Costos!K$24,'Costos aguas abajo'!$C$10:$C$233,0),MATCH(Costos!$C$25,'Costos aguas abajo'!$D$9:$K$9,0))</f>
        <v>1627433333.3333335</v>
      </c>
      <c r="L25" s="109">
        <f>INDEX('Costos aguas abajo'!$D$10:$K$233,MATCH(Costos!L$24,'Costos aguas abajo'!$C$10:$C$233,0),MATCH(Costos!$C$25,'Costos aguas abajo'!$D$9:$K$9,0))</f>
        <v>1627433333.3333335</v>
      </c>
      <c r="N25" s="228"/>
    </row>
    <row r="27" spans="2:14" x14ac:dyDescent="0.2">
      <c r="C27" s="88" t="s">
        <v>52</v>
      </c>
      <c r="D27" s="45" t="str">
        <f>IF($E$22="EEO",IF(D25='Costos aguas abajo'!D10,"Ok","Error"),IF(D25='Costos aguas abajo'!K10,"Ok","Error"))</f>
        <v>Ok</v>
      </c>
      <c r="E27" s="45" t="str">
        <f>IF($E$22="EEO",IF(E25='Costos aguas abajo'!D35,"Ok","Error"),IF(E25='Costos aguas abajo'!K35,"Ok","Error"))</f>
        <v>Ok</v>
      </c>
      <c r="F27" s="45" t="str">
        <f>IF($E$22="EEO",IF(F25='Costos aguas abajo'!D60,"Ok","Error"),IF(F25='Costos aguas abajo'!K60,"Ok","Error"))</f>
        <v>Ok</v>
      </c>
      <c r="G27" s="45" t="str">
        <f>IF($E$22="EEO",IF(G25='Costos aguas abajo'!D85,"Ok","Error"),IF(G25='Costos aguas abajo'!K85,"Ok","Error"))</f>
        <v>Ok</v>
      </c>
      <c r="H27" s="45" t="str">
        <f>IF($E$22="EEO",IF(H25='Costos aguas abajo'!D110,"Ok","Error"),IF(H25='Costos aguas abajo'!K110,"Ok","Error"))</f>
        <v>Ok</v>
      </c>
      <c r="I27" s="45" t="str">
        <f>IF($E$22="EEO",IF(I25='Costos aguas abajo'!D135,"Ok","Error"),IF(I25='Costos aguas abajo'!K135,"Ok","Error"))</f>
        <v>Ok</v>
      </c>
      <c r="J27" s="45" t="str">
        <f>IF($E$22="EEO",IF(J25='Costos aguas abajo'!D160,"Ok","Error"),IF(J25='Costos aguas abajo'!K160,"Ok","Error"))</f>
        <v>Ok</v>
      </c>
      <c r="K27" s="45" t="str">
        <f>IF($E$22="EEO",IF(K25='Costos aguas abajo'!D185,"Ok","Error"),IF(K25='Costos aguas abajo'!K185,"Ok","Error"))</f>
        <v>Ok</v>
      </c>
      <c r="L27" s="45" t="str">
        <f>IF($E$22="EEO",IF(L25='Costos aguas abajo'!D210,"Ok","Error"),IF(L25='Costos aguas abajo'!K210,"Ok","Error"))</f>
        <v>Ok</v>
      </c>
    </row>
  </sheetData>
  <conditionalFormatting sqref="D18:L18">
    <cfRule type="containsText" dxfId="113" priority="4" operator="containsText" text="Error">
      <formula>NOT(ISERROR(SEARCH("Error",D18)))</formula>
    </cfRule>
    <cfRule type="containsText" dxfId="112" priority="5" operator="containsText" text="Ok">
      <formula>NOT(ISERROR(SEARCH("Ok",D18)))</formula>
    </cfRule>
    <cfRule type="expression" dxfId="111" priority="6">
      <formula>"Ok"</formula>
    </cfRule>
  </conditionalFormatting>
  <conditionalFormatting sqref="D27:L27">
    <cfRule type="containsText" dxfId="110" priority="1" operator="containsText" text="Error">
      <formula>NOT(ISERROR(SEARCH("Error",D27)))</formula>
    </cfRule>
    <cfRule type="containsText" dxfId="109" priority="2" operator="containsText" text="Ok">
      <formula>NOT(ISERROR(SEARCH("Ok",D27)))</formula>
    </cfRule>
    <cfRule type="expression" dxfId="108" priority="3">
      <formula>"Ok"</formula>
    </cfRule>
  </conditionalFormatting>
  <hyperlinks>
    <hyperlink ref="C3" location="'Resultados &gt;&gt;'!A1" display="Ir a Resultados &gt;&gt;" xr:uid="{BC75168B-B808-42CC-B946-B2C5846C242B}"/>
  </hyperlinks>
  <pageMargins left="0.7" right="0.7" top="0.75" bottom="0.75" header="0.3" footer="0.3"/>
  <ignoredErrors>
    <ignoredError sqref="E22"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5B53E-05FE-4B33-9B69-A8987374DEE2}">
  <sheetPr codeName="Sheet9">
    <tabColor theme="8"/>
  </sheetPr>
  <dimension ref="C13"/>
  <sheetViews>
    <sheetView showGridLines="0" workbookViewId="0"/>
  </sheetViews>
  <sheetFormatPr baseColWidth="10" defaultColWidth="8.7109375" defaultRowHeight="12.75" x14ac:dyDescent="0.2"/>
  <cols>
    <col min="1" max="16384" width="8.7109375" style="16"/>
  </cols>
  <sheetData>
    <row r="13" spans="3:3" ht="27.75" x14ac:dyDescent="0.4">
      <c r="C13" s="15" t="s">
        <v>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2FF598-0C69-4F27-A1BE-08DF87B29955}">
  <sheetPr codeName="Sheet11">
    <tabColor theme="8" tint="0.79998168889431442"/>
  </sheetPr>
  <dimension ref="B1:S233"/>
  <sheetViews>
    <sheetView showGridLines="0" zoomScaleNormal="100" workbookViewId="0">
      <pane ySplit="9" topLeftCell="A19" activePane="bottomLeft" state="frozen"/>
      <selection pane="bottomLeft"/>
    </sheetView>
  </sheetViews>
  <sheetFormatPr baseColWidth="10" defaultColWidth="8.7109375" defaultRowHeight="12.75" x14ac:dyDescent="0.2"/>
  <cols>
    <col min="1" max="1" width="1.7109375" style="6" customWidth="1"/>
    <col min="2" max="2" width="8.7109375" style="6"/>
    <col min="3" max="3" width="47.28515625" style="6" customWidth="1"/>
    <col min="4" max="4" width="21.5703125" style="6" bestFit="1" customWidth="1"/>
    <col min="5" max="5" width="2.7109375" style="6" customWidth="1"/>
    <col min="6" max="6" width="18.7109375" style="6" customWidth="1"/>
    <col min="7" max="7" width="21.5703125" style="6" bestFit="1" customWidth="1"/>
    <col min="8" max="8" width="13.28515625" style="6" customWidth="1"/>
    <col min="9" max="9" width="18.7109375" style="6" customWidth="1"/>
    <col min="10" max="10" width="20.28515625" style="6" bestFit="1" customWidth="1"/>
    <col min="11" max="11" width="21.5703125" style="6" bestFit="1" customWidth="1"/>
    <col min="12" max="12" width="13.28515625" style="6" customWidth="1"/>
    <col min="13" max="16384" width="8.7109375" style="6"/>
  </cols>
  <sheetData>
    <row r="1" spans="2:19" s="1" customFormat="1" ht="20.25" x14ac:dyDescent="0.3">
      <c r="B1" s="1" t="s">
        <v>114</v>
      </c>
    </row>
    <row r="3" spans="2:19" ht="20.100000000000001" customHeight="1" x14ac:dyDescent="0.2">
      <c r="C3" s="17" t="s">
        <v>24</v>
      </c>
    </row>
    <row r="4" spans="2:19" x14ac:dyDescent="0.2">
      <c r="M4" s="499"/>
      <c r="N4" s="500"/>
      <c r="O4" s="500"/>
      <c r="P4" s="500"/>
      <c r="Q4" s="500"/>
      <c r="R4" s="500"/>
      <c r="S4" s="501"/>
    </row>
    <row r="5" spans="2:19" x14ac:dyDescent="0.2">
      <c r="C5" s="19" t="s">
        <v>25</v>
      </c>
      <c r="D5" s="105" t="s">
        <v>26</v>
      </c>
      <c r="E5" s="86"/>
      <c r="F5" s="105" t="s">
        <v>27</v>
      </c>
      <c r="M5" s="502"/>
      <c r="N5" s="503"/>
      <c r="O5" s="503"/>
      <c r="P5" s="503"/>
      <c r="Q5" s="503"/>
      <c r="R5" s="503"/>
      <c r="S5" s="504"/>
    </row>
    <row r="6" spans="2:19" x14ac:dyDescent="0.2">
      <c r="C6"/>
      <c r="D6" s="101">
        <f>Supuestos!$C$5</f>
        <v>44652</v>
      </c>
      <c r="E6" s="86"/>
      <c r="F6" s="101">
        <f>Supuestos!$C$6</f>
        <v>44742</v>
      </c>
      <c r="M6" s="502"/>
      <c r="N6" s="503"/>
      <c r="O6" s="503"/>
      <c r="P6" s="503"/>
      <c r="Q6" s="503"/>
      <c r="R6" s="503"/>
      <c r="S6" s="504"/>
    </row>
    <row r="7" spans="2:19" x14ac:dyDescent="0.2">
      <c r="C7"/>
      <c r="M7" s="502"/>
      <c r="N7" s="503"/>
      <c r="O7" s="503"/>
      <c r="P7" s="503"/>
      <c r="Q7" s="503"/>
      <c r="R7" s="503"/>
      <c r="S7" s="504"/>
    </row>
    <row r="8" spans="2:19" x14ac:dyDescent="0.2">
      <c r="C8" s="47" t="s">
        <v>28</v>
      </c>
      <c r="D8" s="492" t="s">
        <v>119</v>
      </c>
      <c r="E8" s="492"/>
      <c r="F8" s="492"/>
      <c r="G8" s="492"/>
      <c r="H8" s="77"/>
      <c r="I8" s="492" t="s">
        <v>120</v>
      </c>
      <c r="J8" s="492"/>
      <c r="K8" s="492"/>
      <c r="L8" s="78"/>
      <c r="M8" s="505"/>
      <c r="N8" s="506"/>
      <c r="O8" s="506"/>
      <c r="P8" s="506"/>
      <c r="Q8" s="506"/>
      <c r="R8" s="506"/>
      <c r="S8" s="507"/>
    </row>
    <row r="9" spans="2:19" ht="25.5" x14ac:dyDescent="0.2">
      <c r="C9" s="47"/>
      <c r="D9" s="81" t="s">
        <v>115</v>
      </c>
      <c r="E9" s="80"/>
      <c r="F9" s="80" t="s">
        <v>116</v>
      </c>
      <c r="G9" s="80" t="s">
        <v>117</v>
      </c>
      <c r="H9" s="80"/>
      <c r="I9" s="80" t="s">
        <v>116</v>
      </c>
      <c r="J9" s="80" t="s">
        <v>117</v>
      </c>
      <c r="K9" s="81" t="s">
        <v>118</v>
      </c>
      <c r="L9" s="79"/>
    </row>
    <row r="10" spans="2:19" x14ac:dyDescent="0.2">
      <c r="C10" s="89" t="str">
        <f>Supuestos!$B$75</f>
        <v>Todos los segmentos</v>
      </c>
      <c r="D10" s="90">
        <f>SUM(D11:D27)</f>
        <v>14393900000</v>
      </c>
      <c r="E10" s="90"/>
      <c r="F10" s="90">
        <f>SUM(F11:F27)</f>
        <v>383545000</v>
      </c>
      <c r="G10" s="90">
        <f>SUM(G11:G27)</f>
        <v>14010355000</v>
      </c>
      <c r="H10" s="91"/>
      <c r="I10" s="90">
        <f>+F10</f>
        <v>383545000</v>
      </c>
      <c r="J10" s="90">
        <f>SUM(J11:J27)</f>
        <v>1662723233.8784544</v>
      </c>
      <c r="K10" s="90">
        <f>SUM(K11:K27)</f>
        <v>17242162614.752926</v>
      </c>
    </row>
    <row r="11" spans="2:19" x14ac:dyDescent="0.2">
      <c r="C11" s="6" t="str">
        <f>'Informacion del AEP'!C102</f>
        <v>Acceso a Internet</v>
      </c>
      <c r="D11" s="85">
        <f>INDEX('Informacion del AEP'!$D$102:$N$122,MATCH('Costos aguas abajo'!$C11,'Informacion del AEP'!$C$102:$C$122,0),MATCH('Costos aguas abajo'!$C$10,'Informacion del AEP'!$D$101:$N$101,0))</f>
        <v>0</v>
      </c>
      <c r="F11" s="87">
        <f>D11*Supuestos!$C25</f>
        <v>0</v>
      </c>
      <c r="G11" s="87">
        <f>D11*(1-Supuestos!$C25)</f>
        <v>0</v>
      </c>
      <c r="I11" s="87">
        <f>+F11</f>
        <v>0</v>
      </c>
      <c r="J11" s="87">
        <f>G11*Supuestos!$C$20</f>
        <v>0</v>
      </c>
      <c r="K11" s="87">
        <f>(I11+J11)*(1/Supuestos!$C$20)</f>
        <v>0</v>
      </c>
    </row>
    <row r="12" spans="2:19" x14ac:dyDescent="0.2">
      <c r="C12" s="6" t="str">
        <f>'Informacion del AEP'!C103</f>
        <v>Servicios OTT de vídeo</v>
      </c>
      <c r="D12" s="85">
        <f>INDEX('Informacion del AEP'!$D$102:$N$122,MATCH('Costos aguas abajo'!$C12,'Informacion del AEP'!$C$102:$C$122,0),MATCH('Costos aguas abajo'!$C$10,'Informacion del AEP'!$D$101:$N$101,0))</f>
        <v>80000000</v>
      </c>
      <c r="F12" s="87">
        <f>D12*Supuestos!$C26</f>
        <v>0</v>
      </c>
      <c r="G12" s="87">
        <f>D12*(1-Supuestos!$C26)</f>
        <v>80000000</v>
      </c>
      <c r="I12" s="87">
        <f t="shared" ref="I12:I26" si="0">+F12</f>
        <v>0</v>
      </c>
      <c r="J12" s="87">
        <f>G12*Supuestos!$C$20</f>
        <v>9494253.2655508276</v>
      </c>
      <c r="K12" s="87">
        <f>(I12+J12)*(1/Supuestos!$C$20)</f>
        <v>80000000</v>
      </c>
    </row>
    <row r="13" spans="2:19" x14ac:dyDescent="0.2">
      <c r="C13" s="6" t="str">
        <f>'Informacion del AEP'!C104</f>
        <v>Servicios OTT de audio</v>
      </c>
      <c r="D13" s="85">
        <f>INDEX('Informacion del AEP'!$D$102:$N$122,MATCH('Costos aguas abajo'!$C13,'Informacion del AEP'!$C$102:$C$122,0),MATCH('Costos aguas abajo'!$C$10,'Informacion del AEP'!$D$101:$N$101,0))</f>
        <v>0</v>
      </c>
      <c r="F13" s="87">
        <f>D13*Supuestos!$C27</f>
        <v>0</v>
      </c>
      <c r="G13" s="87">
        <f>D13*(1-Supuestos!$C27)</f>
        <v>0</v>
      </c>
      <c r="I13" s="87">
        <f t="shared" si="0"/>
        <v>0</v>
      </c>
      <c r="J13" s="87">
        <f>G13*Supuestos!$C$20</f>
        <v>0</v>
      </c>
      <c r="K13" s="87">
        <f>(I13+J13)*(1/Supuestos!$C$20)</f>
        <v>0</v>
      </c>
    </row>
    <row r="14" spans="2:19" x14ac:dyDescent="0.2">
      <c r="C14" s="6" t="str">
        <f>'Informacion del AEP'!C105</f>
        <v>Comerciales</v>
      </c>
      <c r="D14" s="85">
        <f>INDEX('Informacion del AEP'!$D$102:$N$122,MATCH('Costos aguas abajo'!$C14,'Informacion del AEP'!$C$102:$C$122,0),MATCH('Costos aguas abajo'!$C$10,'Informacion del AEP'!$D$101:$N$101,0))</f>
        <v>3000000000</v>
      </c>
      <c r="F14" s="87">
        <f>D14*Supuestos!$C28</f>
        <v>300000000</v>
      </c>
      <c r="G14" s="87">
        <f>D14*(1-Supuestos!$C28)</f>
        <v>2700000000</v>
      </c>
      <c r="I14" s="87">
        <f t="shared" si="0"/>
        <v>300000000</v>
      </c>
      <c r="J14" s="87">
        <f>G14*Supuestos!$C$20</f>
        <v>320431047.71234041</v>
      </c>
      <c r="K14" s="87">
        <f>(I14+J14)*(1/Supuestos!$C$20)</f>
        <v>5227844931.9529066</v>
      </c>
    </row>
    <row r="15" spans="2:19" x14ac:dyDescent="0.2">
      <c r="C15" s="6" t="str">
        <f>'Informacion del AEP'!C106</f>
        <v>Facturación</v>
      </c>
      <c r="D15" s="85">
        <f>INDEX('Informacion del AEP'!$D$102:$N$122,MATCH('Costos aguas abajo'!$C15,'Informacion del AEP'!$C$102:$C$122,0),MATCH('Costos aguas abajo'!$C$10,'Informacion del AEP'!$D$101:$N$101,0))</f>
        <v>900000</v>
      </c>
      <c r="F15" s="87">
        <f>D15*Supuestos!$C29</f>
        <v>45000</v>
      </c>
      <c r="G15" s="87">
        <f>D15*(1-Supuestos!$C29)</f>
        <v>855000</v>
      </c>
      <c r="I15" s="87">
        <f t="shared" si="0"/>
        <v>45000</v>
      </c>
      <c r="J15" s="87">
        <f>G15*Supuestos!$C$20</f>
        <v>101469.83177557446</v>
      </c>
      <c r="K15" s="87">
        <f>(I15+J15)*(1/Supuestos!$C$20)</f>
        <v>1234176.739792936</v>
      </c>
    </row>
    <row r="16" spans="2:19" x14ac:dyDescent="0.2">
      <c r="C16" s="6" t="str">
        <f>'Informacion del AEP'!C107</f>
        <v>Cobranza</v>
      </c>
      <c r="D16" s="85">
        <f>INDEX('Informacion del AEP'!$D$102:$N$122,MATCH('Costos aguas abajo'!$C16,'Informacion del AEP'!$C$102:$C$122,0),MATCH('Costos aguas abajo'!$C$10,'Informacion del AEP'!$D$101:$N$101,0))</f>
        <v>35000000</v>
      </c>
      <c r="F16" s="87">
        <f>D16*Supuestos!$C30</f>
        <v>0</v>
      </c>
      <c r="G16" s="87">
        <f>D16*(1-Supuestos!$C30)</f>
        <v>35000000</v>
      </c>
      <c r="I16" s="87">
        <f t="shared" si="0"/>
        <v>0</v>
      </c>
      <c r="J16" s="87">
        <f>G16*Supuestos!$C$20</f>
        <v>4153735.803678487</v>
      </c>
      <c r="K16" s="87">
        <f>(I16+J16)*(1/Supuestos!$C$20)</f>
        <v>35000000</v>
      </c>
    </row>
    <row r="17" spans="3:11" x14ac:dyDescent="0.2">
      <c r="C17" s="6" t="str">
        <f>'Informacion del AEP'!C108</f>
        <v>Tasas e impuestos</v>
      </c>
      <c r="D17" s="85">
        <f>INDEX('Informacion del AEP'!$D$102:$N$122,MATCH('Costos aguas abajo'!$C17,'Informacion del AEP'!$C$102:$C$122,0),MATCH('Costos aguas abajo'!$C$10,'Informacion del AEP'!$D$101:$N$101,0))</f>
        <v>35000000</v>
      </c>
      <c r="F17" s="87">
        <f>D17*Supuestos!$C31</f>
        <v>3500000</v>
      </c>
      <c r="G17" s="87">
        <f>D17*(1-Supuestos!$C31)</f>
        <v>31500000</v>
      </c>
      <c r="I17" s="87">
        <f t="shared" si="0"/>
        <v>3500000</v>
      </c>
      <c r="J17" s="87">
        <f>G17*Supuestos!$C$20</f>
        <v>3738362.2233106382</v>
      </c>
      <c r="K17" s="87">
        <f>(I17+J17)*(1/Supuestos!$C$20)</f>
        <v>60991524.20611725</v>
      </c>
    </row>
    <row r="18" spans="3:11" x14ac:dyDescent="0.2">
      <c r="C18" s="6" t="str">
        <f>'Informacion del AEP'!C109</f>
        <v>Programas de fidelización</v>
      </c>
      <c r="D18" s="85">
        <f>INDEX('Informacion del AEP'!$D$102:$N$122,MATCH('Costos aguas abajo'!$C18,'Informacion del AEP'!$C$102:$C$122,0),MATCH('Costos aguas abajo'!$C$10,'Informacion del AEP'!$D$101:$N$101,0))</f>
        <v>40000000</v>
      </c>
      <c r="F18" s="87">
        <f>D18*Supuestos!$C32</f>
        <v>0</v>
      </c>
      <c r="G18" s="87">
        <f>D18*(1-Supuestos!$C32)</f>
        <v>40000000</v>
      </c>
      <c r="I18" s="87">
        <f t="shared" si="0"/>
        <v>0</v>
      </c>
      <c r="J18" s="87">
        <f>G18*Supuestos!$C$20</f>
        <v>4747126.6327754138</v>
      </c>
      <c r="K18" s="87">
        <f>(I18+J18)*(1/Supuestos!$C$20)</f>
        <v>40000000</v>
      </c>
    </row>
    <row r="19" spans="3:11" x14ac:dyDescent="0.2">
      <c r="C19" s="6" t="str">
        <f>'Informacion del AEP'!C110</f>
        <v>Acceso internet internacional</v>
      </c>
      <c r="D19" s="85">
        <f>INDEX('Informacion del AEP'!$D$102:$N$122,MATCH('Costos aguas abajo'!$C19,'Informacion del AEP'!$C$102:$C$122,0),MATCH('Costos aguas abajo'!$C$10,'Informacion del AEP'!$D$101:$N$101,0))</f>
        <v>38000000</v>
      </c>
      <c r="F19" s="87">
        <f>D19*Supuestos!$C33</f>
        <v>0</v>
      </c>
      <c r="G19" s="87">
        <f>D19*(1-Supuestos!$C33)</f>
        <v>38000000</v>
      </c>
      <c r="I19" s="87">
        <f t="shared" si="0"/>
        <v>0</v>
      </c>
      <c r="J19" s="87">
        <f>G19*Supuestos!$C$20</f>
        <v>4509770.3011366427</v>
      </c>
      <c r="K19" s="87">
        <f>(I19+J19)*(1/Supuestos!$C$20)</f>
        <v>37999999.999999993</v>
      </c>
    </row>
    <row r="20" spans="3:11" x14ac:dyDescent="0.2">
      <c r="C20" s="6" t="str">
        <f>'Informacion del AEP'!C111</f>
        <v>Roaming nacional</v>
      </c>
      <c r="D20" s="85">
        <f>INDEX('Informacion del AEP'!$D$102:$N$122,MATCH('Costos aguas abajo'!$C20,'Informacion del AEP'!$C$102:$C$122,0),MATCH('Costos aguas abajo'!$C$10,'Informacion del AEP'!$D$101:$N$101,0))</f>
        <v>15000000</v>
      </c>
      <c r="F20" s="87">
        <f>D20*Supuestos!$C34</f>
        <v>0</v>
      </c>
      <c r="G20" s="87">
        <f>D20*(1-Supuestos!$C34)</f>
        <v>15000000</v>
      </c>
      <c r="I20" s="87">
        <f t="shared" si="0"/>
        <v>0</v>
      </c>
      <c r="J20" s="87">
        <f>G20*Supuestos!$C$20</f>
        <v>1780172.4872907801</v>
      </c>
      <c r="K20" s="87">
        <f>(I20+J20)*(1/Supuestos!$C$20)</f>
        <v>14999999.999999998</v>
      </c>
    </row>
    <row r="21" spans="3:11" x14ac:dyDescent="0.2">
      <c r="C21" s="6" t="str">
        <f>'Informacion del AEP'!C112</f>
        <v>Roaming internacional</v>
      </c>
      <c r="D21" s="85">
        <f>INDEX('Informacion del AEP'!$D$102:$N$122,MATCH('Costos aguas abajo'!$C21,'Informacion del AEP'!$C$102:$C$122,0),MATCH('Costos aguas abajo'!$C$10,'Informacion del AEP'!$D$101:$N$101,0))</f>
        <v>0</v>
      </c>
      <c r="F21" s="87">
        <f>D21*Supuestos!$C35</f>
        <v>0</v>
      </c>
      <c r="G21" s="87">
        <f>D21*(1-Supuestos!$C35)</f>
        <v>0</v>
      </c>
      <c r="I21" s="87">
        <f t="shared" si="0"/>
        <v>0</v>
      </c>
      <c r="J21" s="87">
        <f>G21*Supuestos!$C$20</f>
        <v>0</v>
      </c>
      <c r="K21" s="87">
        <f>(I21+J21)*(1/Supuestos!$C$20)</f>
        <v>0</v>
      </c>
    </row>
    <row r="22" spans="3:11" x14ac:dyDescent="0.2">
      <c r="C22" s="6" t="str">
        <f>'Informacion del AEP'!C113</f>
        <v>Provisiones</v>
      </c>
      <c r="D22" s="85">
        <f>INDEX('Informacion del AEP'!$D$102:$N$122,MATCH('Costos aguas abajo'!$C22,'Informacion del AEP'!$C$102:$C$122,0),MATCH('Costos aguas abajo'!$C$10,'Informacion del AEP'!$D$101:$N$101,0))</f>
        <v>50000000</v>
      </c>
      <c r="F22" s="87">
        <f>D22*Supuestos!$C36</f>
        <v>0</v>
      </c>
      <c r="G22" s="87">
        <f>D22*(1-Supuestos!$C36)</f>
        <v>50000000</v>
      </c>
      <c r="I22" s="87">
        <f t="shared" si="0"/>
        <v>0</v>
      </c>
      <c r="J22" s="87">
        <f>G22*Supuestos!$C$20</f>
        <v>5933908.2909692666</v>
      </c>
      <c r="K22" s="87">
        <f>(I22+J22)*(1/Supuestos!$C$20)</f>
        <v>49999999.999999993</v>
      </c>
    </row>
    <row r="23" spans="3:11" x14ac:dyDescent="0.2">
      <c r="C23" s="6" t="str">
        <f>'Informacion del AEP'!C114</f>
        <v>Costos directos de la venta de terminales</v>
      </c>
      <c r="D23" s="85">
        <f>INDEX('Informacion del AEP'!$D$102:$N$122,MATCH('Costos aguas abajo'!$C23,'Informacion del AEP'!$C$102:$C$122,0),MATCH('Costos aguas abajo'!$C$10,'Informacion del AEP'!$D$101:$N$101,0))</f>
        <v>10000000000</v>
      </c>
      <c r="F23" s="87">
        <f>D23*Supuestos!$C37</f>
        <v>0</v>
      </c>
      <c r="G23" s="87">
        <f>D23*(1-Supuestos!$C37)</f>
        <v>10000000000</v>
      </c>
      <c r="I23" s="87">
        <f t="shared" si="0"/>
        <v>0</v>
      </c>
      <c r="J23" s="87">
        <f>G23*Supuestos!$C$20</f>
        <v>1186781658.1938534</v>
      </c>
      <c r="K23" s="87">
        <f>(I23+J23)*(1/Supuestos!$C$20)</f>
        <v>9999999999.9999981</v>
      </c>
    </row>
    <row r="24" spans="3:11" x14ac:dyDescent="0.2">
      <c r="C24" s="6" t="str">
        <f>'Informacion del AEP'!C115</f>
        <v>Servicios generales y de gestión - minoristas</v>
      </c>
      <c r="D24" s="85">
        <f>INDEX('Informacion del AEP'!$D$102:$N$122,MATCH('Costos aguas abajo'!$C24,'Informacion del AEP'!$C$102:$C$122,0),MATCH('Costos aguas abajo'!$C$10,'Informacion del AEP'!$D$101:$N$101,0))</f>
        <v>600000000</v>
      </c>
      <c r="F24" s="87">
        <f>D24*Supuestos!$C38</f>
        <v>30000000</v>
      </c>
      <c r="G24" s="87">
        <f>D24*(1-Supuestos!$C38)</f>
        <v>570000000</v>
      </c>
      <c r="I24" s="87">
        <f t="shared" si="0"/>
        <v>30000000</v>
      </c>
      <c r="J24" s="87">
        <f>G24*Supuestos!$C$20</f>
        <v>67646554.51704964</v>
      </c>
      <c r="K24" s="87">
        <f>(I24+J24)*(1/Supuestos!$C$20)</f>
        <v>822784493.19529068</v>
      </c>
    </row>
    <row r="25" spans="3:11" x14ac:dyDescent="0.2">
      <c r="C25" s="6" t="str">
        <f>'Informacion del AEP'!C116</f>
        <v>Servicios generales y de gestión - red</v>
      </c>
      <c r="D25" s="85">
        <f>INDEX('Informacion del AEP'!$D$102:$N$122,MATCH('Costos aguas abajo'!$C25,'Informacion del AEP'!$C$102:$C$122,0),MATCH('Costos aguas abajo'!$C$10,'Informacion del AEP'!$D$101:$N$101,0))</f>
        <v>0</v>
      </c>
      <c r="F25" s="87">
        <f>D25*Supuestos!$C39</f>
        <v>0</v>
      </c>
      <c r="G25" s="87">
        <f>D25*(1-Supuestos!$C39)</f>
        <v>0</v>
      </c>
      <c r="I25" s="87">
        <f t="shared" si="0"/>
        <v>0</v>
      </c>
      <c r="J25" s="87">
        <f>G25*Supuestos!$C$20</f>
        <v>0</v>
      </c>
      <c r="K25" s="87">
        <f>(I25+J25)*(1/Supuestos!$C$20)</f>
        <v>0</v>
      </c>
    </row>
    <row r="26" spans="3:11" x14ac:dyDescent="0.2">
      <c r="C26" s="6" t="str">
        <f>'Informacion del AEP'!C117</f>
        <v xml:space="preserve">Servicios generales y de gestión - negocio </v>
      </c>
      <c r="D26" s="85">
        <f>INDEX('Informacion del AEP'!$D$102:$N$122,MATCH('Costos aguas abajo'!$C26,'Informacion del AEP'!$C$102:$C$122,0),MATCH('Costos aguas abajo'!$C$10,'Informacion del AEP'!$D$101:$N$101,0))</f>
        <v>500000000</v>
      </c>
      <c r="F26" s="87">
        <f>D26*Supuestos!$C40</f>
        <v>50000000</v>
      </c>
      <c r="G26" s="87">
        <f>D26*(1-Supuestos!$C40)</f>
        <v>450000000</v>
      </c>
      <c r="I26" s="87">
        <f t="shared" si="0"/>
        <v>50000000</v>
      </c>
      <c r="J26" s="87">
        <f>G26*Supuestos!$C$20</f>
        <v>53405174.6187234</v>
      </c>
      <c r="K26" s="87">
        <f>(I26+J26)*(1/Supuestos!$C$20)</f>
        <v>871307488.65881777</v>
      </c>
    </row>
    <row r="27" spans="3:11" x14ac:dyDescent="0.2">
      <c r="C27" s="76" t="s">
        <v>196</v>
      </c>
      <c r="D27" s="259">
        <f>SUM(D28:D31)</f>
        <v>0</v>
      </c>
      <c r="E27" s="76"/>
      <c r="F27" s="259">
        <f>SUM(F28:F31)</f>
        <v>0</v>
      </c>
      <c r="G27" s="259">
        <f>SUM(G28:G31)</f>
        <v>0</v>
      </c>
      <c r="H27" s="76"/>
      <c r="I27" s="259">
        <f>SUM(I28:I31)</f>
        <v>0</v>
      </c>
      <c r="J27" s="259">
        <f>SUM(J28:J31)</f>
        <v>0</v>
      </c>
      <c r="K27" s="259">
        <f>SUM(K28:K31)</f>
        <v>0</v>
      </c>
    </row>
    <row r="28" spans="3:11" x14ac:dyDescent="0.2">
      <c r="C28" s="6" t="str">
        <f>'Informacion del AEP'!C118</f>
        <v>Costo del Capital:Servicios generales y de gestión - minoristas</v>
      </c>
      <c r="D28" s="85">
        <f>INDEX('Informacion del AEP'!$D$102:$N$122,MATCH('Costos aguas abajo'!$C28,'Informacion del AEP'!$C$102:$C$122,0),MATCH('Costos aguas abajo'!$C$10,'Informacion del AEP'!$D$101:$N$101,0))</f>
        <v>0</v>
      </c>
      <c r="F28" s="265">
        <f>D28*Supuestos!$C42</f>
        <v>0</v>
      </c>
      <c r="G28" s="265">
        <f>D28*(1-Supuestos!$C42)</f>
        <v>0</v>
      </c>
      <c r="I28" s="265">
        <f>+F28</f>
        <v>0</v>
      </c>
      <c r="J28" s="265">
        <f>G28*Supuestos!$C$20</f>
        <v>0</v>
      </c>
      <c r="K28" s="265">
        <f>(I28+J28)*(1/Supuestos!$C$20)</f>
        <v>0</v>
      </c>
    </row>
    <row r="29" spans="3:11" x14ac:dyDescent="0.2">
      <c r="C29" s="6" t="str">
        <f>'Informacion del AEP'!C119</f>
        <v>Costo del Capital:Servicios generales y de gestión - red</v>
      </c>
      <c r="D29" s="85">
        <f>INDEX('Informacion del AEP'!$D$102:$N$122,MATCH('Costos aguas abajo'!$C29,'Informacion del AEP'!$C$102:$C$122,0),MATCH('Costos aguas abajo'!$C$10,'Informacion del AEP'!$D$101:$N$101,0))</f>
        <v>0</v>
      </c>
      <c r="F29" s="265">
        <f>D29*Supuestos!$C43</f>
        <v>0</v>
      </c>
      <c r="G29" s="265">
        <f>D29*(1-Supuestos!$C43)</f>
        <v>0</v>
      </c>
      <c r="I29" s="265">
        <f t="shared" ref="I29:I31" si="1">+F29</f>
        <v>0</v>
      </c>
      <c r="J29" s="265">
        <f>G29*Supuestos!$C$20</f>
        <v>0</v>
      </c>
      <c r="K29" s="265">
        <f>(I29+J29)*(1/Supuestos!$C$20)</f>
        <v>0</v>
      </c>
    </row>
    <row r="30" spans="3:11" x14ac:dyDescent="0.2">
      <c r="C30" s="6" t="str">
        <f>'Informacion del AEP'!C120</f>
        <v xml:space="preserve">Costo del Capital:Servicios generales y de gestión - negocio </v>
      </c>
      <c r="D30" s="85">
        <f>INDEX('Informacion del AEP'!$D$102:$N$122,MATCH('Costos aguas abajo'!$C30,'Informacion del AEP'!$C$102:$C$122,0),MATCH('Costos aguas abajo'!$C$10,'Informacion del AEP'!$D$101:$N$101,0))</f>
        <v>0</v>
      </c>
      <c r="F30" s="265">
        <f>D30*Supuestos!$C44</f>
        <v>0</v>
      </c>
      <c r="G30" s="265">
        <f>D30*(1-Supuestos!$C44)</f>
        <v>0</v>
      </c>
      <c r="I30" s="265">
        <f t="shared" si="1"/>
        <v>0</v>
      </c>
      <c r="J30" s="265">
        <f>G30*Supuestos!$C$20</f>
        <v>0</v>
      </c>
      <c r="K30" s="265">
        <f>(I30+J30)*(1/Supuestos!$C$20)</f>
        <v>0</v>
      </c>
    </row>
    <row r="31" spans="3:11" x14ac:dyDescent="0.2">
      <c r="C31" s="6" t="str">
        <f>'Informacion del AEP'!C121</f>
        <v>Costo del Capital:Equipos terminales</v>
      </c>
      <c r="D31" s="85">
        <f>INDEX('Informacion del AEP'!$D$102:$N$122,MATCH('Costos aguas abajo'!$C31,'Informacion del AEP'!$C$102:$C$122,0),MATCH('Costos aguas abajo'!$C$10,'Informacion del AEP'!$D$101:$N$101,0))</f>
        <v>0</v>
      </c>
      <c r="F31" s="265">
        <f>D31*Supuestos!$C45</f>
        <v>0</v>
      </c>
      <c r="G31" s="265">
        <f>D31*(1-Supuestos!$C45)</f>
        <v>0</v>
      </c>
      <c r="I31" s="265">
        <f t="shared" si="1"/>
        <v>0</v>
      </c>
      <c r="J31" s="265">
        <f>G31*Supuestos!$C$20</f>
        <v>0</v>
      </c>
      <c r="K31" s="265">
        <f>(I31+J31)*(1/Supuestos!$C$20)</f>
        <v>0</v>
      </c>
    </row>
    <row r="32" spans="3:11" x14ac:dyDescent="0.2">
      <c r="D32" s="85"/>
      <c r="F32" s="265"/>
      <c r="G32" s="265"/>
      <c r="I32" s="265"/>
      <c r="J32" s="265"/>
      <c r="K32" s="265"/>
    </row>
    <row r="33" spans="3:11" x14ac:dyDescent="0.2">
      <c r="C33" s="88" t="s">
        <v>52</v>
      </c>
      <c r="D33" s="45" t="str">
        <f>IF(D10='Informacion del AEP'!F122,"Ok","Error")</f>
        <v>Ok</v>
      </c>
      <c r="I33" s="45" t="str">
        <f>IF(I10=F10,"Ok","Error")</f>
        <v>Ok</v>
      </c>
    </row>
    <row r="35" spans="3:11" x14ac:dyDescent="0.2">
      <c r="C35" s="89" t="str">
        <f>Supuestos!$B$76</f>
        <v>Segmento Prepago</v>
      </c>
      <c r="D35" s="90">
        <f>SUM(D36:D52)</f>
        <v>9511600000</v>
      </c>
      <c r="E35" s="91"/>
      <c r="F35" s="90">
        <f>SUM(F36:F52)</f>
        <v>247450000</v>
      </c>
      <c r="G35" s="90">
        <f>SUM(G36:G52)</f>
        <v>9264150000</v>
      </c>
      <c r="H35" s="91"/>
      <c r="I35" s="90">
        <f>SUM(I36:I52)</f>
        <v>247450000</v>
      </c>
      <c r="J35" s="90">
        <f>SUM(J36:J52)</f>
        <v>1099452329.8756588</v>
      </c>
      <c r="K35" s="90">
        <f>SUM(K36:K52)</f>
        <v>11349200761.372488</v>
      </c>
    </row>
    <row r="36" spans="3:11" x14ac:dyDescent="0.2">
      <c r="C36" s="6" t="str">
        <f>'Informacion del AEP'!C102</f>
        <v>Acceso a Internet</v>
      </c>
      <c r="D36" s="85">
        <f>INDEX('Informacion del AEP'!$D$102:$N$122,MATCH('Costos aguas abajo'!$C36,'Informacion del AEP'!$C$102:$C$122,0),MATCH('Costos aguas abajo'!$C$35,'Informacion del AEP'!$D$101:$N$101,0))</f>
        <v>0</v>
      </c>
      <c r="F36" s="87">
        <f>D36*Supuestos!$C25</f>
        <v>0</v>
      </c>
      <c r="G36" s="87">
        <f>D36*(1-Supuestos!$C25)</f>
        <v>0</v>
      </c>
      <c r="I36" s="87">
        <f>+F36</f>
        <v>0</v>
      </c>
      <c r="J36" s="87">
        <f>G36*Supuestos!$C$20</f>
        <v>0</v>
      </c>
      <c r="K36" s="87">
        <f>(I36+J36)*(1/Supuestos!$C$20)</f>
        <v>0</v>
      </c>
    </row>
    <row r="37" spans="3:11" x14ac:dyDescent="0.2">
      <c r="C37" s="6" t="str">
        <f>'Informacion del AEP'!C103</f>
        <v>Servicios OTT de vídeo</v>
      </c>
      <c r="D37" s="85">
        <f>INDEX('Informacion del AEP'!$D$102:$N$122,MATCH('Costos aguas abajo'!$C37,'Informacion del AEP'!$C$102:$C$122,0),MATCH('Costos aguas abajo'!$C$35,'Informacion del AEP'!$D$101:$N$101,0))</f>
        <v>0</v>
      </c>
      <c r="F37" s="87">
        <f>D37*Supuestos!$C26</f>
        <v>0</v>
      </c>
      <c r="G37" s="87">
        <f>D37*(1-Supuestos!$C26)</f>
        <v>0</v>
      </c>
      <c r="I37" s="87">
        <f t="shared" ref="I37:I53" si="2">+F37</f>
        <v>0</v>
      </c>
      <c r="J37" s="87">
        <f>G37*Supuestos!$C$20</f>
        <v>0</v>
      </c>
      <c r="K37" s="87">
        <f>(I37+J37)*(1/Supuestos!$C$20)</f>
        <v>0</v>
      </c>
    </row>
    <row r="38" spans="3:11" x14ac:dyDescent="0.2">
      <c r="C38" s="6" t="str">
        <f>'Informacion del AEP'!C104</f>
        <v>Servicios OTT de audio</v>
      </c>
      <c r="D38" s="85">
        <f>INDEX('Informacion del AEP'!$D$102:$N$122,MATCH('Costos aguas abajo'!$C38,'Informacion del AEP'!$C$102:$C$122,0),MATCH('Costos aguas abajo'!$C$35,'Informacion del AEP'!$D$101:$N$101,0))</f>
        <v>0</v>
      </c>
      <c r="F38" s="87">
        <f>D38*Supuestos!$C27</f>
        <v>0</v>
      </c>
      <c r="G38" s="87">
        <f>D38*(1-Supuestos!$C27)</f>
        <v>0</v>
      </c>
      <c r="I38" s="87">
        <f t="shared" si="2"/>
        <v>0</v>
      </c>
      <c r="J38" s="87">
        <f>G38*Supuestos!$C$20</f>
        <v>0</v>
      </c>
      <c r="K38" s="87">
        <f>(I38+J38)*(1/Supuestos!$C$20)</f>
        <v>0</v>
      </c>
    </row>
    <row r="39" spans="3:11" x14ac:dyDescent="0.2">
      <c r="C39" s="6" t="str">
        <f>'Informacion del AEP'!C105</f>
        <v>Comerciales</v>
      </c>
      <c r="D39" s="85">
        <f>INDEX('Informacion del AEP'!$D$102:$N$122,MATCH('Costos aguas abajo'!$C39,'Informacion del AEP'!$C$102:$C$122,0),MATCH('Costos aguas abajo'!$C$35,'Informacion del AEP'!$D$101:$N$101,0))</f>
        <v>2099999999.9999998</v>
      </c>
      <c r="F39" s="87">
        <f>D39*Supuestos!$C28</f>
        <v>210000000</v>
      </c>
      <c r="G39" s="87">
        <f>D39*(1-Supuestos!$C28)</f>
        <v>1889999999.9999998</v>
      </c>
      <c r="I39" s="87">
        <f t="shared" si="2"/>
        <v>210000000</v>
      </c>
      <c r="J39" s="87">
        <f>G39*Supuestos!$C$20</f>
        <v>224301733.39863825</v>
      </c>
      <c r="K39" s="87">
        <f>(I39+J39)*(1/Supuestos!$C$20)</f>
        <v>3659491452.3670344</v>
      </c>
    </row>
    <row r="40" spans="3:11" x14ac:dyDescent="0.2">
      <c r="C40" s="6" t="str">
        <f>'Informacion del AEP'!C106</f>
        <v>Facturación</v>
      </c>
      <c r="D40" s="85">
        <f>INDEX('Informacion del AEP'!$D$102:$N$122,MATCH('Costos aguas abajo'!$C40,'Informacion del AEP'!$C$102:$C$122,0),MATCH('Costos aguas abajo'!$C$35,'Informacion del AEP'!$D$101:$N$101,0))</f>
        <v>0</v>
      </c>
      <c r="F40" s="87">
        <f>D40*Supuestos!$C29</f>
        <v>0</v>
      </c>
      <c r="G40" s="87">
        <f>D40*(1-Supuestos!$C29)</f>
        <v>0</v>
      </c>
      <c r="I40" s="87">
        <f t="shared" si="2"/>
        <v>0</v>
      </c>
      <c r="J40" s="87">
        <f>G40*Supuestos!$C$20</f>
        <v>0</v>
      </c>
      <c r="K40" s="87">
        <f>(I40+J40)*(1/Supuestos!$C$20)</f>
        <v>0</v>
      </c>
    </row>
    <row r="41" spans="3:11" x14ac:dyDescent="0.2">
      <c r="C41" s="6" t="str">
        <f>'Informacion del AEP'!C107</f>
        <v>Cobranza</v>
      </c>
      <c r="D41" s="85">
        <f>INDEX('Informacion del AEP'!$D$102:$N$122,MATCH('Costos aguas abajo'!$C41,'Informacion del AEP'!$C$102:$C$122,0),MATCH('Costos aguas abajo'!$C$35,'Informacion del AEP'!$D$101:$N$101,0))</f>
        <v>0</v>
      </c>
      <c r="F41" s="87">
        <f>D41*Supuestos!$C30</f>
        <v>0</v>
      </c>
      <c r="G41" s="87">
        <f>D41*(1-Supuestos!$C30)</f>
        <v>0</v>
      </c>
      <c r="I41" s="87">
        <f t="shared" si="2"/>
        <v>0</v>
      </c>
      <c r="J41" s="87">
        <f>G41*Supuestos!$C$20</f>
        <v>0</v>
      </c>
      <c r="K41" s="87">
        <f>(I41+J41)*(1/Supuestos!$C$20)</f>
        <v>0</v>
      </c>
    </row>
    <row r="42" spans="3:11" x14ac:dyDescent="0.2">
      <c r="C42" s="6" t="str">
        <f>'Informacion del AEP'!C108</f>
        <v>Tasas e impuestos</v>
      </c>
      <c r="D42" s="85">
        <f>INDEX('Informacion del AEP'!$D$102:$N$122,MATCH('Costos aguas abajo'!$C42,'Informacion del AEP'!$C$102:$C$122,0),MATCH('Costos aguas abajo'!$C$35,'Informacion del AEP'!$D$101:$N$101,0))</f>
        <v>24500000</v>
      </c>
      <c r="F42" s="87">
        <f>D42*Supuestos!$C31</f>
        <v>2450000</v>
      </c>
      <c r="G42" s="87">
        <f>D42*(1-Supuestos!$C31)</f>
        <v>22050000</v>
      </c>
      <c r="I42" s="87">
        <f t="shared" si="2"/>
        <v>2450000</v>
      </c>
      <c r="J42" s="87">
        <f>G42*Supuestos!$C$20</f>
        <v>2616853.5563174468</v>
      </c>
      <c r="K42" s="87">
        <f>(I42+J42)*(1/Supuestos!$C$20)</f>
        <v>42694066.94428207</v>
      </c>
    </row>
    <row r="43" spans="3:11" x14ac:dyDescent="0.2">
      <c r="C43" s="6" t="str">
        <f>'Informacion del AEP'!C109</f>
        <v>Programas de fidelización</v>
      </c>
      <c r="D43" s="85">
        <f>INDEX('Informacion del AEP'!$D$102:$N$122,MATCH('Costos aguas abajo'!$C43,'Informacion del AEP'!$C$102:$C$122,0),MATCH('Costos aguas abajo'!$C$35,'Informacion del AEP'!$D$101:$N$101,0))</f>
        <v>0</v>
      </c>
      <c r="F43" s="87">
        <f>D43*Supuestos!$C32</f>
        <v>0</v>
      </c>
      <c r="G43" s="87">
        <f>D43*(1-Supuestos!$C32)</f>
        <v>0</v>
      </c>
      <c r="I43" s="87">
        <f t="shared" si="2"/>
        <v>0</v>
      </c>
      <c r="J43" s="87">
        <f>G43*Supuestos!$C$20</f>
        <v>0</v>
      </c>
      <c r="K43" s="87">
        <f>(I43+J43)*(1/Supuestos!$C$20)</f>
        <v>0</v>
      </c>
    </row>
    <row r="44" spans="3:11" x14ac:dyDescent="0.2">
      <c r="C44" s="6" t="str">
        <f>'Informacion del AEP'!C110</f>
        <v>Acceso internet internacional</v>
      </c>
      <c r="D44" s="85">
        <f>INDEX('Informacion del AEP'!$D$102:$N$122,MATCH('Costos aguas abajo'!$C44,'Informacion del AEP'!$C$102:$C$122,0),MATCH('Costos aguas abajo'!$C$35,'Informacion del AEP'!$D$101:$N$101,0))</f>
        <v>26600000</v>
      </c>
      <c r="F44" s="87">
        <f>D44*Supuestos!$C33</f>
        <v>0</v>
      </c>
      <c r="G44" s="87">
        <f>D44*(1-Supuestos!$C33)</f>
        <v>26600000</v>
      </c>
      <c r="I44" s="87">
        <f t="shared" si="2"/>
        <v>0</v>
      </c>
      <c r="J44" s="87">
        <f>G44*Supuestos!$C$20</f>
        <v>3156839.2107956503</v>
      </c>
      <c r="K44" s="87">
        <f>(I44+J44)*(1/Supuestos!$C$20)</f>
        <v>26600000</v>
      </c>
    </row>
    <row r="45" spans="3:11" x14ac:dyDescent="0.2">
      <c r="C45" s="6" t="str">
        <f>'Informacion del AEP'!C111</f>
        <v>Roaming nacional</v>
      </c>
      <c r="D45" s="85">
        <f>INDEX('Informacion del AEP'!$D$102:$N$122,MATCH('Costos aguas abajo'!$C45,'Informacion del AEP'!$C$102:$C$122,0),MATCH('Costos aguas abajo'!$C$35,'Informacion del AEP'!$D$101:$N$101,0))</f>
        <v>10500000</v>
      </c>
      <c r="F45" s="87">
        <f>D45*Supuestos!$C34</f>
        <v>0</v>
      </c>
      <c r="G45" s="87">
        <f>D45*(1-Supuestos!$C34)</f>
        <v>10500000</v>
      </c>
      <c r="I45" s="87">
        <f t="shared" si="2"/>
        <v>0</v>
      </c>
      <c r="J45" s="87">
        <f>G45*Supuestos!$C$20</f>
        <v>1246120.741103546</v>
      </c>
      <c r="K45" s="87">
        <f>(I45+J45)*(1/Supuestos!$C$20)</f>
        <v>10499999.999999998</v>
      </c>
    </row>
    <row r="46" spans="3:11" x14ac:dyDescent="0.2">
      <c r="C46" s="6" t="str">
        <f>'Informacion del AEP'!C112</f>
        <v>Roaming internacional</v>
      </c>
      <c r="D46" s="85">
        <f>INDEX('Informacion del AEP'!$D$102:$N$122,MATCH('Costos aguas abajo'!$C46,'Informacion del AEP'!$C$102:$C$122,0),MATCH('Costos aguas abajo'!$C$35,'Informacion del AEP'!$D$101:$N$101,0))</f>
        <v>0</v>
      </c>
      <c r="F46" s="87">
        <f>D46*Supuestos!$C35</f>
        <v>0</v>
      </c>
      <c r="G46" s="87">
        <f>D46*(1-Supuestos!$C35)</f>
        <v>0</v>
      </c>
      <c r="I46" s="87">
        <f t="shared" si="2"/>
        <v>0</v>
      </c>
      <c r="J46" s="87">
        <f>G46*Supuestos!$C$20</f>
        <v>0</v>
      </c>
      <c r="K46" s="87">
        <f>(I46+J46)*(1/Supuestos!$C$20)</f>
        <v>0</v>
      </c>
    </row>
    <row r="47" spans="3:11" x14ac:dyDescent="0.2">
      <c r="C47" s="6" t="str">
        <f>'Informacion del AEP'!C113</f>
        <v>Provisiones</v>
      </c>
      <c r="D47" s="85">
        <f>INDEX('Informacion del AEP'!$D$102:$N$122,MATCH('Costos aguas abajo'!$C47,'Informacion del AEP'!$C$102:$C$122,0),MATCH('Costos aguas abajo'!$C$35,'Informacion del AEP'!$D$101:$N$101,0))</f>
        <v>0</v>
      </c>
      <c r="F47" s="87">
        <f>D47*Supuestos!$C36</f>
        <v>0</v>
      </c>
      <c r="G47" s="87">
        <f>D47*(1-Supuestos!$C36)</f>
        <v>0</v>
      </c>
      <c r="I47" s="87">
        <f t="shared" si="2"/>
        <v>0</v>
      </c>
      <c r="J47" s="87">
        <f>G47*Supuestos!$C$20</f>
        <v>0</v>
      </c>
      <c r="K47" s="87">
        <f>(I47+J47)*(1/Supuestos!$C$20)</f>
        <v>0</v>
      </c>
    </row>
    <row r="48" spans="3:11" x14ac:dyDescent="0.2">
      <c r="C48" s="6" t="str">
        <f>'Informacion del AEP'!C114</f>
        <v>Costos directos de la venta de terminales</v>
      </c>
      <c r="D48" s="85">
        <f>INDEX('Informacion del AEP'!$D$102:$N$122,MATCH('Costos aguas abajo'!$C48,'Informacion del AEP'!$C$102:$C$122,0),MATCH('Costos aguas abajo'!$C$35,'Informacion del AEP'!$D$101:$N$101,0))</f>
        <v>7000000000</v>
      </c>
      <c r="F48" s="87">
        <f>D48*Supuestos!$C37</f>
        <v>0</v>
      </c>
      <c r="G48" s="87">
        <f>D48*(1-Supuestos!$C37)</f>
        <v>7000000000</v>
      </c>
      <c r="I48" s="87">
        <f t="shared" si="2"/>
        <v>0</v>
      </c>
      <c r="J48" s="87">
        <f>G48*Supuestos!$C$20</f>
        <v>830747160.73569739</v>
      </c>
      <c r="K48" s="87">
        <f>(I48+J48)*(1/Supuestos!$C$20)</f>
        <v>6999999999.999999</v>
      </c>
    </row>
    <row r="49" spans="3:11" x14ac:dyDescent="0.2">
      <c r="C49" s="6" t="str">
        <f>'Informacion del AEP'!C115</f>
        <v>Servicios generales y de gestión - minoristas</v>
      </c>
      <c r="D49" s="85">
        <f>INDEX('Informacion del AEP'!$D$102:$N$122,MATCH('Costos aguas abajo'!$C49,'Informacion del AEP'!$C$102:$C$122,0),MATCH('Costos aguas abajo'!$C$35,'Informacion del AEP'!$D$101:$N$101,0))</f>
        <v>0</v>
      </c>
      <c r="F49" s="87">
        <f>D49*Supuestos!$C38</f>
        <v>0</v>
      </c>
      <c r="G49" s="87">
        <f>D49*(1-Supuestos!$C38)</f>
        <v>0</v>
      </c>
      <c r="I49" s="87">
        <f t="shared" si="2"/>
        <v>0</v>
      </c>
      <c r="J49" s="87">
        <f>G49*Supuestos!$C$20</f>
        <v>0</v>
      </c>
      <c r="K49" s="87">
        <f>(I49+J49)*(1/Supuestos!$C$20)</f>
        <v>0</v>
      </c>
    </row>
    <row r="50" spans="3:11" x14ac:dyDescent="0.2">
      <c r="C50" s="6" t="str">
        <f>'Informacion del AEP'!C116</f>
        <v>Servicios generales y de gestión - red</v>
      </c>
      <c r="D50" s="85">
        <f>INDEX('Informacion del AEP'!$D$102:$N$122,MATCH('Costos aguas abajo'!$C50,'Informacion del AEP'!$C$102:$C$122,0),MATCH('Costos aguas abajo'!$C$35,'Informacion del AEP'!$D$101:$N$101,0))</f>
        <v>0</v>
      </c>
      <c r="F50" s="87">
        <f>D50*Supuestos!$C39</f>
        <v>0</v>
      </c>
      <c r="G50" s="87">
        <f>D50*(1-Supuestos!$C39)</f>
        <v>0</v>
      </c>
      <c r="I50" s="87">
        <f t="shared" si="2"/>
        <v>0</v>
      </c>
      <c r="J50" s="87">
        <f>G50*Supuestos!$C$20</f>
        <v>0</v>
      </c>
      <c r="K50" s="87">
        <f>(I50+J50)*(1/Supuestos!$C$20)</f>
        <v>0</v>
      </c>
    </row>
    <row r="51" spans="3:11" x14ac:dyDescent="0.2">
      <c r="C51" s="6" t="str">
        <f>'Informacion del AEP'!C117</f>
        <v xml:space="preserve">Servicios generales y de gestión - negocio </v>
      </c>
      <c r="D51" s="85">
        <f>INDEX('Informacion del AEP'!$D$102:$N$122,MATCH('Costos aguas abajo'!$C51,'Informacion del AEP'!$C$102:$C$122,0),MATCH('Costos aguas abajo'!$C$35,'Informacion del AEP'!$D$101:$N$101,0))</f>
        <v>350000000</v>
      </c>
      <c r="F51" s="87">
        <f>D51*Supuestos!$C40</f>
        <v>35000000</v>
      </c>
      <c r="G51" s="87">
        <f>D51*(1-Supuestos!$C40)</f>
        <v>315000000</v>
      </c>
      <c r="I51" s="87">
        <f t="shared" si="2"/>
        <v>35000000</v>
      </c>
      <c r="J51" s="87">
        <f>G51*Supuestos!$C$20</f>
        <v>37383622.233106382</v>
      </c>
      <c r="K51" s="87">
        <f>(I51+J51)*(1/Supuestos!$C$20)</f>
        <v>609915242.06117237</v>
      </c>
    </row>
    <row r="52" spans="3:11" x14ac:dyDescent="0.2">
      <c r="C52" s="76" t="s">
        <v>196</v>
      </c>
      <c r="D52" s="259">
        <f>SUM(D53:D56)</f>
        <v>0</v>
      </c>
      <c r="F52" s="259">
        <f>SUM(F53:F56)</f>
        <v>0</v>
      </c>
      <c r="G52" s="259">
        <f>SUM(G53:G56)</f>
        <v>0</v>
      </c>
      <c r="I52" s="259">
        <f>SUM(I53:I56)</f>
        <v>0</v>
      </c>
      <c r="J52" s="259">
        <f>SUM(J53:J56)</f>
        <v>0</v>
      </c>
      <c r="K52" s="259">
        <f>SUM(K53:K56)</f>
        <v>0</v>
      </c>
    </row>
    <row r="53" spans="3:11" x14ac:dyDescent="0.2">
      <c r="C53" s="6" t="str">
        <f>'Informacion del AEP'!C118</f>
        <v>Costo del Capital:Servicios generales y de gestión - minoristas</v>
      </c>
      <c r="D53" s="85">
        <f>INDEX('Informacion del AEP'!$D$102:$N$122,MATCH('Costos aguas abajo'!$C53,'Informacion del AEP'!$C$102:$C$122,0),MATCH('Costos aguas abajo'!$C$35,'Informacion del AEP'!$D$101:$N$101,0))</f>
        <v>0</v>
      </c>
      <c r="F53" s="87">
        <f>D53*Supuestos!$C41</f>
        <v>0</v>
      </c>
      <c r="G53" s="87">
        <f>D53*(1-Supuestos!$C41)</f>
        <v>0</v>
      </c>
      <c r="I53" s="87">
        <f t="shared" si="2"/>
        <v>0</v>
      </c>
      <c r="J53" s="87">
        <f>G53*Supuestos!$C$20</f>
        <v>0</v>
      </c>
      <c r="K53" s="87">
        <f>(I53+J53)*(1/Supuestos!$C$20)</f>
        <v>0</v>
      </c>
    </row>
    <row r="54" spans="3:11" x14ac:dyDescent="0.2">
      <c r="C54" s="6" t="str">
        <f>'Informacion del AEP'!C119</f>
        <v>Costo del Capital:Servicios generales y de gestión - red</v>
      </c>
      <c r="D54" s="85">
        <f>INDEX('Informacion del AEP'!$D$102:$N$122,MATCH('Costos aguas abajo'!$C54,'Informacion del AEP'!$C$102:$C$122,0),MATCH('Costos aguas abajo'!$C$35,'Informacion del AEP'!$D$101:$N$101,0))</f>
        <v>0</v>
      </c>
      <c r="F54" s="87">
        <f>D54*Supuestos!$C42</f>
        <v>0</v>
      </c>
      <c r="G54" s="87">
        <f>D54*(1-Supuestos!$C42)</f>
        <v>0</v>
      </c>
      <c r="I54" s="87">
        <f t="shared" ref="I54:I56" si="3">+F54</f>
        <v>0</v>
      </c>
      <c r="J54" s="87">
        <f>G54*Supuestos!$C$20</f>
        <v>0</v>
      </c>
      <c r="K54" s="87">
        <f>(I54+J54)*(1/Supuestos!$C$20)</f>
        <v>0</v>
      </c>
    </row>
    <row r="55" spans="3:11" x14ac:dyDescent="0.2">
      <c r="C55" s="6" t="str">
        <f>'Informacion del AEP'!C120</f>
        <v xml:space="preserve">Costo del Capital:Servicios generales y de gestión - negocio </v>
      </c>
      <c r="D55" s="85">
        <f>INDEX('Informacion del AEP'!$D$102:$N$122,MATCH('Costos aguas abajo'!$C55,'Informacion del AEP'!$C$102:$C$122,0),MATCH('Costos aguas abajo'!$C$35,'Informacion del AEP'!$D$101:$N$101,0))</f>
        <v>0</v>
      </c>
      <c r="F55" s="87">
        <f>D55*Supuestos!$C43</f>
        <v>0</v>
      </c>
      <c r="G55" s="87">
        <f>D55*(1-Supuestos!$C43)</f>
        <v>0</v>
      </c>
      <c r="I55" s="87">
        <f t="shared" si="3"/>
        <v>0</v>
      </c>
      <c r="J55" s="87">
        <f>G55*Supuestos!$C$20</f>
        <v>0</v>
      </c>
      <c r="K55" s="87">
        <f>(I55+J55)*(1/Supuestos!$C$20)</f>
        <v>0</v>
      </c>
    </row>
    <row r="56" spans="3:11" x14ac:dyDescent="0.2">
      <c r="C56" s="6" t="str">
        <f>'Informacion del AEP'!C121</f>
        <v>Costo del Capital:Equipos terminales</v>
      </c>
      <c r="D56" s="85">
        <f>INDEX('Informacion del AEP'!$D$102:$N$122,MATCH('Costos aguas abajo'!$C56,'Informacion del AEP'!$C$102:$C$122,0),MATCH('Costos aguas abajo'!$C$35,'Informacion del AEP'!$D$101:$N$101,0))</f>
        <v>0</v>
      </c>
      <c r="F56" s="87">
        <f>D56*Supuestos!$C44</f>
        <v>0</v>
      </c>
      <c r="G56" s="87">
        <f>D56*(1-Supuestos!$C44)</f>
        <v>0</v>
      </c>
      <c r="I56" s="87">
        <f t="shared" si="3"/>
        <v>0</v>
      </c>
      <c r="J56" s="87">
        <f>G56*Supuestos!$C$20</f>
        <v>0</v>
      </c>
      <c r="K56" s="87">
        <f>(I56+J56)*(1/Supuestos!$C$20)</f>
        <v>0</v>
      </c>
    </row>
    <row r="58" spans="3:11" x14ac:dyDescent="0.2">
      <c r="C58" s="88" t="s">
        <v>52</v>
      </c>
      <c r="D58" s="45" t="str">
        <f>IF(D35='Informacion del AEP'!G122,"Ok","Error")</f>
        <v>Ok</v>
      </c>
      <c r="I58" s="45" t="str">
        <f>IF(I35=F35,"Ok","Error")</f>
        <v>Ok</v>
      </c>
    </row>
    <row r="60" spans="3:11" x14ac:dyDescent="0.2">
      <c r="C60" s="89" t="str">
        <f>Supuestos!$B$77</f>
        <v>Segmento Pospago</v>
      </c>
      <c r="D60" s="90">
        <f>SUM(D61:D77)</f>
        <v>4882300000</v>
      </c>
      <c r="E60" s="91"/>
      <c r="F60" s="90">
        <f>SUM(F61:F77)</f>
        <v>136095000</v>
      </c>
      <c r="G60" s="90">
        <f>SUM(G61:G77)</f>
        <v>4746205000</v>
      </c>
      <c r="H60" s="91"/>
      <c r="I60" s="90">
        <f>SUM(I61:I77)</f>
        <v>136095000</v>
      </c>
      <c r="J60" s="90">
        <f>SUM(J61:J77)</f>
        <v>563270904.0027957</v>
      </c>
      <c r="K60" s="90">
        <f>SUM(K61:K77)</f>
        <v>5892961853.3804359</v>
      </c>
    </row>
    <row r="61" spans="3:11" x14ac:dyDescent="0.2">
      <c r="C61" s="6" t="str">
        <f>'Informacion del AEP'!C102</f>
        <v>Acceso a Internet</v>
      </c>
      <c r="D61" s="85">
        <f>INDEX('Informacion del AEP'!$D$102:$N$122,MATCH('Costos aguas abajo'!$C61,'Informacion del AEP'!$C$102:$C$122,0),MATCH('Costos aguas abajo'!$C$60,'Informacion del AEP'!$D$101:$N$101,0))</f>
        <v>0</v>
      </c>
      <c r="F61" s="87">
        <f>D61*Supuestos!$C25</f>
        <v>0</v>
      </c>
      <c r="G61" s="87">
        <f>D61*(1-Supuestos!$C25)</f>
        <v>0</v>
      </c>
      <c r="I61" s="87">
        <f>+F61</f>
        <v>0</v>
      </c>
      <c r="J61" s="87">
        <f>G61*Supuestos!$C$20</f>
        <v>0</v>
      </c>
      <c r="K61" s="87">
        <f>(I61+J61)*(1/Supuestos!$C$20)</f>
        <v>0</v>
      </c>
    </row>
    <row r="62" spans="3:11" x14ac:dyDescent="0.2">
      <c r="C62" s="6" t="str">
        <f>'Informacion del AEP'!C103</f>
        <v>Servicios OTT de vídeo</v>
      </c>
      <c r="D62" s="85">
        <f>INDEX('Informacion del AEP'!$D$102:$N$122,MATCH('Costos aguas abajo'!$C62,'Informacion del AEP'!$C$102:$C$122,0),MATCH('Costos aguas abajo'!$C$60,'Informacion del AEP'!$D$101:$N$101,0))</f>
        <v>80000000</v>
      </c>
      <c r="F62" s="87">
        <f>D62*Supuestos!$C26</f>
        <v>0</v>
      </c>
      <c r="G62" s="87">
        <f>D62*(1-Supuestos!$C26)</f>
        <v>80000000</v>
      </c>
      <c r="I62" s="87">
        <f t="shared" ref="I62:I78" si="4">+F62</f>
        <v>0</v>
      </c>
      <c r="J62" s="87">
        <f>G62*Supuestos!$C$20</f>
        <v>9494253.2655508276</v>
      </c>
      <c r="K62" s="87">
        <f>(I62+J62)*(1/Supuestos!$C$20)</f>
        <v>80000000</v>
      </c>
    </row>
    <row r="63" spans="3:11" x14ac:dyDescent="0.2">
      <c r="C63" s="6" t="str">
        <f>'Informacion del AEP'!C104</f>
        <v>Servicios OTT de audio</v>
      </c>
      <c r="D63" s="85">
        <f>INDEX('Informacion del AEP'!$D$102:$N$122,MATCH('Costos aguas abajo'!$C63,'Informacion del AEP'!$C$102:$C$122,0),MATCH('Costos aguas abajo'!$C$60,'Informacion del AEP'!$D$101:$N$101,0))</f>
        <v>0</v>
      </c>
      <c r="F63" s="87">
        <f>D63*Supuestos!$C27</f>
        <v>0</v>
      </c>
      <c r="G63" s="87">
        <f>D63*(1-Supuestos!$C27)</f>
        <v>0</v>
      </c>
      <c r="I63" s="87">
        <f t="shared" si="4"/>
        <v>0</v>
      </c>
      <c r="J63" s="87">
        <f>G63*Supuestos!$C$20</f>
        <v>0</v>
      </c>
      <c r="K63" s="87">
        <f>(I63+J63)*(1/Supuestos!$C$20)</f>
        <v>0</v>
      </c>
    </row>
    <row r="64" spans="3:11" x14ac:dyDescent="0.2">
      <c r="C64" s="6" t="str">
        <f>'Informacion del AEP'!C105</f>
        <v>Comerciales</v>
      </c>
      <c r="D64" s="85">
        <f>INDEX('Informacion del AEP'!$D$102:$N$122,MATCH('Costos aguas abajo'!$C64,'Informacion del AEP'!$C$102:$C$122,0),MATCH('Costos aguas abajo'!$C$60,'Informacion del AEP'!$D$101:$N$101,0))</f>
        <v>900000000</v>
      </c>
      <c r="F64" s="87">
        <f>D64*Supuestos!$C28</f>
        <v>90000000</v>
      </c>
      <c r="G64" s="87">
        <f>D64*(1-Supuestos!$C28)</f>
        <v>810000000</v>
      </c>
      <c r="I64" s="87">
        <f t="shared" si="4"/>
        <v>90000000</v>
      </c>
      <c r="J64" s="87">
        <f>G64*Supuestos!$C$20</f>
        <v>96129314.313702121</v>
      </c>
      <c r="K64" s="87">
        <f>(I64+J64)*(1/Supuestos!$C$20)</f>
        <v>1568353479.5858719</v>
      </c>
    </row>
    <row r="65" spans="3:11" x14ac:dyDescent="0.2">
      <c r="C65" s="6" t="str">
        <f>'Informacion del AEP'!C106</f>
        <v>Facturación</v>
      </c>
      <c r="D65" s="85">
        <f>INDEX('Informacion del AEP'!$D$102:$N$122,MATCH('Costos aguas abajo'!$C65,'Informacion del AEP'!$C$102:$C$122,0),MATCH('Costos aguas abajo'!$C$60,'Informacion del AEP'!$D$101:$N$101,0))</f>
        <v>900000</v>
      </c>
      <c r="F65" s="87">
        <f>D65*Supuestos!$C29</f>
        <v>45000</v>
      </c>
      <c r="G65" s="87">
        <f>D65*(1-Supuestos!$C29)</f>
        <v>855000</v>
      </c>
      <c r="I65" s="87">
        <f t="shared" si="4"/>
        <v>45000</v>
      </c>
      <c r="J65" s="87">
        <f>G65*Supuestos!$C$20</f>
        <v>101469.83177557446</v>
      </c>
      <c r="K65" s="87">
        <f>(I65+J65)*(1/Supuestos!$C$20)</f>
        <v>1234176.739792936</v>
      </c>
    </row>
    <row r="66" spans="3:11" x14ac:dyDescent="0.2">
      <c r="C66" s="6" t="str">
        <f>'Informacion del AEP'!C107</f>
        <v>Cobranza</v>
      </c>
      <c r="D66" s="85">
        <f>INDEX('Informacion del AEP'!$D$102:$N$122,MATCH('Costos aguas abajo'!$C66,'Informacion del AEP'!$C$102:$C$122,0),MATCH('Costos aguas abajo'!$C$60,'Informacion del AEP'!$D$101:$N$101,0))</f>
        <v>35000000</v>
      </c>
      <c r="F66" s="87">
        <f>D66*Supuestos!$C30</f>
        <v>0</v>
      </c>
      <c r="G66" s="87">
        <f>D66*(1-Supuestos!$C30)</f>
        <v>35000000</v>
      </c>
      <c r="I66" s="87">
        <f t="shared" si="4"/>
        <v>0</v>
      </c>
      <c r="J66" s="87">
        <f>G66*Supuestos!$C$20</f>
        <v>4153735.803678487</v>
      </c>
      <c r="K66" s="87">
        <f>(I66+J66)*(1/Supuestos!$C$20)</f>
        <v>35000000</v>
      </c>
    </row>
    <row r="67" spans="3:11" x14ac:dyDescent="0.2">
      <c r="C67" s="6" t="str">
        <f>'Informacion del AEP'!C108</f>
        <v>Tasas e impuestos</v>
      </c>
      <c r="D67" s="85">
        <f>INDEX('Informacion del AEP'!$D$102:$N$122,MATCH('Costos aguas abajo'!$C67,'Informacion del AEP'!$C$102:$C$122,0),MATCH('Costos aguas abajo'!$C$60,'Informacion del AEP'!$D$101:$N$101,0))</f>
        <v>10500000</v>
      </c>
      <c r="F67" s="87">
        <f>D67*Supuestos!$C31</f>
        <v>1050000</v>
      </c>
      <c r="G67" s="87">
        <f>D67*(1-Supuestos!$C31)</f>
        <v>9450000</v>
      </c>
      <c r="I67" s="87">
        <f t="shared" si="4"/>
        <v>1050000</v>
      </c>
      <c r="J67" s="87">
        <f>G67*Supuestos!$C$20</f>
        <v>1121508.6669931915</v>
      </c>
      <c r="K67" s="87">
        <f>(I67+J67)*(1/Supuestos!$C$20)</f>
        <v>18297457.261835173</v>
      </c>
    </row>
    <row r="68" spans="3:11" x14ac:dyDescent="0.2">
      <c r="C68" s="6" t="str">
        <f>'Informacion del AEP'!C109</f>
        <v>Programas de fidelización</v>
      </c>
      <c r="D68" s="85">
        <f>INDEX('Informacion del AEP'!$D$102:$N$122,MATCH('Costos aguas abajo'!$C68,'Informacion del AEP'!$C$102:$C$122,0),MATCH('Costos aguas abajo'!$C$60,'Informacion del AEP'!$D$101:$N$101,0))</f>
        <v>40000000</v>
      </c>
      <c r="F68" s="87">
        <f>D68*Supuestos!$C32</f>
        <v>0</v>
      </c>
      <c r="G68" s="87">
        <f>D68*(1-Supuestos!$C32)</f>
        <v>40000000</v>
      </c>
      <c r="I68" s="87">
        <f t="shared" si="4"/>
        <v>0</v>
      </c>
      <c r="J68" s="87">
        <f>G68*Supuestos!$C$20</f>
        <v>4747126.6327754138</v>
      </c>
      <c r="K68" s="87">
        <f>(I68+J68)*(1/Supuestos!$C$20)</f>
        <v>40000000</v>
      </c>
    </row>
    <row r="69" spans="3:11" x14ac:dyDescent="0.2">
      <c r="C69" s="6" t="str">
        <f>'Informacion del AEP'!C110</f>
        <v>Acceso internet internacional</v>
      </c>
      <c r="D69" s="85">
        <f>INDEX('Informacion del AEP'!$D$102:$N$122,MATCH('Costos aguas abajo'!$C69,'Informacion del AEP'!$C$102:$C$122,0),MATCH('Costos aguas abajo'!$C$60,'Informacion del AEP'!$D$101:$N$101,0))</f>
        <v>11400000</v>
      </c>
      <c r="F69" s="87">
        <f>D69*Supuestos!$C33</f>
        <v>0</v>
      </c>
      <c r="G69" s="87">
        <f>D69*(1-Supuestos!$C33)</f>
        <v>11400000</v>
      </c>
      <c r="I69" s="87">
        <f t="shared" si="4"/>
        <v>0</v>
      </c>
      <c r="J69" s="87">
        <f>G69*Supuestos!$C$20</f>
        <v>1352931.0903409929</v>
      </c>
      <c r="K69" s="87">
        <f>(I69+J69)*(1/Supuestos!$C$20)</f>
        <v>11399999.999999998</v>
      </c>
    </row>
    <row r="70" spans="3:11" x14ac:dyDescent="0.2">
      <c r="C70" s="6" t="str">
        <f>'Informacion del AEP'!C111</f>
        <v>Roaming nacional</v>
      </c>
      <c r="D70" s="85">
        <f>INDEX('Informacion del AEP'!$D$102:$N$122,MATCH('Costos aguas abajo'!$C70,'Informacion del AEP'!$C$102:$C$122,0),MATCH('Costos aguas abajo'!$C$60,'Informacion del AEP'!$D$101:$N$101,0))</f>
        <v>4500000</v>
      </c>
      <c r="F70" s="87">
        <f>D70*Supuestos!$C34</f>
        <v>0</v>
      </c>
      <c r="G70" s="87">
        <f>D70*(1-Supuestos!$C34)</f>
        <v>4500000</v>
      </c>
      <c r="I70" s="87">
        <f t="shared" si="4"/>
        <v>0</v>
      </c>
      <c r="J70" s="87">
        <f>G70*Supuestos!$C$20</f>
        <v>534051.74618723406</v>
      </c>
      <c r="K70" s="87">
        <f>(I70+J70)*(1/Supuestos!$C$20)</f>
        <v>4500000</v>
      </c>
    </row>
    <row r="71" spans="3:11" x14ac:dyDescent="0.2">
      <c r="C71" s="6" t="str">
        <f>'Informacion del AEP'!C112</f>
        <v>Roaming internacional</v>
      </c>
      <c r="D71" s="85">
        <f>INDEX('Informacion del AEP'!$D$102:$N$122,MATCH('Costos aguas abajo'!$C71,'Informacion del AEP'!$C$102:$C$122,0),MATCH('Costos aguas abajo'!$C$60,'Informacion del AEP'!$D$101:$N$101,0))</f>
        <v>0</v>
      </c>
      <c r="F71" s="87">
        <f>D71*Supuestos!$C35</f>
        <v>0</v>
      </c>
      <c r="G71" s="87">
        <f>D71*(1-Supuestos!$C35)</f>
        <v>0</v>
      </c>
      <c r="I71" s="87">
        <f t="shared" si="4"/>
        <v>0</v>
      </c>
      <c r="J71" s="87">
        <f>G71*Supuestos!$C$20</f>
        <v>0</v>
      </c>
      <c r="K71" s="87">
        <f>(I71+J71)*(1/Supuestos!$C$20)</f>
        <v>0</v>
      </c>
    </row>
    <row r="72" spans="3:11" x14ac:dyDescent="0.2">
      <c r="C72" s="6" t="str">
        <f>'Informacion del AEP'!C113</f>
        <v>Provisiones</v>
      </c>
      <c r="D72" s="85">
        <f>INDEX('Informacion del AEP'!$D$102:$N$122,MATCH('Costos aguas abajo'!$C72,'Informacion del AEP'!$C$102:$C$122,0),MATCH('Costos aguas abajo'!$C$60,'Informacion del AEP'!$D$101:$N$101,0))</f>
        <v>50000000</v>
      </c>
      <c r="F72" s="87">
        <f>D72*Supuestos!$C36</f>
        <v>0</v>
      </c>
      <c r="G72" s="87">
        <f>D72*(1-Supuestos!$C36)</f>
        <v>50000000</v>
      </c>
      <c r="I72" s="87">
        <f t="shared" si="4"/>
        <v>0</v>
      </c>
      <c r="J72" s="87">
        <f>G72*Supuestos!$C$20</f>
        <v>5933908.2909692666</v>
      </c>
      <c r="K72" s="87">
        <f>(I72+J72)*(1/Supuestos!$C$20)</f>
        <v>49999999.999999993</v>
      </c>
    </row>
    <row r="73" spans="3:11" x14ac:dyDescent="0.2">
      <c r="C73" s="6" t="str">
        <f>'Informacion del AEP'!C114</f>
        <v>Costos directos de la venta de terminales</v>
      </c>
      <c r="D73" s="85">
        <f>INDEX('Informacion del AEP'!$D$102:$N$122,MATCH('Costos aguas abajo'!$C73,'Informacion del AEP'!$C$102:$C$122,0),MATCH('Costos aguas abajo'!$C$60,'Informacion del AEP'!$D$101:$N$101,0))</f>
        <v>3000000000</v>
      </c>
      <c r="F73" s="87">
        <f>D73*Supuestos!$C37</f>
        <v>0</v>
      </c>
      <c r="G73" s="87">
        <f>D73*(1-Supuestos!$C37)</f>
        <v>3000000000</v>
      </c>
      <c r="I73" s="87">
        <f t="shared" si="4"/>
        <v>0</v>
      </c>
      <c r="J73" s="87">
        <f>G73*Supuestos!$C$20</f>
        <v>356034497.45815599</v>
      </c>
      <c r="K73" s="87">
        <f>(I73+J73)*(1/Supuestos!$C$20)</f>
        <v>2999999999.9999995</v>
      </c>
    </row>
    <row r="74" spans="3:11" x14ac:dyDescent="0.2">
      <c r="C74" s="6" t="str">
        <f>'Informacion del AEP'!C115</f>
        <v>Servicios generales y de gestión - minoristas</v>
      </c>
      <c r="D74" s="85">
        <f>INDEX('Informacion del AEP'!$D$102:$N$122,MATCH('Costos aguas abajo'!$C74,'Informacion del AEP'!$C$102:$C$122,0),MATCH('Costos aguas abajo'!$C$60,'Informacion del AEP'!$D$101:$N$101,0))</f>
        <v>600000000</v>
      </c>
      <c r="F74" s="87">
        <f>D74*Supuestos!$C38</f>
        <v>30000000</v>
      </c>
      <c r="G74" s="87">
        <f>D74*(1-Supuestos!$C38)</f>
        <v>570000000</v>
      </c>
      <c r="I74" s="87">
        <f t="shared" si="4"/>
        <v>30000000</v>
      </c>
      <c r="J74" s="87">
        <f>G74*Supuestos!$C$20</f>
        <v>67646554.51704964</v>
      </c>
      <c r="K74" s="87">
        <f>(I74+J74)*(1/Supuestos!$C$20)</f>
        <v>822784493.19529068</v>
      </c>
    </row>
    <row r="75" spans="3:11" x14ac:dyDescent="0.2">
      <c r="C75" s="6" t="str">
        <f>'Informacion del AEP'!C116</f>
        <v>Servicios generales y de gestión - red</v>
      </c>
      <c r="D75" s="85">
        <f>INDEX('Informacion del AEP'!$D$102:$N$122,MATCH('Costos aguas abajo'!$C75,'Informacion del AEP'!$C$102:$C$122,0),MATCH('Costos aguas abajo'!$C$60,'Informacion del AEP'!$D$101:$N$101,0))</f>
        <v>0</v>
      </c>
      <c r="F75" s="87">
        <f>D75*Supuestos!$C39</f>
        <v>0</v>
      </c>
      <c r="G75" s="87">
        <f>D75*(1-Supuestos!$C39)</f>
        <v>0</v>
      </c>
      <c r="I75" s="87">
        <f t="shared" si="4"/>
        <v>0</v>
      </c>
      <c r="J75" s="87">
        <f>G75*Supuestos!$C$20</f>
        <v>0</v>
      </c>
      <c r="K75" s="87">
        <f>(I75+J75)*(1/Supuestos!$C$20)</f>
        <v>0</v>
      </c>
    </row>
    <row r="76" spans="3:11" x14ac:dyDescent="0.2">
      <c r="C76" s="6" t="str">
        <f>'Informacion del AEP'!C117</f>
        <v xml:space="preserve">Servicios generales y de gestión - negocio </v>
      </c>
      <c r="D76" s="85">
        <f>INDEX('Informacion del AEP'!$D$102:$N$122,MATCH('Costos aguas abajo'!$C76,'Informacion del AEP'!$C$102:$C$122,0),MATCH('Costos aguas abajo'!$C$60,'Informacion del AEP'!$D$101:$N$101,0))</f>
        <v>150000000</v>
      </c>
      <c r="F76" s="87">
        <f>D76*Supuestos!$C40</f>
        <v>15000000</v>
      </c>
      <c r="G76" s="87">
        <f>D76*(1-Supuestos!$C40)</f>
        <v>135000000</v>
      </c>
      <c r="I76" s="87">
        <f t="shared" si="4"/>
        <v>15000000</v>
      </c>
      <c r="J76" s="87">
        <f>G76*Supuestos!$C$20</f>
        <v>16021552.385617021</v>
      </c>
      <c r="K76" s="87">
        <f>(I76+J76)*(1/Supuestos!$C$20)</f>
        <v>261392246.59764534</v>
      </c>
    </row>
    <row r="77" spans="3:11" x14ac:dyDescent="0.2">
      <c r="C77" s="76" t="s">
        <v>196</v>
      </c>
      <c r="D77" s="259">
        <f>SUM(D78:D81)</f>
        <v>0</v>
      </c>
      <c r="F77" s="259">
        <f>SUM(F78:F81)</f>
        <v>0</v>
      </c>
      <c r="G77" s="259">
        <f>SUM(G78:G81)</f>
        <v>0</v>
      </c>
      <c r="I77" s="259">
        <f>SUM(I78:I81)</f>
        <v>0</v>
      </c>
      <c r="J77" s="259">
        <f>SUM(J78:J81)</f>
        <v>0</v>
      </c>
      <c r="K77" s="259">
        <f>SUM(K78:K81)</f>
        <v>0</v>
      </c>
    </row>
    <row r="78" spans="3:11" x14ac:dyDescent="0.2">
      <c r="C78" s="6" t="str">
        <f>'Informacion del AEP'!C118</f>
        <v>Costo del Capital:Servicios generales y de gestión - minoristas</v>
      </c>
      <c r="D78" s="85">
        <f>INDEX('Informacion del AEP'!$D$102:$N$122,MATCH('Costos aguas abajo'!$C78,'Informacion del AEP'!$C$102:$C$122,0),MATCH('Costos aguas abajo'!$C$60,'Informacion del AEP'!$D$101:$N$101,0))</f>
        <v>0</v>
      </c>
      <c r="F78" s="87">
        <f>D78*Supuestos!$C41</f>
        <v>0</v>
      </c>
      <c r="G78" s="87">
        <f>D78*(1-Supuestos!$C41)</f>
        <v>0</v>
      </c>
      <c r="I78" s="87">
        <f t="shared" si="4"/>
        <v>0</v>
      </c>
      <c r="J78" s="87">
        <f>G78*Supuestos!$C$20</f>
        <v>0</v>
      </c>
      <c r="K78" s="87">
        <f>(I78+J78)*(1/Supuestos!$C$20)</f>
        <v>0</v>
      </c>
    </row>
    <row r="79" spans="3:11" x14ac:dyDescent="0.2">
      <c r="C79" s="6" t="str">
        <f>'Informacion del AEP'!C119</f>
        <v>Costo del Capital:Servicios generales y de gestión - red</v>
      </c>
      <c r="D79" s="85">
        <f>INDEX('Informacion del AEP'!$D$102:$N$122,MATCH('Costos aguas abajo'!$C79,'Informacion del AEP'!$C$102:$C$122,0),MATCH('Costos aguas abajo'!$C$60,'Informacion del AEP'!$D$101:$N$101,0))</f>
        <v>0</v>
      </c>
      <c r="F79" s="87">
        <f>D79*Supuestos!$C42</f>
        <v>0</v>
      </c>
      <c r="G79" s="87">
        <f>D79*(1-Supuestos!$C42)</f>
        <v>0</v>
      </c>
      <c r="I79" s="87">
        <f t="shared" ref="I79:I81" si="5">+F79</f>
        <v>0</v>
      </c>
      <c r="J79" s="87">
        <f>G79*Supuestos!$C$20</f>
        <v>0</v>
      </c>
      <c r="K79" s="87">
        <f>(I79+J79)*(1/Supuestos!$C$20)</f>
        <v>0</v>
      </c>
    </row>
    <row r="80" spans="3:11" x14ac:dyDescent="0.2">
      <c r="C80" s="6" t="str">
        <f>'Informacion del AEP'!C120</f>
        <v xml:space="preserve">Costo del Capital:Servicios generales y de gestión - negocio </v>
      </c>
      <c r="D80" s="85">
        <f>INDEX('Informacion del AEP'!$D$102:$N$122,MATCH('Costos aguas abajo'!$C80,'Informacion del AEP'!$C$102:$C$122,0),MATCH('Costos aguas abajo'!$C$60,'Informacion del AEP'!$D$101:$N$101,0))</f>
        <v>0</v>
      </c>
      <c r="F80" s="87">
        <f>D80*Supuestos!$C43</f>
        <v>0</v>
      </c>
      <c r="G80" s="87">
        <f>D80*(1-Supuestos!$C43)</f>
        <v>0</v>
      </c>
      <c r="I80" s="87">
        <f t="shared" si="5"/>
        <v>0</v>
      </c>
      <c r="J80" s="87">
        <f>G80*Supuestos!$C$20</f>
        <v>0</v>
      </c>
      <c r="K80" s="87">
        <f>(I80+J80)*(1/Supuestos!$C$20)</f>
        <v>0</v>
      </c>
    </row>
    <row r="81" spans="3:11" x14ac:dyDescent="0.2">
      <c r="C81" s="6" t="str">
        <f>'Informacion del AEP'!C121</f>
        <v>Costo del Capital:Equipos terminales</v>
      </c>
      <c r="D81" s="85">
        <f>INDEX('Informacion del AEP'!$D$102:$N$122,MATCH('Costos aguas abajo'!$C81,'Informacion del AEP'!$C$102:$C$122,0),MATCH('Costos aguas abajo'!$C$60,'Informacion del AEP'!$D$101:$N$101,0))</f>
        <v>0</v>
      </c>
      <c r="F81" s="87">
        <f>D81*Supuestos!$C44</f>
        <v>0</v>
      </c>
      <c r="G81" s="87">
        <f>D81*(1-Supuestos!$C44)</f>
        <v>0</v>
      </c>
      <c r="I81" s="87">
        <f t="shared" si="5"/>
        <v>0</v>
      </c>
      <c r="J81" s="87">
        <f>G81*Supuestos!$C$20</f>
        <v>0</v>
      </c>
      <c r="K81" s="87">
        <f>(I81+J81)*(1/Supuestos!$C$20)</f>
        <v>0</v>
      </c>
    </row>
    <row r="82" spans="3:11" x14ac:dyDescent="0.2">
      <c r="D82" s="85"/>
      <c r="F82" s="87"/>
      <c r="G82" s="87"/>
      <c r="I82" s="87"/>
      <c r="J82" s="87"/>
      <c r="K82" s="87"/>
    </row>
    <row r="83" spans="3:11" x14ac:dyDescent="0.2">
      <c r="C83" s="88" t="s">
        <v>52</v>
      </c>
      <c r="D83" s="45" t="str">
        <f>IF(D60='Informacion del AEP'!H122,"Ok","Error")</f>
        <v>Ok</v>
      </c>
      <c r="I83" s="45" t="str">
        <f>IF(I60=F60,"Ok","Error")</f>
        <v>Ok</v>
      </c>
    </row>
    <row r="85" spans="3:11" x14ac:dyDescent="0.2">
      <c r="C85" s="89" t="str">
        <f>Supuestos!$B$78</f>
        <v>Telcel Prepago 1</v>
      </c>
      <c r="D85" s="90">
        <f>SUM(D86:D102)</f>
        <v>3170533333.333333</v>
      </c>
      <c r="E85" s="91"/>
      <c r="F85" s="90">
        <f>SUM(F86:F102)</f>
        <v>82483333.333333328</v>
      </c>
      <c r="G85" s="90">
        <f>SUM(G86:G102)</f>
        <v>3088050000</v>
      </c>
      <c r="H85" s="91"/>
      <c r="I85" s="90">
        <f>SUM(I86:I102)</f>
        <v>82483333.333333328</v>
      </c>
      <c r="J85" s="90">
        <f>SUM(J86:J102)</f>
        <v>366484109.9585529</v>
      </c>
      <c r="K85" s="90">
        <f>SUM(K86:K102)</f>
        <v>3783066920.4574957</v>
      </c>
    </row>
    <row r="86" spans="3:11" x14ac:dyDescent="0.2">
      <c r="C86" s="6" t="str">
        <f>'Informacion del AEP'!C102</f>
        <v>Acceso a Internet</v>
      </c>
      <c r="D86" s="85">
        <f>INDEX('Informacion del AEP'!$D$102:$N$122,MATCH('Costos aguas abajo'!$C86,'Informacion del AEP'!$C$102:$C$122,0),MATCH('Costos aguas abajo'!$C$85,'Informacion del AEP'!$D$101:$N$101,0))</f>
        <v>0</v>
      </c>
      <c r="F86" s="87">
        <f>D86*Supuestos!$C25</f>
        <v>0</v>
      </c>
      <c r="G86" s="87">
        <f>D86*(1-Supuestos!$C25)</f>
        <v>0</v>
      </c>
      <c r="I86" s="87">
        <f>+F86</f>
        <v>0</v>
      </c>
      <c r="J86" s="87">
        <f>G86*Supuestos!$C$20</f>
        <v>0</v>
      </c>
      <c r="K86" s="87">
        <f>(I86+J86)*(1/Supuestos!$C$20)</f>
        <v>0</v>
      </c>
    </row>
    <row r="87" spans="3:11" x14ac:dyDescent="0.2">
      <c r="C87" s="6" t="str">
        <f>'Informacion del AEP'!C103</f>
        <v>Servicios OTT de vídeo</v>
      </c>
      <c r="D87" s="85">
        <f>INDEX('Informacion del AEP'!$D$102:$N$122,MATCH('Costos aguas abajo'!$C87,'Informacion del AEP'!$C$102:$C$122,0),MATCH('Costos aguas abajo'!$C$85,'Informacion del AEP'!$D$101:$N$101,0))</f>
        <v>0</v>
      </c>
      <c r="F87" s="87">
        <f>D87*Supuestos!$C26</f>
        <v>0</v>
      </c>
      <c r="G87" s="87">
        <f>D87*(1-Supuestos!$C26)</f>
        <v>0</v>
      </c>
      <c r="I87" s="87">
        <f t="shared" ref="I87:I103" si="6">+F87</f>
        <v>0</v>
      </c>
      <c r="J87" s="87">
        <f>G87*Supuestos!$C$20</f>
        <v>0</v>
      </c>
      <c r="K87" s="87">
        <f>(I87+J87)*(1/Supuestos!$C$20)</f>
        <v>0</v>
      </c>
    </row>
    <row r="88" spans="3:11" x14ac:dyDescent="0.2">
      <c r="C88" s="6" t="str">
        <f>'Informacion del AEP'!C104</f>
        <v>Servicios OTT de audio</v>
      </c>
      <c r="D88" s="85">
        <f>INDEX('Informacion del AEP'!$D$102:$N$122,MATCH('Costos aguas abajo'!$C88,'Informacion del AEP'!$C$102:$C$122,0),MATCH('Costos aguas abajo'!$C$85,'Informacion del AEP'!$D$101:$N$101,0))</f>
        <v>0</v>
      </c>
      <c r="F88" s="87">
        <f>D88*Supuestos!$C27</f>
        <v>0</v>
      </c>
      <c r="G88" s="87">
        <f>D88*(1-Supuestos!$C27)</f>
        <v>0</v>
      </c>
      <c r="I88" s="87">
        <f t="shared" si="6"/>
        <v>0</v>
      </c>
      <c r="J88" s="87">
        <f>G88*Supuestos!$C$20</f>
        <v>0</v>
      </c>
      <c r="K88" s="87">
        <f>(I88+J88)*(1/Supuestos!$C$20)</f>
        <v>0</v>
      </c>
    </row>
    <row r="89" spans="3:11" x14ac:dyDescent="0.2">
      <c r="C89" s="6" t="str">
        <f>'Informacion del AEP'!C105</f>
        <v>Comerciales</v>
      </c>
      <c r="D89" s="85">
        <f>INDEX('Informacion del AEP'!$D$102:$N$122,MATCH('Costos aguas abajo'!$C89,'Informacion del AEP'!$C$102:$C$122,0),MATCH('Costos aguas abajo'!$C$85,'Informacion del AEP'!$D$101:$N$101,0))</f>
        <v>699999999.99999988</v>
      </c>
      <c r="F89" s="87">
        <f>D89*Supuestos!$C28</f>
        <v>69999999.999999985</v>
      </c>
      <c r="G89" s="87">
        <f>D89*(1-Supuestos!$C28)</f>
        <v>629999999.99999988</v>
      </c>
      <c r="I89" s="87">
        <f t="shared" si="6"/>
        <v>69999999.999999985</v>
      </c>
      <c r="J89" s="87">
        <f>G89*Supuestos!$C$20</f>
        <v>74767244.466212749</v>
      </c>
      <c r="K89" s="87">
        <f>(I89+J89)*(1/Supuestos!$C$20)</f>
        <v>1219830484.1223447</v>
      </c>
    </row>
    <row r="90" spans="3:11" x14ac:dyDescent="0.2">
      <c r="C90" s="6" t="str">
        <f>'Informacion del AEP'!C106</f>
        <v>Facturación</v>
      </c>
      <c r="D90" s="85">
        <f>INDEX('Informacion del AEP'!$D$102:$N$122,MATCH('Costos aguas abajo'!$C90,'Informacion del AEP'!$C$102:$C$122,0),MATCH('Costos aguas abajo'!$C$85,'Informacion del AEP'!$D$101:$N$101,0))</f>
        <v>0</v>
      </c>
      <c r="F90" s="87">
        <f>D90*Supuestos!$C29</f>
        <v>0</v>
      </c>
      <c r="G90" s="87">
        <f>D90*(1-Supuestos!$C29)</f>
        <v>0</v>
      </c>
      <c r="I90" s="87">
        <f t="shared" si="6"/>
        <v>0</v>
      </c>
      <c r="J90" s="87">
        <f>G90*Supuestos!$C$20</f>
        <v>0</v>
      </c>
      <c r="K90" s="87">
        <f>(I90+J90)*(1/Supuestos!$C$20)</f>
        <v>0</v>
      </c>
    </row>
    <row r="91" spans="3:11" x14ac:dyDescent="0.2">
      <c r="C91" s="6" t="str">
        <f>'Informacion del AEP'!C107</f>
        <v>Cobranza</v>
      </c>
      <c r="D91" s="85">
        <f>INDEX('Informacion del AEP'!$D$102:$N$122,MATCH('Costos aguas abajo'!$C91,'Informacion del AEP'!$C$102:$C$122,0),MATCH('Costos aguas abajo'!$C$85,'Informacion del AEP'!$D$101:$N$101,0))</f>
        <v>0</v>
      </c>
      <c r="F91" s="87">
        <f>D91*Supuestos!$C30</f>
        <v>0</v>
      </c>
      <c r="G91" s="87">
        <f>D91*(1-Supuestos!$C30)</f>
        <v>0</v>
      </c>
      <c r="I91" s="87">
        <f t="shared" si="6"/>
        <v>0</v>
      </c>
      <c r="J91" s="87">
        <f>G91*Supuestos!$C$20</f>
        <v>0</v>
      </c>
      <c r="K91" s="87">
        <f>(I91+J91)*(1/Supuestos!$C$20)</f>
        <v>0</v>
      </c>
    </row>
    <row r="92" spans="3:11" x14ac:dyDescent="0.2">
      <c r="C92" s="6" t="str">
        <f>'Informacion del AEP'!C108</f>
        <v>Tasas e impuestos</v>
      </c>
      <c r="D92" s="85">
        <f>INDEX('Informacion del AEP'!$D$102:$N$122,MATCH('Costos aguas abajo'!$C92,'Informacion del AEP'!$C$102:$C$122,0),MATCH('Costos aguas abajo'!$C$85,'Informacion del AEP'!$D$101:$N$101,0))</f>
        <v>8166666.666666667</v>
      </c>
      <c r="F92" s="87">
        <f>D92*Supuestos!$C31</f>
        <v>816666.66666666674</v>
      </c>
      <c r="G92" s="87">
        <f>D92*(1-Supuestos!$C31)</f>
        <v>7350000</v>
      </c>
      <c r="I92" s="87">
        <f t="shared" si="6"/>
        <v>816666.66666666674</v>
      </c>
      <c r="J92" s="87">
        <f>G92*Supuestos!$C$20</f>
        <v>872284.51877248229</v>
      </c>
      <c r="K92" s="87">
        <f>(I92+J92)*(1/Supuestos!$C$20)</f>
        <v>14231355.648094025</v>
      </c>
    </row>
    <row r="93" spans="3:11" x14ac:dyDescent="0.2">
      <c r="C93" s="6" t="str">
        <f>'Informacion del AEP'!C109</f>
        <v>Programas de fidelización</v>
      </c>
      <c r="D93" s="85">
        <f>INDEX('Informacion del AEP'!$D$102:$N$122,MATCH('Costos aguas abajo'!$C93,'Informacion del AEP'!$C$102:$C$122,0),MATCH('Costos aguas abajo'!$C$85,'Informacion del AEP'!$D$101:$N$101,0))</f>
        <v>0</v>
      </c>
      <c r="F93" s="87">
        <f>D93*Supuestos!$C32</f>
        <v>0</v>
      </c>
      <c r="G93" s="87">
        <f>D93*(1-Supuestos!$C32)</f>
        <v>0</v>
      </c>
      <c r="I93" s="87">
        <f t="shared" si="6"/>
        <v>0</v>
      </c>
      <c r="J93" s="87">
        <f>G93*Supuestos!$C$20</f>
        <v>0</v>
      </c>
      <c r="K93" s="87">
        <f>(I93+J93)*(1/Supuestos!$C$20)</f>
        <v>0</v>
      </c>
    </row>
    <row r="94" spans="3:11" x14ac:dyDescent="0.2">
      <c r="C94" s="6" t="str">
        <f>'Informacion del AEP'!C110</f>
        <v>Acceso internet internacional</v>
      </c>
      <c r="D94" s="85">
        <f>INDEX('Informacion del AEP'!$D$102:$N$122,MATCH('Costos aguas abajo'!$C94,'Informacion del AEP'!$C$102:$C$122,0),MATCH('Costos aguas abajo'!$C$85,'Informacion del AEP'!$D$101:$N$101,0))</f>
        <v>8866666.666666666</v>
      </c>
      <c r="F94" s="87">
        <f>D94*Supuestos!$C33</f>
        <v>0</v>
      </c>
      <c r="G94" s="87">
        <f>D94*(1-Supuestos!$C33)</f>
        <v>8866666.666666666</v>
      </c>
      <c r="I94" s="87">
        <f t="shared" si="6"/>
        <v>0</v>
      </c>
      <c r="J94" s="87">
        <f>G94*Supuestos!$C$20</f>
        <v>1052279.7369318833</v>
      </c>
      <c r="K94" s="87">
        <f>(I94+J94)*(1/Supuestos!$C$20)</f>
        <v>8866666.6666666642</v>
      </c>
    </row>
    <row r="95" spans="3:11" x14ac:dyDescent="0.2">
      <c r="C95" s="6" t="str">
        <f>'Informacion del AEP'!C111</f>
        <v>Roaming nacional</v>
      </c>
      <c r="D95" s="85">
        <f>INDEX('Informacion del AEP'!$D$102:$N$122,MATCH('Costos aguas abajo'!$C95,'Informacion del AEP'!$C$102:$C$122,0),MATCH('Costos aguas abajo'!$C$85,'Informacion del AEP'!$D$101:$N$101,0))</f>
        <v>3500000</v>
      </c>
      <c r="F95" s="87">
        <f>D95*Supuestos!$C34</f>
        <v>0</v>
      </c>
      <c r="G95" s="87">
        <f>D95*(1-Supuestos!$C34)</f>
        <v>3500000</v>
      </c>
      <c r="I95" s="87">
        <f t="shared" si="6"/>
        <v>0</v>
      </c>
      <c r="J95" s="87">
        <f>G95*Supuestos!$C$20</f>
        <v>415373.58036784868</v>
      </c>
      <c r="K95" s="87">
        <f>(I95+J95)*(1/Supuestos!$C$20)</f>
        <v>3499999.9999999995</v>
      </c>
    </row>
    <row r="96" spans="3:11" x14ac:dyDescent="0.2">
      <c r="C96" s="6" t="str">
        <f>'Informacion del AEP'!C112</f>
        <v>Roaming internacional</v>
      </c>
      <c r="D96" s="85">
        <f>INDEX('Informacion del AEP'!$D$102:$N$122,MATCH('Costos aguas abajo'!$C96,'Informacion del AEP'!$C$102:$C$122,0),MATCH('Costos aguas abajo'!$C$85,'Informacion del AEP'!$D$101:$N$101,0))</f>
        <v>0</v>
      </c>
      <c r="F96" s="87">
        <f>D96*Supuestos!$C35</f>
        <v>0</v>
      </c>
      <c r="G96" s="87">
        <f>D96*(1-Supuestos!$C35)</f>
        <v>0</v>
      </c>
      <c r="I96" s="87">
        <f t="shared" si="6"/>
        <v>0</v>
      </c>
      <c r="J96" s="87">
        <f>G96*Supuestos!$C$20</f>
        <v>0</v>
      </c>
      <c r="K96" s="87">
        <f>(I96+J96)*(1/Supuestos!$C$20)</f>
        <v>0</v>
      </c>
    </row>
    <row r="97" spans="3:11" x14ac:dyDescent="0.2">
      <c r="C97" s="6" t="str">
        <f>'Informacion del AEP'!C113</f>
        <v>Provisiones</v>
      </c>
      <c r="D97" s="85">
        <f>INDEX('Informacion del AEP'!$D$102:$N$122,MATCH('Costos aguas abajo'!$C97,'Informacion del AEP'!$C$102:$C$122,0),MATCH('Costos aguas abajo'!$C$85,'Informacion del AEP'!$D$101:$N$101,0))</f>
        <v>0</v>
      </c>
      <c r="F97" s="87">
        <f>D97*Supuestos!$C36</f>
        <v>0</v>
      </c>
      <c r="G97" s="87">
        <f>D97*(1-Supuestos!$C36)</f>
        <v>0</v>
      </c>
      <c r="I97" s="87">
        <f t="shared" si="6"/>
        <v>0</v>
      </c>
      <c r="J97" s="87">
        <f>G97*Supuestos!$C$20</f>
        <v>0</v>
      </c>
      <c r="K97" s="87">
        <f>(I97+J97)*(1/Supuestos!$C$20)</f>
        <v>0</v>
      </c>
    </row>
    <row r="98" spans="3:11" x14ac:dyDescent="0.2">
      <c r="C98" s="6" t="str">
        <f>'Informacion del AEP'!C114</f>
        <v>Costos directos de la venta de terminales</v>
      </c>
      <c r="D98" s="85">
        <f>INDEX('Informacion del AEP'!$D$102:$N$122,MATCH('Costos aguas abajo'!$C98,'Informacion del AEP'!$C$102:$C$122,0),MATCH('Costos aguas abajo'!$C$85,'Informacion del AEP'!$D$101:$N$101,0))</f>
        <v>2333333333.3333335</v>
      </c>
      <c r="F98" s="87">
        <f>D98*Supuestos!$C37</f>
        <v>0</v>
      </c>
      <c r="G98" s="87">
        <f>D98*(1-Supuestos!$C37)</f>
        <v>2333333333.3333335</v>
      </c>
      <c r="I98" s="87">
        <f t="shared" si="6"/>
        <v>0</v>
      </c>
      <c r="J98" s="87">
        <f>G98*Supuestos!$C$20</f>
        <v>276915720.24523246</v>
      </c>
      <c r="K98" s="87">
        <f>(I98+J98)*(1/Supuestos!$C$20)</f>
        <v>2333333333.333333</v>
      </c>
    </row>
    <row r="99" spans="3:11" x14ac:dyDescent="0.2">
      <c r="C99" s="6" t="str">
        <f>'Informacion del AEP'!C115</f>
        <v>Servicios generales y de gestión - minoristas</v>
      </c>
      <c r="D99" s="85">
        <f>INDEX('Informacion del AEP'!$D$102:$N$122,MATCH('Costos aguas abajo'!$C99,'Informacion del AEP'!$C$102:$C$122,0),MATCH('Costos aguas abajo'!$C$85,'Informacion del AEP'!$D$101:$N$101,0))</f>
        <v>0</v>
      </c>
      <c r="F99" s="87">
        <f>D99*Supuestos!$C38</f>
        <v>0</v>
      </c>
      <c r="G99" s="87">
        <f>D99*(1-Supuestos!$C38)</f>
        <v>0</v>
      </c>
      <c r="I99" s="87">
        <f t="shared" si="6"/>
        <v>0</v>
      </c>
      <c r="J99" s="87">
        <f>G99*Supuestos!$C$20</f>
        <v>0</v>
      </c>
      <c r="K99" s="87">
        <f>(I99+J99)*(1/Supuestos!$C$20)</f>
        <v>0</v>
      </c>
    </row>
    <row r="100" spans="3:11" x14ac:dyDescent="0.2">
      <c r="C100" s="6" t="str">
        <f>'Informacion del AEP'!C116</f>
        <v>Servicios generales y de gestión - red</v>
      </c>
      <c r="D100" s="85">
        <f>INDEX('Informacion del AEP'!$D$102:$N$122,MATCH('Costos aguas abajo'!$C100,'Informacion del AEP'!$C$102:$C$122,0),MATCH('Costos aguas abajo'!$C$85,'Informacion del AEP'!$D$101:$N$101,0))</f>
        <v>0</v>
      </c>
      <c r="F100" s="87">
        <f>D100*Supuestos!$C39</f>
        <v>0</v>
      </c>
      <c r="G100" s="87">
        <f>D100*(1-Supuestos!$C39)</f>
        <v>0</v>
      </c>
      <c r="I100" s="87">
        <f t="shared" si="6"/>
        <v>0</v>
      </c>
      <c r="J100" s="87">
        <f>G100*Supuestos!$C$20</f>
        <v>0</v>
      </c>
      <c r="K100" s="87">
        <f>(I100+J100)*(1/Supuestos!$C$20)</f>
        <v>0</v>
      </c>
    </row>
    <row r="101" spans="3:11" x14ac:dyDescent="0.2">
      <c r="C101" s="6" t="str">
        <f>'Informacion del AEP'!C117</f>
        <v xml:space="preserve">Servicios generales y de gestión - negocio </v>
      </c>
      <c r="D101" s="85">
        <f>INDEX('Informacion del AEP'!$D$102:$N$122,MATCH('Costos aguas abajo'!$C101,'Informacion del AEP'!$C$102:$C$122,0),MATCH('Costos aguas abajo'!$C$85,'Informacion del AEP'!$D$101:$N$101,0))</f>
        <v>116666666.66666667</v>
      </c>
      <c r="F101" s="87">
        <f>D101*Supuestos!$C40</f>
        <v>11666666.666666668</v>
      </c>
      <c r="G101" s="87">
        <f>D101*(1-Supuestos!$C40)</f>
        <v>105000000</v>
      </c>
      <c r="I101" s="87">
        <f t="shared" si="6"/>
        <v>11666666.666666668</v>
      </c>
      <c r="J101" s="87">
        <f>G101*Supuestos!$C$20</f>
        <v>12461207.411035461</v>
      </c>
      <c r="K101" s="87">
        <f>(I101+J101)*(1/Supuestos!$C$20)</f>
        <v>203305080.6870575</v>
      </c>
    </row>
    <row r="102" spans="3:11" x14ac:dyDescent="0.2">
      <c r="C102" s="76" t="s">
        <v>196</v>
      </c>
      <c r="D102" s="259">
        <f>SUM(D103:D106)</f>
        <v>0</v>
      </c>
      <c r="F102" s="259">
        <f>SUM(F103:F106)</f>
        <v>0</v>
      </c>
      <c r="G102" s="259">
        <f>SUM(G103:G106)</f>
        <v>0</v>
      </c>
      <c r="I102" s="259">
        <f>SUM(I103:I106)</f>
        <v>0</v>
      </c>
      <c r="J102" s="259">
        <f>SUM(J103:J106)</f>
        <v>0</v>
      </c>
      <c r="K102" s="259">
        <f>SUM(K103:K106)</f>
        <v>0</v>
      </c>
    </row>
    <row r="103" spans="3:11" x14ac:dyDescent="0.2">
      <c r="C103" s="6" t="str">
        <f>'Informacion del AEP'!C118</f>
        <v>Costo del Capital:Servicios generales y de gestión - minoristas</v>
      </c>
      <c r="D103" s="85">
        <f>INDEX('Informacion del AEP'!$D$102:$N$122,MATCH('Costos aguas abajo'!$C103,'Informacion del AEP'!$C$102:$C$122,0),MATCH('Costos aguas abajo'!$C$85,'Informacion del AEP'!$D$101:$N$101,0))</f>
        <v>0</v>
      </c>
      <c r="F103" s="87">
        <f>D103*Supuestos!$C41</f>
        <v>0</v>
      </c>
      <c r="G103" s="87">
        <f>D103*(1-Supuestos!$C41)</f>
        <v>0</v>
      </c>
      <c r="I103" s="87">
        <f t="shared" si="6"/>
        <v>0</v>
      </c>
      <c r="J103" s="87">
        <f>G103*Supuestos!$C$20</f>
        <v>0</v>
      </c>
      <c r="K103" s="87">
        <f>(I103+J103)*(1/Supuestos!$C$20)</f>
        <v>0</v>
      </c>
    </row>
    <row r="104" spans="3:11" x14ac:dyDescent="0.2">
      <c r="C104" s="6" t="str">
        <f>'Informacion del AEP'!C119</f>
        <v>Costo del Capital:Servicios generales y de gestión - red</v>
      </c>
      <c r="D104" s="85">
        <f>INDEX('Informacion del AEP'!$D$102:$N$122,MATCH('Costos aguas abajo'!$C104,'Informacion del AEP'!$C$102:$C$122,0),MATCH('Costos aguas abajo'!$C$85,'Informacion del AEP'!$D$101:$N$101,0))</f>
        <v>0</v>
      </c>
      <c r="F104" s="87">
        <f>D104*Supuestos!$C42</f>
        <v>0</v>
      </c>
      <c r="G104" s="87">
        <f>D104*(1-Supuestos!$C42)</f>
        <v>0</v>
      </c>
      <c r="I104" s="87">
        <f t="shared" ref="I104:I106" si="7">+F104</f>
        <v>0</v>
      </c>
      <c r="J104" s="87">
        <f>G104*Supuestos!$C$20</f>
        <v>0</v>
      </c>
      <c r="K104" s="87">
        <f>(I104+J104)*(1/Supuestos!$C$20)</f>
        <v>0</v>
      </c>
    </row>
    <row r="105" spans="3:11" x14ac:dyDescent="0.2">
      <c r="C105" s="6" t="str">
        <f>'Informacion del AEP'!C120</f>
        <v xml:space="preserve">Costo del Capital:Servicios generales y de gestión - negocio </v>
      </c>
      <c r="D105" s="85">
        <f>INDEX('Informacion del AEP'!$D$102:$N$122,MATCH('Costos aguas abajo'!$C105,'Informacion del AEP'!$C$102:$C$122,0),MATCH('Costos aguas abajo'!$C$85,'Informacion del AEP'!$D$101:$N$101,0))</f>
        <v>0</v>
      </c>
      <c r="F105" s="87">
        <f>D105*Supuestos!$C43</f>
        <v>0</v>
      </c>
      <c r="G105" s="87">
        <f>D105*(1-Supuestos!$C43)</f>
        <v>0</v>
      </c>
      <c r="I105" s="87">
        <f t="shared" si="7"/>
        <v>0</v>
      </c>
      <c r="J105" s="87">
        <f>G105*Supuestos!$C$20</f>
        <v>0</v>
      </c>
      <c r="K105" s="87">
        <f>(I105+J105)*(1/Supuestos!$C$20)</f>
        <v>0</v>
      </c>
    </row>
    <row r="106" spans="3:11" x14ac:dyDescent="0.2">
      <c r="C106" s="6" t="str">
        <f>'Informacion del AEP'!C121</f>
        <v>Costo del Capital:Equipos terminales</v>
      </c>
      <c r="D106" s="85">
        <f>INDEX('Informacion del AEP'!$D$102:$N$122,MATCH('Costos aguas abajo'!$C106,'Informacion del AEP'!$C$102:$C$122,0),MATCH('Costos aguas abajo'!$C$85,'Informacion del AEP'!$D$101:$N$101,0))</f>
        <v>0</v>
      </c>
      <c r="F106" s="87">
        <f>D106*Supuestos!$C44</f>
        <v>0</v>
      </c>
      <c r="G106" s="87">
        <f>D106*(1-Supuestos!$C44)</f>
        <v>0</v>
      </c>
      <c r="I106" s="87">
        <f t="shared" si="7"/>
        <v>0</v>
      </c>
      <c r="J106" s="87">
        <f>G106*Supuestos!$C$20</f>
        <v>0</v>
      </c>
      <c r="K106" s="87">
        <f>(I106+J106)*(1/Supuestos!$C$20)</f>
        <v>0</v>
      </c>
    </row>
    <row r="107" spans="3:11" x14ac:dyDescent="0.2">
      <c r="D107" s="85"/>
    </row>
    <row r="108" spans="3:11" x14ac:dyDescent="0.2">
      <c r="C108" s="88" t="s">
        <v>52</v>
      </c>
      <c r="D108" s="45" t="str">
        <f>IF(D85='Informacion del AEP'!I122,"Ok","Error")</f>
        <v>Ok</v>
      </c>
      <c r="I108" s="45" t="str">
        <f>IF(I85=F85,"Ok","Error")</f>
        <v>Ok</v>
      </c>
    </row>
    <row r="109" spans="3:11" x14ac:dyDescent="0.2">
      <c r="D109" s="85"/>
    </row>
    <row r="110" spans="3:11" x14ac:dyDescent="0.2">
      <c r="C110" s="89" t="str">
        <f>Supuestos!$B$79</f>
        <v>Telcel Prepago 2</v>
      </c>
      <c r="D110" s="90">
        <f>SUM(D111:D127)</f>
        <v>1627433333.3333335</v>
      </c>
      <c r="E110" s="90"/>
      <c r="F110" s="90">
        <f>SUM(F111:F127)</f>
        <v>45365000</v>
      </c>
      <c r="G110" s="90">
        <f>SUM(G111:G127)</f>
        <v>1582068333.3333335</v>
      </c>
      <c r="H110" s="91"/>
      <c r="I110" s="90">
        <f>SUM(I111:I127)</f>
        <v>45365000</v>
      </c>
      <c r="J110" s="90">
        <f>SUM(J111:J127)</f>
        <v>187756968.00093192</v>
      </c>
      <c r="K110" s="90">
        <f>SUM(K111:K127)</f>
        <v>1964320617.7934785</v>
      </c>
    </row>
    <row r="111" spans="3:11" x14ac:dyDescent="0.2">
      <c r="C111" s="6" t="str">
        <f>'Informacion del AEP'!C102</f>
        <v>Acceso a Internet</v>
      </c>
      <c r="D111" s="85">
        <f>INDEX('Informacion del AEP'!$D$102:$N$122,MATCH('Costos aguas abajo'!$C111,'Informacion del AEP'!$C$102:$C$122,0),MATCH('Costos aguas abajo'!$C$110,'Informacion del AEP'!$D$101:$N$101,0))</f>
        <v>0</v>
      </c>
      <c r="F111" s="87">
        <f>D111*Supuestos!$C25</f>
        <v>0</v>
      </c>
      <c r="G111" s="87">
        <f>D111*(1-Supuestos!$C25)</f>
        <v>0</v>
      </c>
      <c r="I111" s="87">
        <f>+F111</f>
        <v>0</v>
      </c>
      <c r="J111" s="87">
        <f>G111*Supuestos!$C$20</f>
        <v>0</v>
      </c>
      <c r="K111" s="87">
        <f>(I111+J111)*(1/Supuestos!$C$20)</f>
        <v>0</v>
      </c>
    </row>
    <row r="112" spans="3:11" x14ac:dyDescent="0.2">
      <c r="C112" s="6" t="str">
        <f>'Informacion del AEP'!C103</f>
        <v>Servicios OTT de vídeo</v>
      </c>
      <c r="D112" s="85">
        <f>INDEX('Informacion del AEP'!$D$102:$N$122,MATCH('Costos aguas abajo'!$C112,'Informacion del AEP'!$C$102:$C$122,0),MATCH('Costos aguas abajo'!$C$110,'Informacion del AEP'!$D$101:$N$101,0))</f>
        <v>26666666.666666668</v>
      </c>
      <c r="F112" s="87">
        <f>D112*Supuestos!$C26</f>
        <v>0</v>
      </c>
      <c r="G112" s="87">
        <f>D112*(1-Supuestos!$C26)</f>
        <v>26666666.666666668</v>
      </c>
      <c r="I112" s="87">
        <f t="shared" ref="I112:I128" si="8">+F112</f>
        <v>0</v>
      </c>
      <c r="J112" s="87">
        <f>G112*Supuestos!$C$20</f>
        <v>3164751.0885169427</v>
      </c>
      <c r="K112" s="87">
        <f>(I112+J112)*(1/Supuestos!$C$20)</f>
        <v>26666666.666666668</v>
      </c>
    </row>
    <row r="113" spans="3:11" x14ac:dyDescent="0.2">
      <c r="C113" s="6" t="str">
        <f>'Informacion del AEP'!C104</f>
        <v>Servicios OTT de audio</v>
      </c>
      <c r="D113" s="85">
        <f>INDEX('Informacion del AEP'!$D$102:$N$122,MATCH('Costos aguas abajo'!$C113,'Informacion del AEP'!$C$102:$C$122,0),MATCH('Costos aguas abajo'!$C$110,'Informacion del AEP'!$D$101:$N$101,0))</f>
        <v>0</v>
      </c>
      <c r="F113" s="87">
        <f>D113*Supuestos!$C27</f>
        <v>0</v>
      </c>
      <c r="G113" s="87">
        <f>D113*(1-Supuestos!$C27)</f>
        <v>0</v>
      </c>
      <c r="I113" s="87">
        <f t="shared" si="8"/>
        <v>0</v>
      </c>
      <c r="J113" s="87">
        <f>G113*Supuestos!$C$20</f>
        <v>0</v>
      </c>
      <c r="K113" s="87">
        <f>(I113+J113)*(1/Supuestos!$C$20)</f>
        <v>0</v>
      </c>
    </row>
    <row r="114" spans="3:11" x14ac:dyDescent="0.2">
      <c r="C114" s="6" t="str">
        <f>'Informacion del AEP'!C105</f>
        <v>Comerciales</v>
      </c>
      <c r="D114" s="85">
        <f>INDEX('Informacion del AEP'!$D$102:$N$122,MATCH('Costos aguas abajo'!$C114,'Informacion del AEP'!$C$102:$C$122,0),MATCH('Costos aguas abajo'!$C$110,'Informacion del AEP'!$D$101:$N$101,0))</f>
        <v>300000000</v>
      </c>
      <c r="F114" s="87">
        <f>D114*Supuestos!$C28</f>
        <v>30000000</v>
      </c>
      <c r="G114" s="87">
        <f>D114*(1-Supuestos!$C28)</f>
        <v>270000000</v>
      </c>
      <c r="I114" s="87">
        <f t="shared" si="8"/>
        <v>30000000</v>
      </c>
      <c r="J114" s="87">
        <f>G114*Supuestos!$C$20</f>
        <v>32043104.771234043</v>
      </c>
      <c r="K114" s="87">
        <f>(I114+J114)*(1/Supuestos!$C$20)</f>
        <v>522784493.19529068</v>
      </c>
    </row>
    <row r="115" spans="3:11" x14ac:dyDescent="0.2">
      <c r="C115" s="6" t="str">
        <f>'Informacion del AEP'!C106</f>
        <v>Facturación</v>
      </c>
      <c r="D115" s="85">
        <f>INDEX('Informacion del AEP'!$D$102:$N$122,MATCH('Costos aguas abajo'!$C115,'Informacion del AEP'!$C$102:$C$122,0),MATCH('Costos aguas abajo'!$C$110,'Informacion del AEP'!$D$101:$N$101,0))</f>
        <v>300000</v>
      </c>
      <c r="F115" s="87">
        <f>D115*Supuestos!$C29</f>
        <v>15000</v>
      </c>
      <c r="G115" s="87">
        <f>D115*(1-Supuestos!$C29)</f>
        <v>285000</v>
      </c>
      <c r="I115" s="87">
        <f t="shared" si="8"/>
        <v>15000</v>
      </c>
      <c r="J115" s="87">
        <f>G115*Supuestos!$C$20</f>
        <v>33823.277258524824</v>
      </c>
      <c r="K115" s="87">
        <f>(I115+J115)*(1/Supuestos!$C$20)</f>
        <v>411392.24659764534</v>
      </c>
    </row>
    <row r="116" spans="3:11" x14ac:dyDescent="0.2">
      <c r="C116" s="6" t="str">
        <f>'Informacion del AEP'!C107</f>
        <v>Cobranza</v>
      </c>
      <c r="D116" s="85">
        <f>INDEX('Informacion del AEP'!$D$102:$N$122,MATCH('Costos aguas abajo'!$C116,'Informacion del AEP'!$C$102:$C$122,0),MATCH('Costos aguas abajo'!$C$110,'Informacion del AEP'!$D$101:$N$101,0))</f>
        <v>11666666.666666666</v>
      </c>
      <c r="F116" s="87">
        <f>D116*Supuestos!$C30</f>
        <v>0</v>
      </c>
      <c r="G116" s="87">
        <f>D116*(1-Supuestos!$C30)</f>
        <v>11666666.666666666</v>
      </c>
      <c r="I116" s="87">
        <f t="shared" si="8"/>
        <v>0</v>
      </c>
      <c r="J116" s="87">
        <f>G116*Supuestos!$C$20</f>
        <v>1384578.6012261622</v>
      </c>
      <c r="K116" s="87">
        <f>(I116+J116)*(1/Supuestos!$C$20)</f>
        <v>11666666.666666664</v>
      </c>
    </row>
    <row r="117" spans="3:11" x14ac:dyDescent="0.2">
      <c r="C117" s="6" t="str">
        <f>'Informacion del AEP'!C108</f>
        <v>Tasas e impuestos</v>
      </c>
      <c r="D117" s="85">
        <f>INDEX('Informacion del AEP'!$D$102:$N$122,MATCH('Costos aguas abajo'!$C117,'Informacion del AEP'!$C$102:$C$122,0),MATCH('Costos aguas abajo'!$C$110,'Informacion del AEP'!$D$101:$N$101,0))</f>
        <v>3500000</v>
      </c>
      <c r="F117" s="87">
        <f>D117*Supuestos!$C31</f>
        <v>350000</v>
      </c>
      <c r="G117" s="87">
        <f>D117*(1-Supuestos!$C31)</f>
        <v>3150000</v>
      </c>
      <c r="I117" s="87">
        <f t="shared" si="8"/>
        <v>350000</v>
      </c>
      <c r="J117" s="87">
        <f>G117*Supuestos!$C$20</f>
        <v>373836.22233106382</v>
      </c>
      <c r="K117" s="87">
        <f>(I117+J117)*(1/Supuestos!$C$20)</f>
        <v>6099152.4206117252</v>
      </c>
    </row>
    <row r="118" spans="3:11" x14ac:dyDescent="0.2">
      <c r="C118" s="6" t="str">
        <f>'Informacion del AEP'!C109</f>
        <v>Programas de fidelización</v>
      </c>
      <c r="D118" s="85">
        <f>INDEX('Informacion del AEP'!$D$102:$N$122,MATCH('Costos aguas abajo'!$C118,'Informacion del AEP'!$C$102:$C$122,0),MATCH('Costos aguas abajo'!$C$110,'Informacion del AEP'!$D$101:$N$101,0))</f>
        <v>13333333.333333334</v>
      </c>
      <c r="F118" s="87">
        <f>D118*Supuestos!$C32</f>
        <v>0</v>
      </c>
      <c r="G118" s="87">
        <f>D118*(1-Supuestos!$C32)</f>
        <v>13333333.333333334</v>
      </c>
      <c r="I118" s="87">
        <f t="shared" si="8"/>
        <v>0</v>
      </c>
      <c r="J118" s="87">
        <f>G118*Supuestos!$C$20</f>
        <v>1582375.5442584713</v>
      </c>
      <c r="K118" s="87">
        <f>(I118+J118)*(1/Supuestos!$C$20)</f>
        <v>13333333.333333334</v>
      </c>
    </row>
    <row r="119" spans="3:11" x14ac:dyDescent="0.2">
      <c r="C119" s="6" t="str">
        <f>'Informacion del AEP'!C110</f>
        <v>Acceso internet internacional</v>
      </c>
      <c r="D119" s="85">
        <f>INDEX('Informacion del AEP'!$D$102:$N$122,MATCH('Costos aguas abajo'!$C119,'Informacion del AEP'!$C$102:$C$122,0),MATCH('Costos aguas abajo'!$C$110,'Informacion del AEP'!$D$101:$N$101,0))</f>
        <v>3800000</v>
      </c>
      <c r="F119" s="87">
        <f>D119*Supuestos!$C33</f>
        <v>0</v>
      </c>
      <c r="G119" s="87">
        <f>D119*(1-Supuestos!$C33)</f>
        <v>3800000</v>
      </c>
      <c r="I119" s="87">
        <f t="shared" si="8"/>
        <v>0</v>
      </c>
      <c r="J119" s="87">
        <f>G119*Supuestos!$C$20</f>
        <v>450977.03011366428</v>
      </c>
      <c r="K119" s="87">
        <f>(I119+J119)*(1/Supuestos!$C$20)</f>
        <v>3799999.9999999995</v>
      </c>
    </row>
    <row r="120" spans="3:11" x14ac:dyDescent="0.2">
      <c r="C120" s="6" t="str">
        <f>'Informacion del AEP'!C111</f>
        <v>Roaming nacional</v>
      </c>
      <c r="D120" s="85">
        <f>INDEX('Informacion del AEP'!$D$102:$N$122,MATCH('Costos aguas abajo'!$C120,'Informacion del AEP'!$C$102:$C$122,0),MATCH('Costos aguas abajo'!$C$110,'Informacion del AEP'!$D$101:$N$101,0))</f>
        <v>1500000</v>
      </c>
      <c r="F120" s="87">
        <f>D120*Supuestos!$C34</f>
        <v>0</v>
      </c>
      <c r="G120" s="87">
        <f>D120*(1-Supuestos!$C34)</f>
        <v>1500000</v>
      </c>
      <c r="I120" s="87">
        <f t="shared" si="8"/>
        <v>0</v>
      </c>
      <c r="J120" s="87">
        <f>G120*Supuestos!$C$20</f>
        <v>178017.24872907801</v>
      </c>
      <c r="K120" s="87">
        <f>(I120+J120)*(1/Supuestos!$C$20)</f>
        <v>1499999.9999999998</v>
      </c>
    </row>
    <row r="121" spans="3:11" x14ac:dyDescent="0.2">
      <c r="C121" s="6" t="str">
        <f>'Informacion del AEP'!C112</f>
        <v>Roaming internacional</v>
      </c>
      <c r="D121" s="85">
        <f>INDEX('Informacion del AEP'!$D$102:$N$122,MATCH('Costos aguas abajo'!$C121,'Informacion del AEP'!$C$102:$C$122,0),MATCH('Costos aguas abajo'!$C$110,'Informacion del AEP'!$D$101:$N$101,0))</f>
        <v>0</v>
      </c>
      <c r="F121" s="87">
        <f>D121*Supuestos!$C35</f>
        <v>0</v>
      </c>
      <c r="G121" s="87">
        <f>D121*(1-Supuestos!$C35)</f>
        <v>0</v>
      </c>
      <c r="I121" s="87">
        <f t="shared" si="8"/>
        <v>0</v>
      </c>
      <c r="J121" s="87">
        <f>G121*Supuestos!$C$20</f>
        <v>0</v>
      </c>
      <c r="K121" s="87">
        <f>(I121+J121)*(1/Supuestos!$C$20)</f>
        <v>0</v>
      </c>
    </row>
    <row r="122" spans="3:11" x14ac:dyDescent="0.2">
      <c r="C122" s="6" t="str">
        <f>'Informacion del AEP'!C113</f>
        <v>Provisiones</v>
      </c>
      <c r="D122" s="85">
        <f>INDEX('Informacion del AEP'!$D$102:$N$122,MATCH('Costos aguas abajo'!$C122,'Informacion del AEP'!$C$102:$C$122,0),MATCH('Costos aguas abajo'!$C$110,'Informacion del AEP'!$D$101:$N$101,0))</f>
        <v>16666666.666666666</v>
      </c>
      <c r="F122" s="87">
        <f>D122*Supuestos!$C36</f>
        <v>0</v>
      </c>
      <c r="G122" s="87">
        <f>D122*(1-Supuestos!$C36)</f>
        <v>16666666.666666666</v>
      </c>
      <c r="I122" s="87">
        <f t="shared" si="8"/>
        <v>0</v>
      </c>
      <c r="J122" s="87">
        <f>G122*Supuestos!$C$20</f>
        <v>1977969.430323089</v>
      </c>
      <c r="K122" s="87">
        <f>(I122+J122)*(1/Supuestos!$C$20)</f>
        <v>16666666.666666664</v>
      </c>
    </row>
    <row r="123" spans="3:11" x14ac:dyDescent="0.2">
      <c r="C123" s="6" t="str">
        <f>'Informacion del AEP'!C114</f>
        <v>Costos directos de la venta de terminales</v>
      </c>
      <c r="D123" s="85">
        <f>INDEX('Informacion del AEP'!$D$102:$N$122,MATCH('Costos aguas abajo'!$C123,'Informacion del AEP'!$C$102:$C$122,0),MATCH('Costos aguas abajo'!$C$110,'Informacion del AEP'!$D$101:$N$101,0))</f>
        <v>1000000000</v>
      </c>
      <c r="F123" s="87">
        <f>D123*Supuestos!$C37</f>
        <v>0</v>
      </c>
      <c r="G123" s="87">
        <f>D123*(1-Supuestos!$C37)</f>
        <v>1000000000</v>
      </c>
      <c r="I123" s="87">
        <f t="shared" si="8"/>
        <v>0</v>
      </c>
      <c r="J123" s="87">
        <f>G123*Supuestos!$C$20</f>
        <v>118678165.81938533</v>
      </c>
      <c r="K123" s="87">
        <f>(I123+J123)*(1/Supuestos!$C$20)</f>
        <v>999999999.99999988</v>
      </c>
    </row>
    <row r="124" spans="3:11" x14ac:dyDescent="0.2">
      <c r="C124" s="6" t="str">
        <f>'Informacion del AEP'!C115</f>
        <v>Servicios generales y de gestión - minoristas</v>
      </c>
      <c r="D124" s="85">
        <f>INDEX('Informacion del AEP'!$D$102:$N$122,MATCH('Costos aguas abajo'!$C124,'Informacion del AEP'!$C$102:$C$122,0),MATCH('Costos aguas abajo'!$C$110,'Informacion del AEP'!$D$101:$N$101,0))</f>
        <v>200000000</v>
      </c>
      <c r="F124" s="87">
        <f>D124*Supuestos!$C38</f>
        <v>10000000</v>
      </c>
      <c r="G124" s="87">
        <f>D124*(1-Supuestos!$C38)</f>
        <v>190000000</v>
      </c>
      <c r="I124" s="87">
        <f t="shared" si="8"/>
        <v>10000000</v>
      </c>
      <c r="J124" s="87">
        <f>G124*Supuestos!$C$20</f>
        <v>22548851.505683213</v>
      </c>
      <c r="K124" s="87">
        <f>(I124+J124)*(1/Supuestos!$C$20)</f>
        <v>274261497.73176354</v>
      </c>
    </row>
    <row r="125" spans="3:11" x14ac:dyDescent="0.2">
      <c r="C125" s="6" t="str">
        <f>'Informacion del AEP'!C116</f>
        <v>Servicios generales y de gestión - red</v>
      </c>
      <c r="D125" s="85">
        <f>INDEX('Informacion del AEP'!$D$102:$N$122,MATCH('Costos aguas abajo'!$C125,'Informacion del AEP'!$C$102:$C$122,0),MATCH('Costos aguas abajo'!$C$110,'Informacion del AEP'!$D$101:$N$101,0))</f>
        <v>0</v>
      </c>
      <c r="F125" s="87">
        <f>D125*Supuestos!$C39</f>
        <v>0</v>
      </c>
      <c r="G125" s="87">
        <f>D125*(1-Supuestos!$C39)</f>
        <v>0</v>
      </c>
      <c r="I125" s="87">
        <f t="shared" si="8"/>
        <v>0</v>
      </c>
      <c r="J125" s="87">
        <f>G125*Supuestos!$C$20</f>
        <v>0</v>
      </c>
      <c r="K125" s="87">
        <f>(I125+J125)*(1/Supuestos!$C$20)</f>
        <v>0</v>
      </c>
    </row>
    <row r="126" spans="3:11" x14ac:dyDescent="0.2">
      <c r="C126" s="6" t="str">
        <f>'Informacion del AEP'!C117</f>
        <v xml:space="preserve">Servicios generales y de gestión - negocio </v>
      </c>
      <c r="D126" s="85">
        <f>INDEX('Informacion del AEP'!$D$102:$N$122,MATCH('Costos aguas abajo'!$C126,'Informacion del AEP'!$C$102:$C$122,0),MATCH('Costos aguas abajo'!$C$110,'Informacion del AEP'!$D$101:$N$101,0))</f>
        <v>50000000</v>
      </c>
      <c r="F126" s="87">
        <f>D126*Supuestos!$C40</f>
        <v>5000000</v>
      </c>
      <c r="G126" s="87">
        <f>D126*(1-Supuestos!$C40)</f>
        <v>45000000</v>
      </c>
      <c r="I126" s="87">
        <f t="shared" si="8"/>
        <v>5000000</v>
      </c>
      <c r="J126" s="87">
        <f>G126*Supuestos!$C$20</f>
        <v>5340517.4618723402</v>
      </c>
      <c r="K126" s="87">
        <f>(I126+J126)*(1/Supuestos!$C$20)</f>
        <v>87130748.865881771</v>
      </c>
    </row>
    <row r="127" spans="3:11" x14ac:dyDescent="0.2">
      <c r="C127" s="76" t="s">
        <v>196</v>
      </c>
      <c r="D127" s="259">
        <f>SUM(D128:D131)</f>
        <v>0</v>
      </c>
      <c r="F127" s="259">
        <f>SUM(F128:F131)</f>
        <v>0</v>
      </c>
      <c r="G127" s="259">
        <f>SUM(G128:G131)</f>
        <v>0</v>
      </c>
      <c r="I127" s="259">
        <f>SUM(I128:I131)</f>
        <v>0</v>
      </c>
      <c r="J127" s="259">
        <f>SUM(J128:J131)</f>
        <v>0</v>
      </c>
      <c r="K127" s="259">
        <f>SUM(K128:K131)</f>
        <v>0</v>
      </c>
    </row>
    <row r="128" spans="3:11" x14ac:dyDescent="0.2">
      <c r="C128" s="6" t="str">
        <f>'Informacion del AEP'!C118</f>
        <v>Costo del Capital:Servicios generales y de gestión - minoristas</v>
      </c>
      <c r="D128" s="85">
        <f>INDEX('Informacion del AEP'!$D$102:$N$122,MATCH('Costos aguas abajo'!$C128,'Informacion del AEP'!$C$102:$C$122,0),MATCH('Costos aguas abajo'!$C$110,'Informacion del AEP'!$D$101:$N$101,0))</f>
        <v>0</v>
      </c>
      <c r="F128" s="87">
        <f>D128*Supuestos!$C41</f>
        <v>0</v>
      </c>
      <c r="G128" s="87">
        <f>D128*(1-Supuestos!$C41)</f>
        <v>0</v>
      </c>
      <c r="I128" s="87">
        <f t="shared" si="8"/>
        <v>0</v>
      </c>
      <c r="J128" s="87">
        <f>G128*Supuestos!$C$20</f>
        <v>0</v>
      </c>
      <c r="K128" s="87">
        <f>(I128+J128)*(1/Supuestos!$C$20)</f>
        <v>0</v>
      </c>
    </row>
    <row r="129" spans="3:11" x14ac:dyDescent="0.2">
      <c r="C129" s="6" t="str">
        <f>'Informacion del AEP'!C119</f>
        <v>Costo del Capital:Servicios generales y de gestión - red</v>
      </c>
      <c r="D129" s="85">
        <f>INDEX('Informacion del AEP'!$D$102:$N$122,MATCH('Costos aguas abajo'!$C129,'Informacion del AEP'!$C$102:$C$122,0),MATCH('Costos aguas abajo'!$C$110,'Informacion del AEP'!$D$101:$N$101,0))</f>
        <v>0</v>
      </c>
      <c r="F129" s="87">
        <f>D129*Supuestos!$C42</f>
        <v>0</v>
      </c>
      <c r="G129" s="87">
        <f>D129*(1-Supuestos!$C42)</f>
        <v>0</v>
      </c>
      <c r="I129" s="87">
        <f t="shared" ref="I129:I131" si="9">+F129</f>
        <v>0</v>
      </c>
      <c r="J129" s="87">
        <f>G129*Supuestos!$C$20</f>
        <v>0</v>
      </c>
      <c r="K129" s="87">
        <f>(I129+J129)*(1/Supuestos!$C$20)</f>
        <v>0</v>
      </c>
    </row>
    <row r="130" spans="3:11" x14ac:dyDescent="0.2">
      <c r="C130" s="6" t="str">
        <f>'Informacion del AEP'!C120</f>
        <v xml:space="preserve">Costo del Capital:Servicios generales y de gestión - negocio </v>
      </c>
      <c r="D130" s="85">
        <f>INDEX('Informacion del AEP'!$D$102:$N$122,MATCH('Costos aguas abajo'!$C130,'Informacion del AEP'!$C$102:$C$122,0),MATCH('Costos aguas abajo'!$C$110,'Informacion del AEP'!$D$101:$N$101,0))</f>
        <v>0</v>
      </c>
      <c r="F130" s="87">
        <f>D130*Supuestos!$C43</f>
        <v>0</v>
      </c>
      <c r="G130" s="87">
        <f>D130*(1-Supuestos!$C43)</f>
        <v>0</v>
      </c>
      <c r="I130" s="87">
        <f t="shared" si="9"/>
        <v>0</v>
      </c>
      <c r="J130" s="87">
        <f>G130*Supuestos!$C$20</f>
        <v>0</v>
      </c>
      <c r="K130" s="87">
        <f>(I130+J130)*(1/Supuestos!$C$20)</f>
        <v>0</v>
      </c>
    </row>
    <row r="131" spans="3:11" x14ac:dyDescent="0.2">
      <c r="C131" s="6" t="str">
        <f>'Informacion del AEP'!C121</f>
        <v>Costo del Capital:Equipos terminales</v>
      </c>
      <c r="D131" s="85">
        <f>INDEX('Informacion del AEP'!$D$102:$N$122,MATCH('Costos aguas abajo'!$C131,'Informacion del AEP'!$C$102:$C$122,0),MATCH('Costos aguas abajo'!$C$110,'Informacion del AEP'!$D$101:$N$101,0))</f>
        <v>0</v>
      </c>
      <c r="F131" s="87">
        <f>D131*Supuestos!$C44</f>
        <v>0</v>
      </c>
      <c r="G131" s="87">
        <f>D131*(1-Supuestos!$C44)</f>
        <v>0</v>
      </c>
      <c r="I131" s="87">
        <f t="shared" si="9"/>
        <v>0</v>
      </c>
      <c r="J131" s="87">
        <f>G131*Supuestos!$C$20</f>
        <v>0</v>
      </c>
      <c r="K131" s="87">
        <f>(I131+J131)*(1/Supuestos!$C$20)</f>
        <v>0</v>
      </c>
    </row>
    <row r="133" spans="3:11" x14ac:dyDescent="0.2">
      <c r="C133" s="88" t="s">
        <v>52</v>
      </c>
      <c r="D133" s="45" t="str">
        <f>IF(D110='Informacion del AEP'!J122,"Ok","Error")</f>
        <v>Ok</v>
      </c>
      <c r="I133" s="45" t="str">
        <f>IF(I110=F110,"Ok","Error")</f>
        <v>Ok</v>
      </c>
    </row>
    <row r="135" spans="3:11" x14ac:dyDescent="0.2">
      <c r="C135" s="89" t="str">
        <f>Supuestos!$B$80</f>
        <v>Telcel Prepago 3</v>
      </c>
      <c r="D135" s="90">
        <f>SUM(D136:D152)</f>
        <v>3170533333.333333</v>
      </c>
      <c r="E135" s="91"/>
      <c r="F135" s="90">
        <f>SUM(F136:F152)</f>
        <v>82483333.333333328</v>
      </c>
      <c r="G135" s="90">
        <f>SUM(G136:G152)</f>
        <v>3088050000</v>
      </c>
      <c r="H135" s="91"/>
      <c r="I135" s="90">
        <f>SUM(I136:I152)</f>
        <v>82483333.333333328</v>
      </c>
      <c r="J135" s="90">
        <f>SUM(J136:J152)</f>
        <v>366484109.9585529</v>
      </c>
      <c r="K135" s="90">
        <f>SUM(K136:K152)</f>
        <v>3783066920.4574957</v>
      </c>
    </row>
    <row r="136" spans="3:11" x14ac:dyDescent="0.2">
      <c r="C136" s="6" t="str">
        <f>'Informacion del AEP'!C102</f>
        <v>Acceso a Internet</v>
      </c>
      <c r="D136" s="85">
        <f>INDEX('Informacion del AEP'!$D$102:$N$122,MATCH('Costos aguas abajo'!$C136,'Informacion del AEP'!$C$102:$C$122,0),MATCH('Costos aguas abajo'!$C$135,'Informacion del AEP'!$D$101:$N$101,0))</f>
        <v>0</v>
      </c>
      <c r="F136" s="87">
        <f>D136*Supuestos!$C25</f>
        <v>0</v>
      </c>
      <c r="G136" s="87">
        <f>D136*(1-Supuestos!$C25)</f>
        <v>0</v>
      </c>
      <c r="I136" s="87">
        <f>+F136</f>
        <v>0</v>
      </c>
      <c r="J136" s="87">
        <f>G136*Supuestos!$C$20</f>
        <v>0</v>
      </c>
      <c r="K136" s="87">
        <f>(I136+J136)*(1/Supuestos!$C$20)</f>
        <v>0</v>
      </c>
    </row>
    <row r="137" spans="3:11" x14ac:dyDescent="0.2">
      <c r="C137" s="6" t="str">
        <f>'Informacion del AEP'!C103</f>
        <v>Servicios OTT de vídeo</v>
      </c>
      <c r="D137" s="85">
        <f>INDEX('Informacion del AEP'!$D$102:$N$122,MATCH('Costos aguas abajo'!$C137,'Informacion del AEP'!$C$102:$C$122,0),MATCH('Costos aguas abajo'!$C$135,'Informacion del AEP'!$D$101:$N$101,0))</f>
        <v>0</v>
      </c>
      <c r="F137" s="87">
        <f>D137*Supuestos!$C26</f>
        <v>0</v>
      </c>
      <c r="G137" s="87">
        <f>D137*(1-Supuestos!$C26)</f>
        <v>0</v>
      </c>
      <c r="I137" s="87">
        <f t="shared" ref="I137:I153" si="10">+F137</f>
        <v>0</v>
      </c>
      <c r="J137" s="87">
        <f>G137*Supuestos!$C$20</f>
        <v>0</v>
      </c>
      <c r="K137" s="87">
        <f>(I137+J137)*(1/Supuestos!$C$20)</f>
        <v>0</v>
      </c>
    </row>
    <row r="138" spans="3:11" x14ac:dyDescent="0.2">
      <c r="C138" s="6" t="str">
        <f>'Informacion del AEP'!C104</f>
        <v>Servicios OTT de audio</v>
      </c>
      <c r="D138" s="85">
        <f>INDEX('Informacion del AEP'!$D$102:$N$122,MATCH('Costos aguas abajo'!$C138,'Informacion del AEP'!$C$102:$C$122,0),MATCH('Costos aguas abajo'!$C$135,'Informacion del AEP'!$D$101:$N$101,0))</f>
        <v>0</v>
      </c>
      <c r="F138" s="87">
        <f>D138*Supuestos!$C27</f>
        <v>0</v>
      </c>
      <c r="G138" s="87">
        <f>D138*(1-Supuestos!$C27)</f>
        <v>0</v>
      </c>
      <c r="I138" s="87">
        <f t="shared" si="10"/>
        <v>0</v>
      </c>
      <c r="J138" s="87">
        <f>G138*Supuestos!$C$20</f>
        <v>0</v>
      </c>
      <c r="K138" s="87">
        <f>(I138+J138)*(1/Supuestos!$C$20)</f>
        <v>0</v>
      </c>
    </row>
    <row r="139" spans="3:11" x14ac:dyDescent="0.2">
      <c r="C139" s="6" t="str">
        <f>'Informacion del AEP'!C105</f>
        <v>Comerciales</v>
      </c>
      <c r="D139" s="85">
        <f>INDEX('Informacion del AEP'!$D$102:$N$122,MATCH('Costos aguas abajo'!$C139,'Informacion del AEP'!$C$102:$C$122,0),MATCH('Costos aguas abajo'!$C$135,'Informacion del AEP'!$D$101:$N$101,0))</f>
        <v>699999999.99999988</v>
      </c>
      <c r="F139" s="87">
        <f>D139*Supuestos!$C28</f>
        <v>69999999.999999985</v>
      </c>
      <c r="G139" s="87">
        <f>D139*(1-Supuestos!$C28)</f>
        <v>629999999.99999988</v>
      </c>
      <c r="I139" s="87">
        <f t="shared" si="10"/>
        <v>69999999.999999985</v>
      </c>
      <c r="J139" s="87">
        <f>G139*Supuestos!$C$20</f>
        <v>74767244.466212749</v>
      </c>
      <c r="K139" s="87">
        <f>(I139+J139)*(1/Supuestos!$C$20)</f>
        <v>1219830484.1223447</v>
      </c>
    </row>
    <row r="140" spans="3:11" x14ac:dyDescent="0.2">
      <c r="C140" s="6" t="str">
        <f>'Informacion del AEP'!C106</f>
        <v>Facturación</v>
      </c>
      <c r="D140" s="85">
        <f>INDEX('Informacion del AEP'!$D$102:$N$122,MATCH('Costos aguas abajo'!$C140,'Informacion del AEP'!$C$102:$C$122,0),MATCH('Costos aguas abajo'!$C$135,'Informacion del AEP'!$D$101:$N$101,0))</f>
        <v>0</v>
      </c>
      <c r="F140" s="87">
        <f>D140*Supuestos!$C29</f>
        <v>0</v>
      </c>
      <c r="G140" s="87">
        <f>D140*(1-Supuestos!$C29)</f>
        <v>0</v>
      </c>
      <c r="I140" s="87">
        <f t="shared" si="10"/>
        <v>0</v>
      </c>
      <c r="J140" s="87">
        <f>G140*Supuestos!$C$20</f>
        <v>0</v>
      </c>
      <c r="K140" s="87">
        <f>(I140+J140)*(1/Supuestos!$C$20)</f>
        <v>0</v>
      </c>
    </row>
    <row r="141" spans="3:11" x14ac:dyDescent="0.2">
      <c r="C141" s="6" t="str">
        <f>'Informacion del AEP'!C107</f>
        <v>Cobranza</v>
      </c>
      <c r="D141" s="85">
        <f>INDEX('Informacion del AEP'!$D$102:$N$122,MATCH('Costos aguas abajo'!$C141,'Informacion del AEP'!$C$102:$C$122,0),MATCH('Costos aguas abajo'!$C$135,'Informacion del AEP'!$D$101:$N$101,0))</f>
        <v>0</v>
      </c>
      <c r="F141" s="87">
        <f>D141*Supuestos!$C30</f>
        <v>0</v>
      </c>
      <c r="G141" s="87">
        <f>D141*(1-Supuestos!$C30)</f>
        <v>0</v>
      </c>
      <c r="I141" s="87">
        <f t="shared" si="10"/>
        <v>0</v>
      </c>
      <c r="J141" s="87">
        <f>G141*Supuestos!$C$20</f>
        <v>0</v>
      </c>
      <c r="K141" s="87">
        <f>(I141+J141)*(1/Supuestos!$C$20)</f>
        <v>0</v>
      </c>
    </row>
    <row r="142" spans="3:11" x14ac:dyDescent="0.2">
      <c r="C142" s="6" t="str">
        <f>'Informacion del AEP'!C108</f>
        <v>Tasas e impuestos</v>
      </c>
      <c r="D142" s="85">
        <f>INDEX('Informacion del AEP'!$D$102:$N$122,MATCH('Costos aguas abajo'!$C142,'Informacion del AEP'!$C$102:$C$122,0),MATCH('Costos aguas abajo'!$C$135,'Informacion del AEP'!$D$101:$N$101,0))</f>
        <v>8166666.666666667</v>
      </c>
      <c r="F142" s="87">
        <f>D142*Supuestos!$C31</f>
        <v>816666.66666666674</v>
      </c>
      <c r="G142" s="87">
        <f>D142*(1-Supuestos!$C31)</f>
        <v>7350000</v>
      </c>
      <c r="I142" s="87">
        <f t="shared" si="10"/>
        <v>816666.66666666674</v>
      </c>
      <c r="J142" s="87">
        <f>G142*Supuestos!$C$20</f>
        <v>872284.51877248229</v>
      </c>
      <c r="K142" s="87">
        <f>(I142+J142)*(1/Supuestos!$C$20)</f>
        <v>14231355.648094025</v>
      </c>
    </row>
    <row r="143" spans="3:11" x14ac:dyDescent="0.2">
      <c r="C143" s="6" t="str">
        <f>'Informacion del AEP'!C109</f>
        <v>Programas de fidelización</v>
      </c>
      <c r="D143" s="85">
        <f>INDEX('Informacion del AEP'!$D$102:$N$122,MATCH('Costos aguas abajo'!$C143,'Informacion del AEP'!$C$102:$C$122,0),MATCH('Costos aguas abajo'!$C$135,'Informacion del AEP'!$D$101:$N$101,0))</f>
        <v>0</v>
      </c>
      <c r="F143" s="87">
        <f>D143*Supuestos!$C32</f>
        <v>0</v>
      </c>
      <c r="G143" s="87">
        <f>D143*(1-Supuestos!$C32)</f>
        <v>0</v>
      </c>
      <c r="I143" s="87">
        <f t="shared" si="10"/>
        <v>0</v>
      </c>
      <c r="J143" s="87">
        <f>G143*Supuestos!$C$20</f>
        <v>0</v>
      </c>
      <c r="K143" s="87">
        <f>(I143+J143)*(1/Supuestos!$C$20)</f>
        <v>0</v>
      </c>
    </row>
    <row r="144" spans="3:11" x14ac:dyDescent="0.2">
      <c r="C144" s="6" t="str">
        <f>'Informacion del AEP'!C110</f>
        <v>Acceso internet internacional</v>
      </c>
      <c r="D144" s="85">
        <f>INDEX('Informacion del AEP'!$D$102:$N$122,MATCH('Costos aguas abajo'!$C144,'Informacion del AEP'!$C$102:$C$122,0),MATCH('Costos aguas abajo'!$C$135,'Informacion del AEP'!$D$101:$N$101,0))</f>
        <v>8866666.666666666</v>
      </c>
      <c r="F144" s="87">
        <f>D144*Supuestos!$C33</f>
        <v>0</v>
      </c>
      <c r="G144" s="87">
        <f>D144*(1-Supuestos!$C33)</f>
        <v>8866666.666666666</v>
      </c>
      <c r="I144" s="87">
        <f t="shared" si="10"/>
        <v>0</v>
      </c>
      <c r="J144" s="87">
        <f>G144*Supuestos!$C$20</f>
        <v>1052279.7369318833</v>
      </c>
      <c r="K144" s="87">
        <f>(I144+J144)*(1/Supuestos!$C$20)</f>
        <v>8866666.6666666642</v>
      </c>
    </row>
    <row r="145" spans="3:11" x14ac:dyDescent="0.2">
      <c r="C145" s="6" t="str">
        <f>'Informacion del AEP'!C111</f>
        <v>Roaming nacional</v>
      </c>
      <c r="D145" s="85">
        <f>INDEX('Informacion del AEP'!$D$102:$N$122,MATCH('Costos aguas abajo'!$C145,'Informacion del AEP'!$C$102:$C$122,0),MATCH('Costos aguas abajo'!$C$135,'Informacion del AEP'!$D$101:$N$101,0))</f>
        <v>3500000</v>
      </c>
      <c r="F145" s="87">
        <f>D145*Supuestos!$C34</f>
        <v>0</v>
      </c>
      <c r="G145" s="87">
        <f>D145*(1-Supuestos!$C34)</f>
        <v>3500000</v>
      </c>
      <c r="I145" s="87">
        <f t="shared" si="10"/>
        <v>0</v>
      </c>
      <c r="J145" s="87">
        <f>G145*Supuestos!$C$20</f>
        <v>415373.58036784868</v>
      </c>
      <c r="K145" s="87">
        <f>(I145+J145)*(1/Supuestos!$C$20)</f>
        <v>3499999.9999999995</v>
      </c>
    </row>
    <row r="146" spans="3:11" x14ac:dyDescent="0.2">
      <c r="C146" s="6" t="str">
        <f>'Informacion del AEP'!C112</f>
        <v>Roaming internacional</v>
      </c>
      <c r="D146" s="85">
        <f>INDEX('Informacion del AEP'!$D$102:$N$122,MATCH('Costos aguas abajo'!$C146,'Informacion del AEP'!$C$102:$C$122,0),MATCH('Costos aguas abajo'!$C$135,'Informacion del AEP'!$D$101:$N$101,0))</f>
        <v>0</v>
      </c>
      <c r="F146" s="87">
        <f>D146*Supuestos!$C35</f>
        <v>0</v>
      </c>
      <c r="G146" s="87">
        <f>D146*(1-Supuestos!$C35)</f>
        <v>0</v>
      </c>
      <c r="I146" s="87">
        <f t="shared" si="10"/>
        <v>0</v>
      </c>
      <c r="J146" s="87">
        <f>G146*Supuestos!$C$20</f>
        <v>0</v>
      </c>
      <c r="K146" s="87">
        <f>(I146+J146)*(1/Supuestos!$C$20)</f>
        <v>0</v>
      </c>
    </row>
    <row r="147" spans="3:11" x14ac:dyDescent="0.2">
      <c r="C147" s="6" t="str">
        <f>'Informacion del AEP'!C113</f>
        <v>Provisiones</v>
      </c>
      <c r="D147" s="85">
        <f>INDEX('Informacion del AEP'!$D$102:$N$122,MATCH('Costos aguas abajo'!$C147,'Informacion del AEP'!$C$102:$C$122,0),MATCH('Costos aguas abajo'!$C$135,'Informacion del AEP'!$D$101:$N$101,0))</f>
        <v>0</v>
      </c>
      <c r="F147" s="87">
        <f>D147*Supuestos!$C36</f>
        <v>0</v>
      </c>
      <c r="G147" s="87">
        <f>D147*(1-Supuestos!$C36)</f>
        <v>0</v>
      </c>
      <c r="I147" s="87">
        <f t="shared" si="10"/>
        <v>0</v>
      </c>
      <c r="J147" s="87">
        <f>G147*Supuestos!$C$20</f>
        <v>0</v>
      </c>
      <c r="K147" s="87">
        <f>(I147+J147)*(1/Supuestos!$C$20)</f>
        <v>0</v>
      </c>
    </row>
    <row r="148" spans="3:11" x14ac:dyDescent="0.2">
      <c r="C148" s="6" t="str">
        <f>'Informacion del AEP'!C114</f>
        <v>Costos directos de la venta de terminales</v>
      </c>
      <c r="D148" s="85">
        <f>INDEX('Informacion del AEP'!$D$102:$N$122,MATCH('Costos aguas abajo'!$C148,'Informacion del AEP'!$C$102:$C$122,0),MATCH('Costos aguas abajo'!$C$135,'Informacion del AEP'!$D$101:$N$101,0))</f>
        <v>2333333333.3333335</v>
      </c>
      <c r="F148" s="87">
        <f>D148*Supuestos!$C37</f>
        <v>0</v>
      </c>
      <c r="G148" s="87">
        <f>D148*(1-Supuestos!$C37)</f>
        <v>2333333333.3333335</v>
      </c>
      <c r="I148" s="87">
        <f t="shared" si="10"/>
        <v>0</v>
      </c>
      <c r="J148" s="87">
        <f>G148*Supuestos!$C$20</f>
        <v>276915720.24523246</v>
      </c>
      <c r="K148" s="87">
        <f>(I148+J148)*(1/Supuestos!$C$20)</f>
        <v>2333333333.333333</v>
      </c>
    </row>
    <row r="149" spans="3:11" x14ac:dyDescent="0.2">
      <c r="C149" s="6" t="str">
        <f>'Informacion del AEP'!C115</f>
        <v>Servicios generales y de gestión - minoristas</v>
      </c>
      <c r="D149" s="85">
        <f>INDEX('Informacion del AEP'!$D$102:$N$122,MATCH('Costos aguas abajo'!$C149,'Informacion del AEP'!$C$102:$C$122,0),MATCH('Costos aguas abajo'!$C$135,'Informacion del AEP'!$D$101:$N$101,0))</f>
        <v>0</v>
      </c>
      <c r="F149" s="87">
        <f>D149*Supuestos!$C38</f>
        <v>0</v>
      </c>
      <c r="G149" s="87">
        <f>D149*(1-Supuestos!$C38)</f>
        <v>0</v>
      </c>
      <c r="I149" s="87">
        <f t="shared" si="10"/>
        <v>0</v>
      </c>
      <c r="J149" s="87">
        <f>G149*Supuestos!$C$20</f>
        <v>0</v>
      </c>
      <c r="K149" s="87">
        <f>(I149+J149)*(1/Supuestos!$C$20)</f>
        <v>0</v>
      </c>
    </row>
    <row r="150" spans="3:11" x14ac:dyDescent="0.2">
      <c r="C150" s="6" t="str">
        <f>'Informacion del AEP'!C116</f>
        <v>Servicios generales y de gestión - red</v>
      </c>
      <c r="D150" s="85">
        <f>INDEX('Informacion del AEP'!$D$102:$N$122,MATCH('Costos aguas abajo'!$C150,'Informacion del AEP'!$C$102:$C$122,0),MATCH('Costos aguas abajo'!$C$135,'Informacion del AEP'!$D$101:$N$101,0))</f>
        <v>0</v>
      </c>
      <c r="F150" s="87">
        <f>D150*Supuestos!$C39</f>
        <v>0</v>
      </c>
      <c r="G150" s="87">
        <f>D150*(1-Supuestos!$C39)</f>
        <v>0</v>
      </c>
      <c r="I150" s="87">
        <f t="shared" si="10"/>
        <v>0</v>
      </c>
      <c r="J150" s="87">
        <f>G150*Supuestos!$C$20</f>
        <v>0</v>
      </c>
      <c r="K150" s="87">
        <f>(I150+J150)*(1/Supuestos!$C$20)</f>
        <v>0</v>
      </c>
    </row>
    <row r="151" spans="3:11" x14ac:dyDescent="0.2">
      <c r="C151" s="6" t="str">
        <f>'Informacion del AEP'!C117</f>
        <v xml:space="preserve">Servicios generales y de gestión - negocio </v>
      </c>
      <c r="D151" s="85">
        <f>INDEX('Informacion del AEP'!$D$102:$N$122,MATCH('Costos aguas abajo'!$C151,'Informacion del AEP'!$C$102:$C$122,0),MATCH('Costos aguas abajo'!$C$135,'Informacion del AEP'!$D$101:$N$101,0))</f>
        <v>116666666.66666667</v>
      </c>
      <c r="F151" s="87">
        <f>D151*Supuestos!$C40</f>
        <v>11666666.666666668</v>
      </c>
      <c r="G151" s="87">
        <f>D151*(1-Supuestos!$C40)</f>
        <v>105000000</v>
      </c>
      <c r="I151" s="87">
        <f t="shared" si="10"/>
        <v>11666666.666666668</v>
      </c>
      <c r="J151" s="87">
        <f>G151*Supuestos!$C$20</f>
        <v>12461207.411035461</v>
      </c>
      <c r="K151" s="87">
        <f>(I151+J151)*(1/Supuestos!$C$20)</f>
        <v>203305080.6870575</v>
      </c>
    </row>
    <row r="152" spans="3:11" x14ac:dyDescent="0.2">
      <c r="C152" s="76" t="s">
        <v>196</v>
      </c>
      <c r="D152" s="259">
        <f>SUM(D153:D156)</f>
        <v>0</v>
      </c>
      <c r="F152" s="259">
        <f>SUM(F153:F156)</f>
        <v>0</v>
      </c>
      <c r="G152" s="259">
        <f>SUM(G153:G156)</f>
        <v>0</v>
      </c>
      <c r="I152" s="259">
        <f>SUM(I153:I156)</f>
        <v>0</v>
      </c>
      <c r="J152" s="259">
        <f>SUM(J153:J156)</f>
        <v>0</v>
      </c>
      <c r="K152" s="259">
        <f>SUM(K153:K156)</f>
        <v>0</v>
      </c>
    </row>
    <row r="153" spans="3:11" x14ac:dyDescent="0.2">
      <c r="C153" s="6" t="str">
        <f>'Informacion del AEP'!C118</f>
        <v>Costo del Capital:Servicios generales y de gestión - minoristas</v>
      </c>
      <c r="D153" s="85">
        <f>INDEX('Informacion del AEP'!$D$102:$N$122,MATCH('Costos aguas abajo'!$C153,'Informacion del AEP'!$C$102:$C$122,0),MATCH('Costos aguas abajo'!$C$135,'Informacion del AEP'!$D$101:$N$101,0))</f>
        <v>0</v>
      </c>
      <c r="F153" s="87">
        <f>D153*Supuestos!$C41</f>
        <v>0</v>
      </c>
      <c r="G153" s="87">
        <f>D153*(1-Supuestos!$C41)</f>
        <v>0</v>
      </c>
      <c r="I153" s="87">
        <f t="shared" si="10"/>
        <v>0</v>
      </c>
      <c r="J153" s="87">
        <f>G153*Supuestos!$C$20</f>
        <v>0</v>
      </c>
      <c r="K153" s="87">
        <f>(I153+J153)*(1/Supuestos!$C$20)</f>
        <v>0</v>
      </c>
    </row>
    <row r="154" spans="3:11" x14ac:dyDescent="0.2">
      <c r="C154" s="6" t="str">
        <f>'Informacion del AEP'!C119</f>
        <v>Costo del Capital:Servicios generales y de gestión - red</v>
      </c>
      <c r="D154" s="85">
        <f>INDEX('Informacion del AEP'!$D$102:$N$122,MATCH('Costos aguas abajo'!$C154,'Informacion del AEP'!$C$102:$C$122,0),MATCH('Costos aguas abajo'!$C$135,'Informacion del AEP'!$D$101:$N$101,0))</f>
        <v>0</v>
      </c>
      <c r="F154" s="87">
        <f>D154*Supuestos!$C42</f>
        <v>0</v>
      </c>
      <c r="G154" s="87">
        <f>D154*(1-Supuestos!$C42)</f>
        <v>0</v>
      </c>
      <c r="I154" s="87">
        <f t="shared" ref="I154:I156" si="11">+F154</f>
        <v>0</v>
      </c>
      <c r="J154" s="87">
        <f>G154*Supuestos!$C$20</f>
        <v>0</v>
      </c>
      <c r="K154" s="87">
        <f>(I154+J154)*(1/Supuestos!$C$20)</f>
        <v>0</v>
      </c>
    </row>
    <row r="155" spans="3:11" x14ac:dyDescent="0.2">
      <c r="C155" s="6" t="str">
        <f>'Informacion del AEP'!C120</f>
        <v xml:space="preserve">Costo del Capital:Servicios generales y de gestión - negocio </v>
      </c>
      <c r="D155" s="85">
        <f>INDEX('Informacion del AEP'!$D$102:$N$122,MATCH('Costos aguas abajo'!$C155,'Informacion del AEP'!$C$102:$C$122,0),MATCH('Costos aguas abajo'!$C$135,'Informacion del AEP'!$D$101:$N$101,0))</f>
        <v>0</v>
      </c>
      <c r="F155" s="87">
        <f>D155*Supuestos!$C43</f>
        <v>0</v>
      </c>
      <c r="G155" s="87">
        <f>D155*(1-Supuestos!$C43)</f>
        <v>0</v>
      </c>
      <c r="I155" s="87">
        <f t="shared" si="11"/>
        <v>0</v>
      </c>
      <c r="J155" s="87">
        <f>G155*Supuestos!$C$20</f>
        <v>0</v>
      </c>
      <c r="K155" s="87">
        <f>(I155+J155)*(1/Supuestos!$C$20)</f>
        <v>0</v>
      </c>
    </row>
    <row r="156" spans="3:11" x14ac:dyDescent="0.2">
      <c r="C156" s="6" t="str">
        <f>'Informacion del AEP'!C121</f>
        <v>Costo del Capital:Equipos terminales</v>
      </c>
      <c r="D156" s="85">
        <f>INDEX('Informacion del AEP'!$D$102:$N$122,MATCH('Costos aguas abajo'!$C156,'Informacion del AEP'!$C$102:$C$122,0),MATCH('Costos aguas abajo'!$C$135,'Informacion del AEP'!$D$101:$N$101,0))</f>
        <v>0</v>
      </c>
      <c r="F156" s="87">
        <f>D156*Supuestos!$C44</f>
        <v>0</v>
      </c>
      <c r="G156" s="87">
        <f>D156*(1-Supuestos!$C44)</f>
        <v>0</v>
      </c>
      <c r="I156" s="87">
        <f t="shared" si="11"/>
        <v>0</v>
      </c>
      <c r="J156" s="87">
        <f>G156*Supuestos!$C$20</f>
        <v>0</v>
      </c>
      <c r="K156" s="87">
        <f>(I156+J156)*(1/Supuestos!$C$20)</f>
        <v>0</v>
      </c>
    </row>
    <row r="158" spans="3:11" x14ac:dyDescent="0.2">
      <c r="C158" s="88" t="s">
        <v>52</v>
      </c>
      <c r="D158" s="45" t="str">
        <f>IF(D135='Informacion del AEP'!K122,"Ok","Error")</f>
        <v>Ok</v>
      </c>
      <c r="I158" s="45" t="str">
        <f>IF(I135=F135,"Ok","Error")</f>
        <v>Ok</v>
      </c>
    </row>
    <row r="160" spans="3:11" x14ac:dyDescent="0.2">
      <c r="C160" s="89" t="str">
        <f>Supuestos!$B$81</f>
        <v>Telcel Pospago 1</v>
      </c>
      <c r="D160" s="90">
        <f>SUM(D161:D177)</f>
        <v>1627433333.3333335</v>
      </c>
      <c r="E160" s="91"/>
      <c r="F160" s="90">
        <f>SUM(F161:F177)</f>
        <v>45365000</v>
      </c>
      <c r="G160" s="90">
        <f>SUM(G161:G177)</f>
        <v>1582068333.3333335</v>
      </c>
      <c r="H160" s="91"/>
      <c r="I160" s="90">
        <f>SUM(I161:I177)</f>
        <v>45365000</v>
      </c>
      <c r="J160" s="90">
        <f>SUM(J161:J177)</f>
        <v>187756968.00093192</v>
      </c>
      <c r="K160" s="90">
        <f>SUM(K161:K177)</f>
        <v>1964320617.7934785</v>
      </c>
    </row>
    <row r="161" spans="3:11" x14ac:dyDescent="0.2">
      <c r="C161" s="6" t="str">
        <f>'Informacion del AEP'!C102</f>
        <v>Acceso a Internet</v>
      </c>
      <c r="D161" s="85">
        <f>INDEX('Informacion del AEP'!$D$102:$N$122,MATCH('Costos aguas abajo'!$C161,'Informacion del AEP'!$C$102:$C$122,0),MATCH('Costos aguas abajo'!$C$160,'Informacion del AEP'!$D$101:$N$101,0))</f>
        <v>0</v>
      </c>
      <c r="F161" s="87">
        <f>D161*Supuestos!$C25</f>
        <v>0</v>
      </c>
      <c r="G161" s="87">
        <f>D161*(1-Supuestos!$C25)</f>
        <v>0</v>
      </c>
      <c r="I161" s="87">
        <f>+F161</f>
        <v>0</v>
      </c>
      <c r="J161" s="87">
        <f>G161*Supuestos!$C$20</f>
        <v>0</v>
      </c>
      <c r="K161" s="87">
        <f>(I161+J161)*(1/Supuestos!$C$20)</f>
        <v>0</v>
      </c>
    </row>
    <row r="162" spans="3:11" x14ac:dyDescent="0.2">
      <c r="C162" s="6" t="str">
        <f>'Informacion del AEP'!C103</f>
        <v>Servicios OTT de vídeo</v>
      </c>
      <c r="D162" s="85">
        <f>INDEX('Informacion del AEP'!$D$102:$N$122,MATCH('Costos aguas abajo'!$C162,'Informacion del AEP'!$C$102:$C$122,0),MATCH('Costos aguas abajo'!$C$160,'Informacion del AEP'!$D$101:$N$101,0))</f>
        <v>26666666.666666668</v>
      </c>
      <c r="F162" s="87">
        <f>D162*Supuestos!$C26</f>
        <v>0</v>
      </c>
      <c r="G162" s="87">
        <f>D162*(1-Supuestos!$C26)</f>
        <v>26666666.666666668</v>
      </c>
      <c r="I162" s="87">
        <f t="shared" ref="I162:I178" si="12">+F162</f>
        <v>0</v>
      </c>
      <c r="J162" s="87">
        <f>G162*Supuestos!$C$20</f>
        <v>3164751.0885169427</v>
      </c>
      <c r="K162" s="87">
        <f>(I162+J162)*(1/Supuestos!$C$20)</f>
        <v>26666666.666666668</v>
      </c>
    </row>
    <row r="163" spans="3:11" x14ac:dyDescent="0.2">
      <c r="C163" s="6" t="str">
        <f>'Informacion del AEP'!C104</f>
        <v>Servicios OTT de audio</v>
      </c>
      <c r="D163" s="85">
        <f>INDEX('Informacion del AEP'!$D$102:$N$122,MATCH('Costos aguas abajo'!$C163,'Informacion del AEP'!$C$102:$C$122,0),MATCH('Costos aguas abajo'!$C$160,'Informacion del AEP'!$D$101:$N$101,0))</f>
        <v>0</v>
      </c>
      <c r="F163" s="87">
        <f>D163*Supuestos!$C27</f>
        <v>0</v>
      </c>
      <c r="G163" s="87">
        <f>D163*(1-Supuestos!$C27)</f>
        <v>0</v>
      </c>
      <c r="I163" s="87">
        <f t="shared" si="12"/>
        <v>0</v>
      </c>
      <c r="J163" s="87">
        <f>G163*Supuestos!$C$20</f>
        <v>0</v>
      </c>
      <c r="K163" s="87">
        <f>(I163+J163)*(1/Supuestos!$C$20)</f>
        <v>0</v>
      </c>
    </row>
    <row r="164" spans="3:11" x14ac:dyDescent="0.2">
      <c r="C164" s="6" t="str">
        <f>'Informacion del AEP'!C105</f>
        <v>Comerciales</v>
      </c>
      <c r="D164" s="85">
        <f>INDEX('Informacion del AEP'!$D$102:$N$122,MATCH('Costos aguas abajo'!$C164,'Informacion del AEP'!$C$102:$C$122,0),MATCH('Costos aguas abajo'!$C$160,'Informacion del AEP'!$D$101:$N$101,0))</f>
        <v>300000000</v>
      </c>
      <c r="F164" s="87">
        <f>D164*Supuestos!$C28</f>
        <v>30000000</v>
      </c>
      <c r="G164" s="87">
        <f>D164*(1-Supuestos!$C28)</f>
        <v>270000000</v>
      </c>
      <c r="I164" s="87">
        <f t="shared" si="12"/>
        <v>30000000</v>
      </c>
      <c r="J164" s="87">
        <f>G164*Supuestos!$C$20</f>
        <v>32043104.771234043</v>
      </c>
      <c r="K164" s="87">
        <f>(I164+J164)*(1/Supuestos!$C$20)</f>
        <v>522784493.19529068</v>
      </c>
    </row>
    <row r="165" spans="3:11" x14ac:dyDescent="0.2">
      <c r="C165" s="6" t="str">
        <f>'Informacion del AEP'!C106</f>
        <v>Facturación</v>
      </c>
      <c r="D165" s="85">
        <f>INDEX('Informacion del AEP'!$D$102:$N$122,MATCH('Costos aguas abajo'!$C165,'Informacion del AEP'!$C$102:$C$122,0),MATCH('Costos aguas abajo'!$C$160,'Informacion del AEP'!$D$101:$N$101,0))</f>
        <v>300000</v>
      </c>
      <c r="F165" s="87">
        <f>D165*Supuestos!$C29</f>
        <v>15000</v>
      </c>
      <c r="G165" s="87">
        <f>D165*(1-Supuestos!$C29)</f>
        <v>285000</v>
      </c>
      <c r="I165" s="87">
        <f t="shared" si="12"/>
        <v>15000</v>
      </c>
      <c r="J165" s="87">
        <f>G165*Supuestos!$C$20</f>
        <v>33823.277258524824</v>
      </c>
      <c r="K165" s="87">
        <f>(I165+J165)*(1/Supuestos!$C$20)</f>
        <v>411392.24659764534</v>
      </c>
    </row>
    <row r="166" spans="3:11" x14ac:dyDescent="0.2">
      <c r="C166" s="6" t="str">
        <f>'Informacion del AEP'!C107</f>
        <v>Cobranza</v>
      </c>
      <c r="D166" s="85">
        <f>INDEX('Informacion del AEP'!$D$102:$N$122,MATCH('Costos aguas abajo'!$C166,'Informacion del AEP'!$C$102:$C$122,0),MATCH('Costos aguas abajo'!$C$160,'Informacion del AEP'!$D$101:$N$101,0))</f>
        <v>11666666.666666666</v>
      </c>
      <c r="F166" s="87">
        <f>D166*Supuestos!$C30</f>
        <v>0</v>
      </c>
      <c r="G166" s="87">
        <f>D166*(1-Supuestos!$C30)</f>
        <v>11666666.666666666</v>
      </c>
      <c r="I166" s="87">
        <f t="shared" si="12"/>
        <v>0</v>
      </c>
      <c r="J166" s="87">
        <f>G166*Supuestos!$C$20</f>
        <v>1384578.6012261622</v>
      </c>
      <c r="K166" s="87">
        <f>(I166+J166)*(1/Supuestos!$C$20)</f>
        <v>11666666.666666664</v>
      </c>
    </row>
    <row r="167" spans="3:11" x14ac:dyDescent="0.2">
      <c r="C167" s="6" t="str">
        <f>'Informacion del AEP'!C108</f>
        <v>Tasas e impuestos</v>
      </c>
      <c r="D167" s="85">
        <f>INDEX('Informacion del AEP'!$D$102:$N$122,MATCH('Costos aguas abajo'!$C167,'Informacion del AEP'!$C$102:$C$122,0),MATCH('Costos aguas abajo'!$C$160,'Informacion del AEP'!$D$101:$N$101,0))</f>
        <v>3500000</v>
      </c>
      <c r="F167" s="87">
        <f>D167*Supuestos!$C31</f>
        <v>350000</v>
      </c>
      <c r="G167" s="87">
        <f>D167*(1-Supuestos!$C31)</f>
        <v>3150000</v>
      </c>
      <c r="I167" s="87">
        <f t="shared" si="12"/>
        <v>350000</v>
      </c>
      <c r="J167" s="87">
        <f>G167*Supuestos!$C$20</f>
        <v>373836.22233106382</v>
      </c>
      <c r="K167" s="87">
        <f>(I167+J167)*(1/Supuestos!$C$20)</f>
        <v>6099152.4206117252</v>
      </c>
    </row>
    <row r="168" spans="3:11" x14ac:dyDescent="0.2">
      <c r="C168" s="6" t="str">
        <f>'Informacion del AEP'!C109</f>
        <v>Programas de fidelización</v>
      </c>
      <c r="D168" s="85">
        <f>INDEX('Informacion del AEP'!$D$102:$N$122,MATCH('Costos aguas abajo'!$C168,'Informacion del AEP'!$C$102:$C$122,0),MATCH('Costos aguas abajo'!$C$160,'Informacion del AEP'!$D$101:$N$101,0))</f>
        <v>13333333.333333334</v>
      </c>
      <c r="F168" s="87">
        <f>D168*Supuestos!$C32</f>
        <v>0</v>
      </c>
      <c r="G168" s="87">
        <f>D168*(1-Supuestos!$C32)</f>
        <v>13333333.333333334</v>
      </c>
      <c r="I168" s="87">
        <f t="shared" si="12"/>
        <v>0</v>
      </c>
      <c r="J168" s="87">
        <f>G168*Supuestos!$C$20</f>
        <v>1582375.5442584713</v>
      </c>
      <c r="K168" s="87">
        <f>(I168+J168)*(1/Supuestos!$C$20)</f>
        <v>13333333.333333334</v>
      </c>
    </row>
    <row r="169" spans="3:11" x14ac:dyDescent="0.2">
      <c r="C169" s="6" t="str">
        <f>'Informacion del AEP'!C110</f>
        <v>Acceso internet internacional</v>
      </c>
      <c r="D169" s="85">
        <f>INDEX('Informacion del AEP'!$D$102:$N$122,MATCH('Costos aguas abajo'!$C169,'Informacion del AEP'!$C$102:$C$122,0),MATCH('Costos aguas abajo'!$C$160,'Informacion del AEP'!$D$101:$N$101,0))</f>
        <v>3800000</v>
      </c>
      <c r="F169" s="87">
        <f>D169*Supuestos!$C33</f>
        <v>0</v>
      </c>
      <c r="G169" s="87">
        <f>D169*(1-Supuestos!$C33)</f>
        <v>3800000</v>
      </c>
      <c r="I169" s="87">
        <f t="shared" si="12"/>
        <v>0</v>
      </c>
      <c r="J169" s="87">
        <f>G169*Supuestos!$C$20</f>
        <v>450977.03011366428</v>
      </c>
      <c r="K169" s="87">
        <f>(I169+J169)*(1/Supuestos!$C$20)</f>
        <v>3799999.9999999995</v>
      </c>
    </row>
    <row r="170" spans="3:11" x14ac:dyDescent="0.2">
      <c r="C170" s="6" t="str">
        <f>'Informacion del AEP'!C111</f>
        <v>Roaming nacional</v>
      </c>
      <c r="D170" s="85">
        <f>INDEX('Informacion del AEP'!$D$102:$N$122,MATCH('Costos aguas abajo'!$C170,'Informacion del AEP'!$C$102:$C$122,0),MATCH('Costos aguas abajo'!$C$160,'Informacion del AEP'!$D$101:$N$101,0))</f>
        <v>1500000</v>
      </c>
      <c r="F170" s="87">
        <f>D170*Supuestos!$C34</f>
        <v>0</v>
      </c>
      <c r="G170" s="87">
        <f>D170*(1-Supuestos!$C34)</f>
        <v>1500000</v>
      </c>
      <c r="I170" s="87">
        <f t="shared" si="12"/>
        <v>0</v>
      </c>
      <c r="J170" s="87">
        <f>G170*Supuestos!$C$20</f>
        <v>178017.24872907801</v>
      </c>
      <c r="K170" s="87">
        <f>(I170+J170)*(1/Supuestos!$C$20)</f>
        <v>1499999.9999999998</v>
      </c>
    </row>
    <row r="171" spans="3:11" x14ac:dyDescent="0.2">
      <c r="C171" s="6" t="str">
        <f>'Informacion del AEP'!C112</f>
        <v>Roaming internacional</v>
      </c>
      <c r="D171" s="85">
        <f>INDEX('Informacion del AEP'!$D$102:$N$122,MATCH('Costos aguas abajo'!$C171,'Informacion del AEP'!$C$102:$C$122,0),MATCH('Costos aguas abajo'!$C$160,'Informacion del AEP'!$D$101:$N$101,0))</f>
        <v>0</v>
      </c>
      <c r="F171" s="87">
        <f>D171*Supuestos!$C35</f>
        <v>0</v>
      </c>
      <c r="G171" s="87">
        <f>D171*(1-Supuestos!$C35)</f>
        <v>0</v>
      </c>
      <c r="I171" s="87">
        <f t="shared" si="12"/>
        <v>0</v>
      </c>
      <c r="J171" s="87">
        <f>G171*Supuestos!$C$20</f>
        <v>0</v>
      </c>
      <c r="K171" s="87">
        <f>(I171+J171)*(1/Supuestos!$C$20)</f>
        <v>0</v>
      </c>
    </row>
    <row r="172" spans="3:11" x14ac:dyDescent="0.2">
      <c r="C172" s="6" t="str">
        <f>'Informacion del AEP'!C113</f>
        <v>Provisiones</v>
      </c>
      <c r="D172" s="85">
        <f>INDEX('Informacion del AEP'!$D$102:$N$122,MATCH('Costos aguas abajo'!$C172,'Informacion del AEP'!$C$102:$C$122,0),MATCH('Costos aguas abajo'!$C$160,'Informacion del AEP'!$D$101:$N$101,0))</f>
        <v>16666666.666666666</v>
      </c>
      <c r="F172" s="87">
        <f>D172*Supuestos!$C36</f>
        <v>0</v>
      </c>
      <c r="G172" s="87">
        <f>D172*(1-Supuestos!$C36)</f>
        <v>16666666.666666666</v>
      </c>
      <c r="I172" s="87">
        <f t="shared" si="12"/>
        <v>0</v>
      </c>
      <c r="J172" s="87">
        <f>G172*Supuestos!$C$20</f>
        <v>1977969.430323089</v>
      </c>
      <c r="K172" s="87">
        <f>(I172+J172)*(1/Supuestos!$C$20)</f>
        <v>16666666.666666664</v>
      </c>
    </row>
    <row r="173" spans="3:11" x14ac:dyDescent="0.2">
      <c r="C173" s="6" t="str">
        <f>'Informacion del AEP'!C114</f>
        <v>Costos directos de la venta de terminales</v>
      </c>
      <c r="D173" s="85">
        <f>INDEX('Informacion del AEP'!$D$102:$N$122,MATCH('Costos aguas abajo'!$C173,'Informacion del AEP'!$C$102:$C$122,0),MATCH('Costos aguas abajo'!$C$160,'Informacion del AEP'!$D$101:$N$101,0))</f>
        <v>1000000000</v>
      </c>
      <c r="F173" s="87">
        <f>D173*Supuestos!$C37</f>
        <v>0</v>
      </c>
      <c r="G173" s="87">
        <f>D173*(1-Supuestos!$C37)</f>
        <v>1000000000</v>
      </c>
      <c r="I173" s="87">
        <f t="shared" si="12"/>
        <v>0</v>
      </c>
      <c r="J173" s="87">
        <f>G173*Supuestos!$C$20</f>
        <v>118678165.81938533</v>
      </c>
      <c r="K173" s="87">
        <f>(I173+J173)*(1/Supuestos!$C$20)</f>
        <v>999999999.99999988</v>
      </c>
    </row>
    <row r="174" spans="3:11" x14ac:dyDescent="0.2">
      <c r="C174" s="6" t="str">
        <f>'Informacion del AEP'!C115</f>
        <v>Servicios generales y de gestión - minoristas</v>
      </c>
      <c r="D174" s="85">
        <f>INDEX('Informacion del AEP'!$D$102:$N$122,MATCH('Costos aguas abajo'!$C174,'Informacion del AEP'!$C$102:$C$122,0),MATCH('Costos aguas abajo'!$C$160,'Informacion del AEP'!$D$101:$N$101,0))</f>
        <v>200000000</v>
      </c>
      <c r="F174" s="87">
        <f>D174*Supuestos!$C38</f>
        <v>10000000</v>
      </c>
      <c r="G174" s="87">
        <f>D174*(1-Supuestos!$C38)</f>
        <v>190000000</v>
      </c>
      <c r="I174" s="87">
        <f t="shared" si="12"/>
        <v>10000000</v>
      </c>
      <c r="J174" s="87">
        <f>G174*Supuestos!$C$20</f>
        <v>22548851.505683213</v>
      </c>
      <c r="K174" s="87">
        <f>(I174+J174)*(1/Supuestos!$C$20)</f>
        <v>274261497.73176354</v>
      </c>
    </row>
    <row r="175" spans="3:11" x14ac:dyDescent="0.2">
      <c r="C175" s="6" t="str">
        <f>'Informacion del AEP'!C116</f>
        <v>Servicios generales y de gestión - red</v>
      </c>
      <c r="D175" s="85">
        <f>INDEX('Informacion del AEP'!$D$102:$N$122,MATCH('Costos aguas abajo'!$C175,'Informacion del AEP'!$C$102:$C$122,0),MATCH('Costos aguas abajo'!$C$160,'Informacion del AEP'!$D$101:$N$101,0))</f>
        <v>0</v>
      </c>
      <c r="F175" s="87">
        <f>D175*Supuestos!$C39</f>
        <v>0</v>
      </c>
      <c r="G175" s="87">
        <f>D175*(1-Supuestos!$C39)</f>
        <v>0</v>
      </c>
      <c r="I175" s="87">
        <f t="shared" si="12"/>
        <v>0</v>
      </c>
      <c r="J175" s="87">
        <f>G175*Supuestos!$C$20</f>
        <v>0</v>
      </c>
      <c r="K175" s="87">
        <f>(I175+J175)*(1/Supuestos!$C$20)</f>
        <v>0</v>
      </c>
    </row>
    <row r="176" spans="3:11" x14ac:dyDescent="0.2">
      <c r="C176" s="6" t="str">
        <f>'Informacion del AEP'!C117</f>
        <v xml:space="preserve">Servicios generales y de gestión - negocio </v>
      </c>
      <c r="D176" s="85">
        <f>INDEX('Informacion del AEP'!$D$102:$N$122,MATCH('Costos aguas abajo'!$C176,'Informacion del AEP'!$C$102:$C$122,0),MATCH('Costos aguas abajo'!$C$160,'Informacion del AEP'!$D$101:$N$101,0))</f>
        <v>50000000</v>
      </c>
      <c r="F176" s="87">
        <f>D176*Supuestos!$C40</f>
        <v>5000000</v>
      </c>
      <c r="G176" s="87">
        <f>D176*(1-Supuestos!$C40)</f>
        <v>45000000</v>
      </c>
      <c r="I176" s="87">
        <f t="shared" si="12"/>
        <v>5000000</v>
      </c>
      <c r="J176" s="87">
        <f>G176*Supuestos!$C$20</f>
        <v>5340517.4618723402</v>
      </c>
      <c r="K176" s="87">
        <f>(I176+J176)*(1/Supuestos!$C$20)</f>
        <v>87130748.865881771</v>
      </c>
    </row>
    <row r="177" spans="3:11" x14ac:dyDescent="0.2">
      <c r="C177" s="76" t="s">
        <v>196</v>
      </c>
      <c r="D177" s="259">
        <f>SUM(D178:D181)</f>
        <v>0</v>
      </c>
      <c r="F177" s="259">
        <f>SUM(F178:F181)</f>
        <v>0</v>
      </c>
      <c r="G177" s="259">
        <f>SUM(G178:G181)</f>
        <v>0</v>
      </c>
      <c r="I177" s="259">
        <f>SUM(I178:I181)</f>
        <v>0</v>
      </c>
      <c r="J177" s="259">
        <f>SUM(J178:J181)</f>
        <v>0</v>
      </c>
      <c r="K177" s="259">
        <f>SUM(K178:K181)</f>
        <v>0</v>
      </c>
    </row>
    <row r="178" spans="3:11" x14ac:dyDescent="0.2">
      <c r="C178" s="6" t="str">
        <f>'Informacion del AEP'!C118</f>
        <v>Costo del Capital:Servicios generales y de gestión - minoristas</v>
      </c>
      <c r="D178" s="85">
        <f>INDEX('Informacion del AEP'!$D$102:$N$122,MATCH('Costos aguas abajo'!$C178,'Informacion del AEP'!$C$102:$C$122,0),MATCH('Costos aguas abajo'!$C$160,'Informacion del AEP'!$D$101:$N$101,0))</f>
        <v>0</v>
      </c>
      <c r="F178" s="87">
        <f>D178*Supuestos!$C41</f>
        <v>0</v>
      </c>
      <c r="G178" s="87">
        <f>D178*(1-Supuestos!$C41)</f>
        <v>0</v>
      </c>
      <c r="I178" s="87">
        <f t="shared" si="12"/>
        <v>0</v>
      </c>
      <c r="J178" s="87">
        <f>G178*Supuestos!$C$20</f>
        <v>0</v>
      </c>
      <c r="K178" s="87">
        <f>(I178+J178)*(1/Supuestos!$C$20)</f>
        <v>0</v>
      </c>
    </row>
    <row r="179" spans="3:11" x14ac:dyDescent="0.2">
      <c r="C179" s="6" t="str">
        <f>'Informacion del AEP'!C119</f>
        <v>Costo del Capital:Servicios generales y de gestión - red</v>
      </c>
      <c r="D179" s="85">
        <f>INDEX('Informacion del AEP'!$D$102:$N$122,MATCH('Costos aguas abajo'!$C179,'Informacion del AEP'!$C$102:$C$122,0),MATCH('Costos aguas abajo'!$C$160,'Informacion del AEP'!$D$101:$N$101,0))</f>
        <v>0</v>
      </c>
      <c r="F179" s="87">
        <f>D179*Supuestos!$C42</f>
        <v>0</v>
      </c>
      <c r="G179" s="87">
        <f>D179*(1-Supuestos!$C42)</f>
        <v>0</v>
      </c>
      <c r="I179" s="87">
        <f t="shared" ref="I179:I181" si="13">+F179</f>
        <v>0</v>
      </c>
      <c r="J179" s="87">
        <f>G179*Supuestos!$C$20</f>
        <v>0</v>
      </c>
      <c r="K179" s="87">
        <f>(I179+J179)*(1/Supuestos!$C$20)</f>
        <v>0</v>
      </c>
    </row>
    <row r="180" spans="3:11" x14ac:dyDescent="0.2">
      <c r="C180" s="6" t="str">
        <f>'Informacion del AEP'!C120</f>
        <v xml:space="preserve">Costo del Capital:Servicios generales y de gestión - negocio </v>
      </c>
      <c r="D180" s="85">
        <f>INDEX('Informacion del AEP'!$D$102:$N$122,MATCH('Costos aguas abajo'!$C180,'Informacion del AEP'!$C$102:$C$122,0),MATCH('Costos aguas abajo'!$C$160,'Informacion del AEP'!$D$101:$N$101,0))</f>
        <v>0</v>
      </c>
      <c r="F180" s="87">
        <f>D180*Supuestos!$C43</f>
        <v>0</v>
      </c>
      <c r="G180" s="87">
        <f>D180*(1-Supuestos!$C43)</f>
        <v>0</v>
      </c>
      <c r="I180" s="87">
        <f t="shared" si="13"/>
        <v>0</v>
      </c>
      <c r="J180" s="87">
        <f>G180*Supuestos!$C$20</f>
        <v>0</v>
      </c>
      <c r="K180" s="87">
        <f>(I180+J180)*(1/Supuestos!$C$20)</f>
        <v>0</v>
      </c>
    </row>
    <row r="181" spans="3:11" x14ac:dyDescent="0.2">
      <c r="C181" s="6" t="str">
        <f>'Informacion del AEP'!C121</f>
        <v>Costo del Capital:Equipos terminales</v>
      </c>
      <c r="D181" s="85">
        <f>INDEX('Informacion del AEP'!$D$102:$N$122,MATCH('Costos aguas abajo'!$C181,'Informacion del AEP'!$C$102:$C$122,0),MATCH('Costos aguas abajo'!$C$160,'Informacion del AEP'!$D$101:$N$101,0))</f>
        <v>0</v>
      </c>
      <c r="F181" s="87">
        <f>D181*Supuestos!$C44</f>
        <v>0</v>
      </c>
      <c r="G181" s="87">
        <f>D181*(1-Supuestos!$C44)</f>
        <v>0</v>
      </c>
      <c r="I181" s="87">
        <f t="shared" si="13"/>
        <v>0</v>
      </c>
      <c r="J181" s="87">
        <f>G181*Supuestos!$C$20</f>
        <v>0</v>
      </c>
      <c r="K181" s="87">
        <f>(I181+J181)*(1/Supuestos!$C$20)</f>
        <v>0</v>
      </c>
    </row>
    <row r="183" spans="3:11" x14ac:dyDescent="0.2">
      <c r="C183" s="88" t="s">
        <v>52</v>
      </c>
      <c r="D183" s="45" t="str">
        <f>IF(D160='Informacion del AEP'!L122,"Ok","Error")</f>
        <v>Ok</v>
      </c>
      <c r="I183" s="45" t="str">
        <f>IF(I160=F160,"Ok","Error")</f>
        <v>Ok</v>
      </c>
    </row>
    <row r="185" spans="3:11" x14ac:dyDescent="0.2">
      <c r="C185" s="89" t="str">
        <f>Supuestos!$B$82</f>
        <v>Telcel Pospago 8</v>
      </c>
      <c r="D185" s="90">
        <f>SUM(D186:D202)</f>
        <v>1627433333.3333335</v>
      </c>
      <c r="E185" s="91"/>
      <c r="F185" s="90">
        <f>SUM(F186:F202)</f>
        <v>45365000</v>
      </c>
      <c r="G185" s="90">
        <f>SUM(G186:G202)</f>
        <v>1582068333.3333335</v>
      </c>
      <c r="H185" s="91"/>
      <c r="I185" s="90">
        <f>SUM(I186:I202)</f>
        <v>45365000</v>
      </c>
      <c r="J185" s="90">
        <f>SUM(J186:J202)</f>
        <v>187756968.00093192</v>
      </c>
      <c r="K185" s="90">
        <f>SUM(K186:K202)</f>
        <v>1964320617.7934785</v>
      </c>
    </row>
    <row r="186" spans="3:11" x14ac:dyDescent="0.2">
      <c r="C186" s="6" t="str">
        <f>'Informacion del AEP'!C102</f>
        <v>Acceso a Internet</v>
      </c>
      <c r="D186" s="85">
        <f>INDEX('Informacion del AEP'!$D$102:$N$122,MATCH('Costos aguas abajo'!$C186,'Informacion del AEP'!$C$102:$C$122,0),MATCH('Costos aguas abajo'!$C$185,'Informacion del AEP'!$D$101:$N$101,0))</f>
        <v>0</v>
      </c>
      <c r="F186" s="87">
        <f>D186*Supuestos!$C25</f>
        <v>0</v>
      </c>
      <c r="G186" s="87">
        <f>D186*(1-Supuestos!$C25)</f>
        <v>0</v>
      </c>
      <c r="I186" s="87">
        <f>+F186</f>
        <v>0</v>
      </c>
      <c r="J186" s="87">
        <f>G186*Supuestos!$C$20</f>
        <v>0</v>
      </c>
      <c r="K186" s="87">
        <f>(I186+J186)*(1/Supuestos!$C$20)</f>
        <v>0</v>
      </c>
    </row>
    <row r="187" spans="3:11" x14ac:dyDescent="0.2">
      <c r="C187" s="6" t="str">
        <f>'Informacion del AEP'!C103</f>
        <v>Servicios OTT de vídeo</v>
      </c>
      <c r="D187" s="85">
        <f>INDEX('Informacion del AEP'!$D$102:$N$122,MATCH('Costos aguas abajo'!$C187,'Informacion del AEP'!$C$102:$C$122,0),MATCH('Costos aguas abajo'!$C$185,'Informacion del AEP'!$D$101:$N$101,0))</f>
        <v>26666666.666666668</v>
      </c>
      <c r="F187" s="87">
        <f>D187*Supuestos!$C26</f>
        <v>0</v>
      </c>
      <c r="G187" s="87">
        <f>D187*(1-Supuestos!$C26)</f>
        <v>26666666.666666668</v>
      </c>
      <c r="I187" s="87">
        <f t="shared" ref="I187:I203" si="14">+F187</f>
        <v>0</v>
      </c>
      <c r="J187" s="87">
        <f>G187*Supuestos!$C$20</f>
        <v>3164751.0885169427</v>
      </c>
      <c r="K187" s="87">
        <f>(I187+J187)*(1/Supuestos!$C$20)</f>
        <v>26666666.666666668</v>
      </c>
    </row>
    <row r="188" spans="3:11" x14ac:dyDescent="0.2">
      <c r="C188" s="6" t="str">
        <f>'Informacion del AEP'!C104</f>
        <v>Servicios OTT de audio</v>
      </c>
      <c r="D188" s="85">
        <f>INDEX('Informacion del AEP'!$D$102:$N$122,MATCH('Costos aguas abajo'!$C188,'Informacion del AEP'!$C$102:$C$122,0),MATCH('Costos aguas abajo'!$C$185,'Informacion del AEP'!$D$101:$N$101,0))</f>
        <v>0</v>
      </c>
      <c r="F188" s="87">
        <f>D188*Supuestos!$C27</f>
        <v>0</v>
      </c>
      <c r="G188" s="87">
        <f>D188*(1-Supuestos!$C27)</f>
        <v>0</v>
      </c>
      <c r="I188" s="87">
        <f t="shared" si="14"/>
        <v>0</v>
      </c>
      <c r="J188" s="87">
        <f>G188*Supuestos!$C$20</f>
        <v>0</v>
      </c>
      <c r="K188" s="87">
        <f>(I188+J188)*(1/Supuestos!$C$20)</f>
        <v>0</v>
      </c>
    </row>
    <row r="189" spans="3:11" x14ac:dyDescent="0.2">
      <c r="C189" s="6" t="str">
        <f>'Informacion del AEP'!C105</f>
        <v>Comerciales</v>
      </c>
      <c r="D189" s="85">
        <f>INDEX('Informacion del AEP'!$D$102:$N$122,MATCH('Costos aguas abajo'!$C189,'Informacion del AEP'!$C$102:$C$122,0),MATCH('Costos aguas abajo'!$C$185,'Informacion del AEP'!$D$101:$N$101,0))</f>
        <v>300000000</v>
      </c>
      <c r="F189" s="87">
        <f>D189*Supuestos!$C28</f>
        <v>30000000</v>
      </c>
      <c r="G189" s="87">
        <f>D189*(1-Supuestos!$C28)</f>
        <v>270000000</v>
      </c>
      <c r="I189" s="87">
        <f t="shared" si="14"/>
        <v>30000000</v>
      </c>
      <c r="J189" s="87">
        <f>G189*Supuestos!$C$20</f>
        <v>32043104.771234043</v>
      </c>
      <c r="K189" s="87">
        <f>(I189+J189)*(1/Supuestos!$C$20)</f>
        <v>522784493.19529068</v>
      </c>
    </row>
    <row r="190" spans="3:11" x14ac:dyDescent="0.2">
      <c r="C190" s="6" t="str">
        <f>'Informacion del AEP'!C106</f>
        <v>Facturación</v>
      </c>
      <c r="D190" s="85">
        <f>INDEX('Informacion del AEP'!$D$102:$N$122,MATCH('Costos aguas abajo'!$C190,'Informacion del AEP'!$C$102:$C$122,0),MATCH('Costos aguas abajo'!$C$185,'Informacion del AEP'!$D$101:$N$101,0))</f>
        <v>300000</v>
      </c>
      <c r="F190" s="87">
        <f>D190*Supuestos!$C29</f>
        <v>15000</v>
      </c>
      <c r="G190" s="87">
        <f>D190*(1-Supuestos!$C29)</f>
        <v>285000</v>
      </c>
      <c r="I190" s="87">
        <f t="shared" si="14"/>
        <v>15000</v>
      </c>
      <c r="J190" s="87">
        <f>G190*Supuestos!$C$20</f>
        <v>33823.277258524824</v>
      </c>
      <c r="K190" s="87">
        <f>(I190+J190)*(1/Supuestos!$C$20)</f>
        <v>411392.24659764534</v>
      </c>
    </row>
    <row r="191" spans="3:11" x14ac:dyDescent="0.2">
      <c r="C191" s="6" t="str">
        <f>'Informacion del AEP'!C107</f>
        <v>Cobranza</v>
      </c>
      <c r="D191" s="85">
        <f>INDEX('Informacion del AEP'!$D$102:$N$122,MATCH('Costos aguas abajo'!$C191,'Informacion del AEP'!$C$102:$C$122,0),MATCH('Costos aguas abajo'!$C$185,'Informacion del AEP'!$D$101:$N$101,0))</f>
        <v>11666666.666666666</v>
      </c>
      <c r="F191" s="87">
        <f>D191*Supuestos!$C30</f>
        <v>0</v>
      </c>
      <c r="G191" s="87">
        <f>D191*(1-Supuestos!$C30)</f>
        <v>11666666.666666666</v>
      </c>
      <c r="I191" s="87">
        <f t="shared" si="14"/>
        <v>0</v>
      </c>
      <c r="J191" s="87">
        <f>G191*Supuestos!$C$20</f>
        <v>1384578.6012261622</v>
      </c>
      <c r="K191" s="87">
        <f>(I191+J191)*(1/Supuestos!$C$20)</f>
        <v>11666666.666666664</v>
      </c>
    </row>
    <row r="192" spans="3:11" x14ac:dyDescent="0.2">
      <c r="C192" s="6" t="str">
        <f>'Informacion del AEP'!C108</f>
        <v>Tasas e impuestos</v>
      </c>
      <c r="D192" s="85">
        <f>INDEX('Informacion del AEP'!$D$102:$N$122,MATCH('Costos aguas abajo'!$C192,'Informacion del AEP'!$C$102:$C$122,0),MATCH('Costos aguas abajo'!$C$185,'Informacion del AEP'!$D$101:$N$101,0))</f>
        <v>3500000</v>
      </c>
      <c r="F192" s="87">
        <f>D192*Supuestos!$C31</f>
        <v>350000</v>
      </c>
      <c r="G192" s="87">
        <f>D192*(1-Supuestos!$C31)</f>
        <v>3150000</v>
      </c>
      <c r="I192" s="87">
        <f t="shared" si="14"/>
        <v>350000</v>
      </c>
      <c r="J192" s="87">
        <f>G192*Supuestos!$C$20</f>
        <v>373836.22233106382</v>
      </c>
      <c r="K192" s="87">
        <f>(I192+J192)*(1/Supuestos!$C$20)</f>
        <v>6099152.4206117252</v>
      </c>
    </row>
    <row r="193" spans="3:11" x14ac:dyDescent="0.2">
      <c r="C193" s="6" t="str">
        <f>'Informacion del AEP'!C109</f>
        <v>Programas de fidelización</v>
      </c>
      <c r="D193" s="85">
        <f>INDEX('Informacion del AEP'!$D$102:$N$122,MATCH('Costos aguas abajo'!$C193,'Informacion del AEP'!$C$102:$C$122,0),MATCH('Costos aguas abajo'!$C$185,'Informacion del AEP'!$D$101:$N$101,0))</f>
        <v>13333333.333333334</v>
      </c>
      <c r="F193" s="87">
        <f>D193*Supuestos!$C32</f>
        <v>0</v>
      </c>
      <c r="G193" s="87">
        <f>D193*(1-Supuestos!$C32)</f>
        <v>13333333.333333334</v>
      </c>
      <c r="I193" s="87">
        <f t="shared" si="14"/>
        <v>0</v>
      </c>
      <c r="J193" s="87">
        <f>G193*Supuestos!$C$20</f>
        <v>1582375.5442584713</v>
      </c>
      <c r="K193" s="87">
        <f>(I193+J193)*(1/Supuestos!$C$20)</f>
        <v>13333333.333333334</v>
      </c>
    </row>
    <row r="194" spans="3:11" x14ac:dyDescent="0.2">
      <c r="C194" s="6" t="str">
        <f>'Informacion del AEP'!C110</f>
        <v>Acceso internet internacional</v>
      </c>
      <c r="D194" s="85">
        <f>INDEX('Informacion del AEP'!$D$102:$N$122,MATCH('Costos aguas abajo'!$C194,'Informacion del AEP'!$C$102:$C$122,0),MATCH('Costos aguas abajo'!$C$185,'Informacion del AEP'!$D$101:$N$101,0))</f>
        <v>3800000</v>
      </c>
      <c r="F194" s="87">
        <f>D194*Supuestos!$C33</f>
        <v>0</v>
      </c>
      <c r="G194" s="87">
        <f>D194*(1-Supuestos!$C33)</f>
        <v>3800000</v>
      </c>
      <c r="I194" s="87">
        <f t="shared" si="14"/>
        <v>0</v>
      </c>
      <c r="J194" s="87">
        <f>G194*Supuestos!$C$20</f>
        <v>450977.03011366428</v>
      </c>
      <c r="K194" s="87">
        <f>(I194+J194)*(1/Supuestos!$C$20)</f>
        <v>3799999.9999999995</v>
      </c>
    </row>
    <row r="195" spans="3:11" x14ac:dyDescent="0.2">
      <c r="C195" s="6" t="str">
        <f>'Informacion del AEP'!C111</f>
        <v>Roaming nacional</v>
      </c>
      <c r="D195" s="85">
        <f>INDEX('Informacion del AEP'!$D$102:$N$122,MATCH('Costos aguas abajo'!$C195,'Informacion del AEP'!$C$102:$C$122,0),MATCH('Costos aguas abajo'!$C$185,'Informacion del AEP'!$D$101:$N$101,0))</f>
        <v>1500000</v>
      </c>
      <c r="F195" s="87">
        <f>D195*Supuestos!$C34</f>
        <v>0</v>
      </c>
      <c r="G195" s="87">
        <f>D195*(1-Supuestos!$C34)</f>
        <v>1500000</v>
      </c>
      <c r="I195" s="87">
        <f t="shared" si="14"/>
        <v>0</v>
      </c>
      <c r="J195" s="87">
        <f>G195*Supuestos!$C$20</f>
        <v>178017.24872907801</v>
      </c>
      <c r="K195" s="87">
        <f>(I195+J195)*(1/Supuestos!$C$20)</f>
        <v>1499999.9999999998</v>
      </c>
    </row>
    <row r="196" spans="3:11" x14ac:dyDescent="0.2">
      <c r="C196" s="6" t="str">
        <f>'Informacion del AEP'!C112</f>
        <v>Roaming internacional</v>
      </c>
      <c r="D196" s="85">
        <f>INDEX('Informacion del AEP'!$D$102:$N$122,MATCH('Costos aguas abajo'!$C196,'Informacion del AEP'!$C$102:$C$122,0),MATCH('Costos aguas abajo'!$C$185,'Informacion del AEP'!$D$101:$N$101,0))</f>
        <v>0</v>
      </c>
      <c r="F196" s="87">
        <f>D196*Supuestos!$C35</f>
        <v>0</v>
      </c>
      <c r="G196" s="87">
        <f>D196*(1-Supuestos!$C35)</f>
        <v>0</v>
      </c>
      <c r="I196" s="87">
        <f t="shared" si="14"/>
        <v>0</v>
      </c>
      <c r="J196" s="87">
        <f>G196*Supuestos!$C$20</f>
        <v>0</v>
      </c>
      <c r="K196" s="87">
        <f>(I196+J196)*(1/Supuestos!$C$20)</f>
        <v>0</v>
      </c>
    </row>
    <row r="197" spans="3:11" x14ac:dyDescent="0.2">
      <c r="C197" s="6" t="str">
        <f>'Informacion del AEP'!C113</f>
        <v>Provisiones</v>
      </c>
      <c r="D197" s="85">
        <f>INDEX('Informacion del AEP'!$D$102:$N$122,MATCH('Costos aguas abajo'!$C197,'Informacion del AEP'!$C$102:$C$122,0),MATCH('Costos aguas abajo'!$C$185,'Informacion del AEP'!$D$101:$N$101,0))</f>
        <v>16666666.666666666</v>
      </c>
      <c r="F197" s="87">
        <f>D197*Supuestos!$C36</f>
        <v>0</v>
      </c>
      <c r="G197" s="87">
        <f>D197*(1-Supuestos!$C36)</f>
        <v>16666666.666666666</v>
      </c>
      <c r="I197" s="87">
        <f t="shared" si="14"/>
        <v>0</v>
      </c>
      <c r="J197" s="87">
        <f>G197*Supuestos!$C$20</f>
        <v>1977969.430323089</v>
      </c>
      <c r="K197" s="87">
        <f>(I197+J197)*(1/Supuestos!$C$20)</f>
        <v>16666666.666666664</v>
      </c>
    </row>
    <row r="198" spans="3:11" x14ac:dyDescent="0.2">
      <c r="C198" s="6" t="str">
        <f>'Informacion del AEP'!C114</f>
        <v>Costos directos de la venta de terminales</v>
      </c>
      <c r="D198" s="85">
        <f>INDEX('Informacion del AEP'!$D$102:$N$122,MATCH('Costos aguas abajo'!$C198,'Informacion del AEP'!$C$102:$C$122,0),MATCH('Costos aguas abajo'!$C$185,'Informacion del AEP'!$D$101:$N$101,0))</f>
        <v>1000000000</v>
      </c>
      <c r="F198" s="87">
        <f>D198*Supuestos!$C37</f>
        <v>0</v>
      </c>
      <c r="G198" s="87">
        <f>D198*(1-Supuestos!$C37)</f>
        <v>1000000000</v>
      </c>
      <c r="I198" s="87">
        <f t="shared" si="14"/>
        <v>0</v>
      </c>
      <c r="J198" s="87">
        <f>G198*Supuestos!$C$20</f>
        <v>118678165.81938533</v>
      </c>
      <c r="K198" s="87">
        <f>(I198+J198)*(1/Supuestos!$C$20)</f>
        <v>999999999.99999988</v>
      </c>
    </row>
    <row r="199" spans="3:11" x14ac:dyDescent="0.2">
      <c r="C199" s="6" t="str">
        <f>'Informacion del AEP'!C115</f>
        <v>Servicios generales y de gestión - minoristas</v>
      </c>
      <c r="D199" s="85">
        <f>INDEX('Informacion del AEP'!$D$102:$N$122,MATCH('Costos aguas abajo'!$C199,'Informacion del AEP'!$C$102:$C$122,0),MATCH('Costos aguas abajo'!$C$185,'Informacion del AEP'!$D$101:$N$101,0))</f>
        <v>200000000</v>
      </c>
      <c r="F199" s="87">
        <f>D199*Supuestos!$C38</f>
        <v>10000000</v>
      </c>
      <c r="G199" s="87">
        <f>D199*(1-Supuestos!$C38)</f>
        <v>190000000</v>
      </c>
      <c r="I199" s="87">
        <f t="shared" si="14"/>
        <v>10000000</v>
      </c>
      <c r="J199" s="87">
        <f>G199*Supuestos!$C$20</f>
        <v>22548851.505683213</v>
      </c>
      <c r="K199" s="87">
        <f>(I199+J199)*(1/Supuestos!$C$20)</f>
        <v>274261497.73176354</v>
      </c>
    </row>
    <row r="200" spans="3:11" x14ac:dyDescent="0.2">
      <c r="C200" s="6" t="str">
        <f>'Informacion del AEP'!C116</f>
        <v>Servicios generales y de gestión - red</v>
      </c>
      <c r="D200" s="85">
        <f>INDEX('Informacion del AEP'!$D$102:$N$122,MATCH('Costos aguas abajo'!$C200,'Informacion del AEP'!$C$102:$C$122,0),MATCH('Costos aguas abajo'!$C$185,'Informacion del AEP'!$D$101:$N$101,0))</f>
        <v>0</v>
      </c>
      <c r="F200" s="87">
        <f>D200*Supuestos!$C39</f>
        <v>0</v>
      </c>
      <c r="G200" s="87">
        <f>D200*(1-Supuestos!$C39)</f>
        <v>0</v>
      </c>
      <c r="I200" s="87">
        <f t="shared" si="14"/>
        <v>0</v>
      </c>
      <c r="J200" s="87">
        <f>G200*Supuestos!$C$20</f>
        <v>0</v>
      </c>
      <c r="K200" s="87">
        <f>(I200+J200)*(1/Supuestos!$C$20)</f>
        <v>0</v>
      </c>
    </row>
    <row r="201" spans="3:11" x14ac:dyDescent="0.2">
      <c r="C201" s="6" t="str">
        <f>'Informacion del AEP'!C117</f>
        <v xml:space="preserve">Servicios generales y de gestión - negocio </v>
      </c>
      <c r="D201" s="85">
        <f>INDEX('Informacion del AEP'!$D$102:$N$122,MATCH('Costos aguas abajo'!$C201,'Informacion del AEP'!$C$102:$C$122,0),MATCH('Costos aguas abajo'!$C$185,'Informacion del AEP'!$D$101:$N$101,0))</f>
        <v>50000000</v>
      </c>
      <c r="F201" s="87">
        <f>D201*Supuestos!$C40</f>
        <v>5000000</v>
      </c>
      <c r="G201" s="87">
        <f>D201*(1-Supuestos!$C40)</f>
        <v>45000000</v>
      </c>
      <c r="I201" s="87">
        <f t="shared" si="14"/>
        <v>5000000</v>
      </c>
      <c r="J201" s="87">
        <f>G201*Supuestos!$C$20</f>
        <v>5340517.4618723402</v>
      </c>
      <c r="K201" s="87">
        <f>(I201+J201)*(1/Supuestos!$C$20)</f>
        <v>87130748.865881771</v>
      </c>
    </row>
    <row r="202" spans="3:11" x14ac:dyDescent="0.2">
      <c r="C202" s="76" t="s">
        <v>196</v>
      </c>
      <c r="D202" s="259">
        <f>SUM(D203:D206)</f>
        <v>0</v>
      </c>
      <c r="F202" s="259">
        <f>SUM(F203:F206)</f>
        <v>0</v>
      </c>
      <c r="G202" s="259">
        <f>SUM(G203:G206)</f>
        <v>0</v>
      </c>
      <c r="I202" s="259">
        <f>SUM(I203:I206)</f>
        <v>0</v>
      </c>
      <c r="J202" s="259">
        <f>SUM(J203:J206)</f>
        <v>0</v>
      </c>
      <c r="K202" s="259">
        <f>SUM(K203:K206)</f>
        <v>0</v>
      </c>
    </row>
    <row r="203" spans="3:11" x14ac:dyDescent="0.2">
      <c r="C203" s="6" t="str">
        <f>'Informacion del AEP'!C118</f>
        <v>Costo del Capital:Servicios generales y de gestión - minoristas</v>
      </c>
      <c r="D203" s="85">
        <f>INDEX('Informacion del AEP'!$D$102:$N$122,MATCH('Costos aguas abajo'!$C203,'Informacion del AEP'!$C$102:$C$122,0),MATCH('Costos aguas abajo'!$C$185,'Informacion del AEP'!$D$101:$N$101,0))</f>
        <v>0</v>
      </c>
      <c r="F203" s="87">
        <f>D203*Supuestos!$C41</f>
        <v>0</v>
      </c>
      <c r="G203" s="87">
        <f>D203*(1-Supuestos!$C41)</f>
        <v>0</v>
      </c>
      <c r="I203" s="87">
        <f t="shared" si="14"/>
        <v>0</v>
      </c>
      <c r="J203" s="87">
        <f>G203*Supuestos!$C$20</f>
        <v>0</v>
      </c>
      <c r="K203" s="87">
        <f>(I203+J203)*(1/Supuestos!$C$20)</f>
        <v>0</v>
      </c>
    </row>
    <row r="204" spans="3:11" x14ac:dyDescent="0.2">
      <c r="C204" s="6" t="str">
        <f>'Informacion del AEP'!C119</f>
        <v>Costo del Capital:Servicios generales y de gestión - red</v>
      </c>
      <c r="D204" s="85">
        <f>INDEX('Informacion del AEP'!$D$102:$N$122,MATCH('Costos aguas abajo'!$C204,'Informacion del AEP'!$C$102:$C$122,0),MATCH('Costos aguas abajo'!$C$185,'Informacion del AEP'!$D$101:$N$101,0))</f>
        <v>0</v>
      </c>
      <c r="F204" s="87">
        <f>D204*Supuestos!$C42</f>
        <v>0</v>
      </c>
      <c r="G204" s="87">
        <f>D204*(1-Supuestos!$C42)</f>
        <v>0</v>
      </c>
      <c r="I204" s="87">
        <f t="shared" ref="I204:I206" si="15">+F204</f>
        <v>0</v>
      </c>
      <c r="J204" s="87">
        <f>G204*Supuestos!$C$20</f>
        <v>0</v>
      </c>
      <c r="K204" s="87">
        <f>(I204+J204)*(1/Supuestos!$C$20)</f>
        <v>0</v>
      </c>
    </row>
    <row r="205" spans="3:11" x14ac:dyDescent="0.2">
      <c r="C205" s="6" t="str">
        <f>'Informacion del AEP'!C120</f>
        <v xml:space="preserve">Costo del Capital:Servicios generales y de gestión - negocio </v>
      </c>
      <c r="D205" s="85">
        <f>INDEX('Informacion del AEP'!$D$102:$N$122,MATCH('Costos aguas abajo'!$C205,'Informacion del AEP'!$C$102:$C$122,0),MATCH('Costos aguas abajo'!$C$185,'Informacion del AEP'!$D$101:$N$101,0))</f>
        <v>0</v>
      </c>
      <c r="F205" s="87">
        <f>D205*Supuestos!$C43</f>
        <v>0</v>
      </c>
      <c r="G205" s="87">
        <f>D205*(1-Supuestos!$C43)</f>
        <v>0</v>
      </c>
      <c r="I205" s="87">
        <f t="shared" si="15"/>
        <v>0</v>
      </c>
      <c r="J205" s="87">
        <f>G205*Supuestos!$C$20</f>
        <v>0</v>
      </c>
      <c r="K205" s="87">
        <f>(I205+J205)*(1/Supuestos!$C$20)</f>
        <v>0</v>
      </c>
    </row>
    <row r="206" spans="3:11" x14ac:dyDescent="0.2">
      <c r="C206" s="6" t="str">
        <f>'Informacion del AEP'!C121</f>
        <v>Costo del Capital:Equipos terminales</v>
      </c>
      <c r="D206" s="85">
        <f>INDEX('Informacion del AEP'!$D$102:$N$122,MATCH('Costos aguas abajo'!$C206,'Informacion del AEP'!$C$102:$C$122,0),MATCH('Costos aguas abajo'!$C$185,'Informacion del AEP'!$D$101:$N$101,0))</f>
        <v>0</v>
      </c>
      <c r="F206" s="87">
        <f>D206*Supuestos!$C44</f>
        <v>0</v>
      </c>
      <c r="G206" s="87">
        <f>D206*(1-Supuestos!$C44)</f>
        <v>0</v>
      </c>
      <c r="I206" s="87">
        <f t="shared" si="15"/>
        <v>0</v>
      </c>
      <c r="J206" s="87">
        <f>G206*Supuestos!$C$20</f>
        <v>0</v>
      </c>
      <c r="K206" s="87">
        <f>(I206+J206)*(1/Supuestos!$C$20)</f>
        <v>0</v>
      </c>
    </row>
    <row r="208" spans="3:11" x14ac:dyDescent="0.2">
      <c r="C208" s="88" t="s">
        <v>52</v>
      </c>
      <c r="D208" s="45" t="str">
        <f>IF(D185='Informacion del AEP'!M122,"Ok","Error")</f>
        <v>Ok</v>
      </c>
      <c r="I208" s="45" t="str">
        <f>IF(I185=F185,"Ok","Error")</f>
        <v>Ok</v>
      </c>
    </row>
    <row r="210" spans="3:11" x14ac:dyDescent="0.2">
      <c r="C210" s="89" t="str">
        <f>Supuestos!$B$83</f>
        <v>Telcel Pospago 4</v>
      </c>
      <c r="D210" s="90">
        <f>SUM(D211:D227)</f>
        <v>1627433333.3333335</v>
      </c>
      <c r="E210" s="91"/>
      <c r="F210" s="90">
        <f>SUM(F211:F227)</f>
        <v>45365000</v>
      </c>
      <c r="G210" s="90">
        <f>SUM(G211:G227)</f>
        <v>1582068333.3333335</v>
      </c>
      <c r="H210" s="91"/>
      <c r="I210" s="90">
        <f>SUM(I211:I227)</f>
        <v>45365000</v>
      </c>
      <c r="J210" s="90">
        <f>SUM(J211:J227)</f>
        <v>187756968.00093192</v>
      </c>
      <c r="K210" s="90">
        <f>SUM(K211:K227)</f>
        <v>1964320617.7934785</v>
      </c>
    </row>
    <row r="211" spans="3:11" x14ac:dyDescent="0.2">
      <c r="C211" s="6" t="str">
        <f>'Informacion del AEP'!C102</f>
        <v>Acceso a Internet</v>
      </c>
      <c r="D211" s="85">
        <f>INDEX('Informacion del AEP'!$D$102:$N$122,MATCH('Costos aguas abajo'!$C211,'Informacion del AEP'!$C$102:$C$122,0),MATCH('Costos aguas abajo'!$C$210,'Informacion del AEP'!$D$101:$N$101,0))</f>
        <v>0</v>
      </c>
      <c r="F211" s="87">
        <f>D211*Supuestos!$C25</f>
        <v>0</v>
      </c>
      <c r="G211" s="87">
        <f>D211*(1-Supuestos!$C25)</f>
        <v>0</v>
      </c>
      <c r="I211" s="87">
        <f>+F211</f>
        <v>0</v>
      </c>
      <c r="J211" s="87">
        <f>G211*Supuestos!$C$20</f>
        <v>0</v>
      </c>
      <c r="K211" s="87">
        <f>(I211+J211)*(1/Supuestos!$C$20)</f>
        <v>0</v>
      </c>
    </row>
    <row r="212" spans="3:11" x14ac:dyDescent="0.2">
      <c r="C212" s="6" t="str">
        <f>'Informacion del AEP'!C103</f>
        <v>Servicios OTT de vídeo</v>
      </c>
      <c r="D212" s="85">
        <f>INDEX('Informacion del AEP'!$D$102:$N$122,MATCH('Costos aguas abajo'!$C212,'Informacion del AEP'!$C$102:$C$122,0),MATCH('Costos aguas abajo'!$C$210,'Informacion del AEP'!$D$101:$N$101,0))</f>
        <v>26666666.666666668</v>
      </c>
      <c r="F212" s="87">
        <f>D212*Supuestos!$C26</f>
        <v>0</v>
      </c>
      <c r="G212" s="87">
        <f>D212*(1-Supuestos!$C26)</f>
        <v>26666666.666666668</v>
      </c>
      <c r="I212" s="87">
        <f t="shared" ref="I212:I228" si="16">+F212</f>
        <v>0</v>
      </c>
      <c r="J212" s="87">
        <f>G212*Supuestos!$C$20</f>
        <v>3164751.0885169427</v>
      </c>
      <c r="K212" s="87">
        <f>(I212+J212)*(1/Supuestos!$C$20)</f>
        <v>26666666.666666668</v>
      </c>
    </row>
    <row r="213" spans="3:11" x14ac:dyDescent="0.2">
      <c r="C213" s="6" t="str">
        <f>'Informacion del AEP'!C104</f>
        <v>Servicios OTT de audio</v>
      </c>
      <c r="D213" s="85">
        <f>INDEX('Informacion del AEP'!$D$102:$N$122,MATCH('Costos aguas abajo'!$C213,'Informacion del AEP'!$C$102:$C$122,0),MATCH('Costos aguas abajo'!$C$210,'Informacion del AEP'!$D$101:$N$101,0))</f>
        <v>0</v>
      </c>
      <c r="F213" s="87">
        <f>D213*Supuestos!$C27</f>
        <v>0</v>
      </c>
      <c r="G213" s="87">
        <f>D213*(1-Supuestos!$C27)</f>
        <v>0</v>
      </c>
      <c r="I213" s="87">
        <f t="shared" si="16"/>
        <v>0</v>
      </c>
      <c r="J213" s="87">
        <f>G213*Supuestos!$C$20</f>
        <v>0</v>
      </c>
      <c r="K213" s="87">
        <f>(I213+J213)*(1/Supuestos!$C$20)</f>
        <v>0</v>
      </c>
    </row>
    <row r="214" spans="3:11" x14ac:dyDescent="0.2">
      <c r="C214" s="6" t="str">
        <f>'Informacion del AEP'!C105</f>
        <v>Comerciales</v>
      </c>
      <c r="D214" s="85">
        <f>INDEX('Informacion del AEP'!$D$102:$N$122,MATCH('Costos aguas abajo'!$C214,'Informacion del AEP'!$C$102:$C$122,0),MATCH('Costos aguas abajo'!$C$210,'Informacion del AEP'!$D$101:$N$101,0))</f>
        <v>300000000</v>
      </c>
      <c r="F214" s="87">
        <f>D214*Supuestos!$C28</f>
        <v>30000000</v>
      </c>
      <c r="G214" s="87">
        <f>D214*(1-Supuestos!$C28)</f>
        <v>270000000</v>
      </c>
      <c r="I214" s="87">
        <f t="shared" si="16"/>
        <v>30000000</v>
      </c>
      <c r="J214" s="87">
        <f>G214*Supuestos!$C$20</f>
        <v>32043104.771234043</v>
      </c>
      <c r="K214" s="87">
        <f>(I214+J214)*(1/Supuestos!$C$20)</f>
        <v>522784493.19529068</v>
      </c>
    </row>
    <row r="215" spans="3:11" x14ac:dyDescent="0.2">
      <c r="C215" s="6" t="str">
        <f>'Informacion del AEP'!C106</f>
        <v>Facturación</v>
      </c>
      <c r="D215" s="85">
        <f>INDEX('Informacion del AEP'!$D$102:$N$122,MATCH('Costos aguas abajo'!$C215,'Informacion del AEP'!$C$102:$C$122,0),MATCH('Costos aguas abajo'!$C$210,'Informacion del AEP'!$D$101:$N$101,0))</f>
        <v>300000</v>
      </c>
      <c r="F215" s="87">
        <f>D215*Supuestos!$C29</f>
        <v>15000</v>
      </c>
      <c r="G215" s="87">
        <f>D215*(1-Supuestos!$C29)</f>
        <v>285000</v>
      </c>
      <c r="I215" s="87">
        <f t="shared" si="16"/>
        <v>15000</v>
      </c>
      <c r="J215" s="87">
        <f>G215*Supuestos!$C$20</f>
        <v>33823.277258524824</v>
      </c>
      <c r="K215" s="87">
        <f>(I215+J215)*(1/Supuestos!$C$20)</f>
        <v>411392.24659764534</v>
      </c>
    </row>
    <row r="216" spans="3:11" x14ac:dyDescent="0.2">
      <c r="C216" s="6" t="str">
        <f>'Informacion del AEP'!C107</f>
        <v>Cobranza</v>
      </c>
      <c r="D216" s="85">
        <f>INDEX('Informacion del AEP'!$D$102:$N$122,MATCH('Costos aguas abajo'!$C216,'Informacion del AEP'!$C$102:$C$122,0),MATCH('Costos aguas abajo'!$C$210,'Informacion del AEP'!$D$101:$N$101,0))</f>
        <v>11666666.666666666</v>
      </c>
      <c r="F216" s="87">
        <f>D216*Supuestos!$C30</f>
        <v>0</v>
      </c>
      <c r="G216" s="87">
        <f>D216*(1-Supuestos!$C30)</f>
        <v>11666666.666666666</v>
      </c>
      <c r="I216" s="87">
        <f t="shared" si="16"/>
        <v>0</v>
      </c>
      <c r="J216" s="87">
        <f>G216*Supuestos!$C$20</f>
        <v>1384578.6012261622</v>
      </c>
      <c r="K216" s="87">
        <f>(I216+J216)*(1/Supuestos!$C$20)</f>
        <v>11666666.666666664</v>
      </c>
    </row>
    <row r="217" spans="3:11" x14ac:dyDescent="0.2">
      <c r="C217" s="6" t="str">
        <f>'Informacion del AEP'!C108</f>
        <v>Tasas e impuestos</v>
      </c>
      <c r="D217" s="85">
        <f>INDEX('Informacion del AEP'!$D$102:$N$122,MATCH('Costos aguas abajo'!$C217,'Informacion del AEP'!$C$102:$C$122,0),MATCH('Costos aguas abajo'!$C$210,'Informacion del AEP'!$D$101:$N$101,0))</f>
        <v>3500000</v>
      </c>
      <c r="F217" s="87">
        <f>D217*Supuestos!$C31</f>
        <v>350000</v>
      </c>
      <c r="G217" s="87">
        <f>D217*(1-Supuestos!$C31)</f>
        <v>3150000</v>
      </c>
      <c r="I217" s="87">
        <f t="shared" si="16"/>
        <v>350000</v>
      </c>
      <c r="J217" s="87">
        <f>G217*Supuestos!$C$20</f>
        <v>373836.22233106382</v>
      </c>
      <c r="K217" s="87">
        <f>(I217+J217)*(1/Supuestos!$C$20)</f>
        <v>6099152.4206117252</v>
      </c>
    </row>
    <row r="218" spans="3:11" x14ac:dyDescent="0.2">
      <c r="C218" s="6" t="str">
        <f>'Informacion del AEP'!C109</f>
        <v>Programas de fidelización</v>
      </c>
      <c r="D218" s="85">
        <f>INDEX('Informacion del AEP'!$D$102:$N$122,MATCH('Costos aguas abajo'!$C218,'Informacion del AEP'!$C$102:$C$122,0),MATCH('Costos aguas abajo'!$C$210,'Informacion del AEP'!$D$101:$N$101,0))</f>
        <v>13333333.333333334</v>
      </c>
      <c r="F218" s="87">
        <f>D218*Supuestos!$C32</f>
        <v>0</v>
      </c>
      <c r="G218" s="87">
        <f>D218*(1-Supuestos!$C32)</f>
        <v>13333333.333333334</v>
      </c>
      <c r="I218" s="87">
        <f t="shared" si="16"/>
        <v>0</v>
      </c>
      <c r="J218" s="87">
        <f>G218*Supuestos!$C$20</f>
        <v>1582375.5442584713</v>
      </c>
      <c r="K218" s="87">
        <f>(I218+J218)*(1/Supuestos!$C$20)</f>
        <v>13333333.333333334</v>
      </c>
    </row>
    <row r="219" spans="3:11" x14ac:dyDescent="0.2">
      <c r="C219" s="6" t="str">
        <f>'Informacion del AEP'!C110</f>
        <v>Acceso internet internacional</v>
      </c>
      <c r="D219" s="85">
        <f>INDEX('Informacion del AEP'!$D$102:$N$122,MATCH('Costos aguas abajo'!$C219,'Informacion del AEP'!$C$102:$C$122,0),MATCH('Costos aguas abajo'!$C$210,'Informacion del AEP'!$D$101:$N$101,0))</f>
        <v>3800000</v>
      </c>
      <c r="F219" s="87">
        <f>D219*Supuestos!$C33</f>
        <v>0</v>
      </c>
      <c r="G219" s="87">
        <f>D219*(1-Supuestos!$C33)</f>
        <v>3800000</v>
      </c>
      <c r="I219" s="87">
        <f t="shared" si="16"/>
        <v>0</v>
      </c>
      <c r="J219" s="87">
        <f>G219*Supuestos!$C$20</f>
        <v>450977.03011366428</v>
      </c>
      <c r="K219" s="87">
        <f>(I219+J219)*(1/Supuestos!$C$20)</f>
        <v>3799999.9999999995</v>
      </c>
    </row>
    <row r="220" spans="3:11" x14ac:dyDescent="0.2">
      <c r="C220" s="6" t="str">
        <f>'Informacion del AEP'!C111</f>
        <v>Roaming nacional</v>
      </c>
      <c r="D220" s="85">
        <f>INDEX('Informacion del AEP'!$D$102:$N$122,MATCH('Costos aguas abajo'!$C220,'Informacion del AEP'!$C$102:$C$122,0),MATCH('Costos aguas abajo'!$C$210,'Informacion del AEP'!$D$101:$N$101,0))</f>
        <v>1500000</v>
      </c>
      <c r="F220" s="87">
        <f>D220*Supuestos!$C34</f>
        <v>0</v>
      </c>
      <c r="G220" s="87">
        <f>D220*(1-Supuestos!$C34)</f>
        <v>1500000</v>
      </c>
      <c r="I220" s="87">
        <f t="shared" si="16"/>
        <v>0</v>
      </c>
      <c r="J220" s="87">
        <f>G220*Supuestos!$C$20</f>
        <v>178017.24872907801</v>
      </c>
      <c r="K220" s="87">
        <f>(I220+J220)*(1/Supuestos!$C$20)</f>
        <v>1499999.9999999998</v>
      </c>
    </row>
    <row r="221" spans="3:11" x14ac:dyDescent="0.2">
      <c r="C221" s="6" t="str">
        <f>'Informacion del AEP'!C112</f>
        <v>Roaming internacional</v>
      </c>
      <c r="D221" s="85">
        <f>INDEX('Informacion del AEP'!$D$102:$N$122,MATCH('Costos aguas abajo'!$C221,'Informacion del AEP'!$C$102:$C$122,0),MATCH('Costos aguas abajo'!$C$210,'Informacion del AEP'!$D$101:$N$101,0))</f>
        <v>0</v>
      </c>
      <c r="F221" s="87">
        <f>D221*Supuestos!$C35</f>
        <v>0</v>
      </c>
      <c r="G221" s="87">
        <f>D221*(1-Supuestos!$C35)</f>
        <v>0</v>
      </c>
      <c r="I221" s="87">
        <f t="shared" si="16"/>
        <v>0</v>
      </c>
      <c r="J221" s="87">
        <f>G221*Supuestos!$C$20</f>
        <v>0</v>
      </c>
      <c r="K221" s="87">
        <f>(I221+J221)*(1/Supuestos!$C$20)</f>
        <v>0</v>
      </c>
    </row>
    <row r="222" spans="3:11" x14ac:dyDescent="0.2">
      <c r="C222" s="6" t="str">
        <f>'Informacion del AEP'!C113</f>
        <v>Provisiones</v>
      </c>
      <c r="D222" s="85">
        <f>INDEX('Informacion del AEP'!$D$102:$N$122,MATCH('Costos aguas abajo'!$C222,'Informacion del AEP'!$C$102:$C$122,0),MATCH('Costos aguas abajo'!$C$210,'Informacion del AEP'!$D$101:$N$101,0))</f>
        <v>16666666.666666666</v>
      </c>
      <c r="F222" s="87">
        <f>D222*Supuestos!$C36</f>
        <v>0</v>
      </c>
      <c r="G222" s="87">
        <f>D222*(1-Supuestos!$C36)</f>
        <v>16666666.666666666</v>
      </c>
      <c r="I222" s="87">
        <f t="shared" si="16"/>
        <v>0</v>
      </c>
      <c r="J222" s="87">
        <f>G222*Supuestos!$C$20</f>
        <v>1977969.430323089</v>
      </c>
      <c r="K222" s="87">
        <f>(I222+J222)*(1/Supuestos!$C$20)</f>
        <v>16666666.666666664</v>
      </c>
    </row>
    <row r="223" spans="3:11" x14ac:dyDescent="0.2">
      <c r="C223" s="6" t="str">
        <f>'Informacion del AEP'!C114</f>
        <v>Costos directos de la venta de terminales</v>
      </c>
      <c r="D223" s="85">
        <f>INDEX('Informacion del AEP'!$D$102:$N$122,MATCH('Costos aguas abajo'!$C223,'Informacion del AEP'!$C$102:$C$122,0),MATCH('Costos aguas abajo'!$C$210,'Informacion del AEP'!$D$101:$N$101,0))</f>
        <v>1000000000</v>
      </c>
      <c r="F223" s="87">
        <f>D223*Supuestos!$C37</f>
        <v>0</v>
      </c>
      <c r="G223" s="87">
        <f>D223*(1-Supuestos!$C37)</f>
        <v>1000000000</v>
      </c>
      <c r="I223" s="87">
        <f t="shared" si="16"/>
        <v>0</v>
      </c>
      <c r="J223" s="87">
        <f>G223*Supuestos!$C$20</f>
        <v>118678165.81938533</v>
      </c>
      <c r="K223" s="87">
        <f>(I223+J223)*(1/Supuestos!$C$20)</f>
        <v>999999999.99999988</v>
      </c>
    </row>
    <row r="224" spans="3:11" x14ac:dyDescent="0.2">
      <c r="C224" s="6" t="str">
        <f>'Informacion del AEP'!C115</f>
        <v>Servicios generales y de gestión - minoristas</v>
      </c>
      <c r="D224" s="85">
        <f>INDEX('Informacion del AEP'!$D$102:$N$122,MATCH('Costos aguas abajo'!$C224,'Informacion del AEP'!$C$102:$C$122,0),MATCH('Costos aguas abajo'!$C$210,'Informacion del AEP'!$D$101:$N$101,0))</f>
        <v>200000000</v>
      </c>
      <c r="F224" s="87">
        <f>D224*Supuestos!$C38</f>
        <v>10000000</v>
      </c>
      <c r="G224" s="87">
        <f>D224*(1-Supuestos!$C38)</f>
        <v>190000000</v>
      </c>
      <c r="I224" s="87">
        <f t="shared" si="16"/>
        <v>10000000</v>
      </c>
      <c r="J224" s="87">
        <f>G224*Supuestos!$C$20</f>
        <v>22548851.505683213</v>
      </c>
      <c r="K224" s="87">
        <f>(I224+J224)*(1/Supuestos!$C$20)</f>
        <v>274261497.73176354</v>
      </c>
    </row>
    <row r="225" spans="3:11" x14ac:dyDescent="0.2">
      <c r="C225" s="6" t="str">
        <f>'Informacion del AEP'!C116</f>
        <v>Servicios generales y de gestión - red</v>
      </c>
      <c r="D225" s="85">
        <f>INDEX('Informacion del AEP'!$D$102:$N$122,MATCH('Costos aguas abajo'!$C225,'Informacion del AEP'!$C$102:$C$122,0),MATCH('Costos aguas abajo'!$C$210,'Informacion del AEP'!$D$101:$N$101,0))</f>
        <v>0</v>
      </c>
      <c r="F225" s="87">
        <f>D225*Supuestos!$C39</f>
        <v>0</v>
      </c>
      <c r="G225" s="87">
        <f>D225*(1-Supuestos!$C39)</f>
        <v>0</v>
      </c>
      <c r="I225" s="87">
        <f t="shared" si="16"/>
        <v>0</v>
      </c>
      <c r="J225" s="87">
        <f>G225*Supuestos!$C$20</f>
        <v>0</v>
      </c>
      <c r="K225" s="87">
        <f>(I225+J225)*(1/Supuestos!$C$20)</f>
        <v>0</v>
      </c>
    </row>
    <row r="226" spans="3:11" x14ac:dyDescent="0.2">
      <c r="C226" s="6" t="str">
        <f>'Informacion del AEP'!C117</f>
        <v xml:space="preserve">Servicios generales y de gestión - negocio </v>
      </c>
      <c r="D226" s="85">
        <f>INDEX('Informacion del AEP'!$D$102:$N$122,MATCH('Costos aguas abajo'!$C226,'Informacion del AEP'!$C$102:$C$122,0),MATCH('Costos aguas abajo'!$C$210,'Informacion del AEP'!$D$101:$N$101,0))</f>
        <v>50000000</v>
      </c>
      <c r="F226" s="87">
        <f>D226*Supuestos!$C40</f>
        <v>5000000</v>
      </c>
      <c r="G226" s="87">
        <f>D226*(1-Supuestos!$C40)</f>
        <v>45000000</v>
      </c>
      <c r="I226" s="87">
        <f t="shared" si="16"/>
        <v>5000000</v>
      </c>
      <c r="J226" s="87">
        <f>G226*Supuestos!$C$20</f>
        <v>5340517.4618723402</v>
      </c>
      <c r="K226" s="87">
        <f>(I226+J226)*(1/Supuestos!$C$20)</f>
        <v>87130748.865881771</v>
      </c>
    </row>
    <row r="227" spans="3:11" x14ac:dyDescent="0.2">
      <c r="C227" s="76" t="s">
        <v>196</v>
      </c>
      <c r="D227" s="259">
        <f>SUM(D228:D231)</f>
        <v>0</v>
      </c>
      <c r="F227" s="259">
        <f>SUM(F228:F231)</f>
        <v>0</v>
      </c>
      <c r="G227" s="259">
        <f>SUM(G228:G231)</f>
        <v>0</v>
      </c>
      <c r="I227" s="259">
        <f>SUM(I228:I231)</f>
        <v>0</v>
      </c>
      <c r="J227" s="259">
        <f>SUM(J228:J231)</f>
        <v>0</v>
      </c>
      <c r="K227" s="259">
        <f>SUM(K228:K231)</f>
        <v>0</v>
      </c>
    </row>
    <row r="228" spans="3:11" x14ac:dyDescent="0.2">
      <c r="C228" s="6" t="str">
        <f>'Informacion del AEP'!C118</f>
        <v>Costo del Capital:Servicios generales y de gestión - minoristas</v>
      </c>
      <c r="D228" s="85">
        <f>INDEX('Informacion del AEP'!$D$102:$N$122,MATCH('Costos aguas abajo'!$C228,'Informacion del AEP'!$C$102:$C$122,0),MATCH('Costos aguas abajo'!$C$210,'Informacion del AEP'!$D$101:$N$101,0))</f>
        <v>0</v>
      </c>
      <c r="F228" s="87">
        <f>D228*Supuestos!$C41</f>
        <v>0</v>
      </c>
      <c r="G228" s="87">
        <f>D228*(1-Supuestos!$C41)</f>
        <v>0</v>
      </c>
      <c r="I228" s="87">
        <f t="shared" si="16"/>
        <v>0</v>
      </c>
      <c r="J228" s="87">
        <f>G228*Supuestos!$C$20</f>
        <v>0</v>
      </c>
      <c r="K228" s="87">
        <f>(I228+J228)*(1/Supuestos!$C$20)</f>
        <v>0</v>
      </c>
    </row>
    <row r="229" spans="3:11" x14ac:dyDescent="0.2">
      <c r="C229" s="6" t="str">
        <f>'Informacion del AEP'!C119</f>
        <v>Costo del Capital:Servicios generales y de gestión - red</v>
      </c>
      <c r="D229" s="85">
        <f>INDEX('Informacion del AEP'!$D$102:$N$122,MATCH('Costos aguas abajo'!$C229,'Informacion del AEP'!$C$102:$C$122,0),MATCH('Costos aguas abajo'!$C$210,'Informacion del AEP'!$D$101:$N$101,0))</f>
        <v>0</v>
      </c>
      <c r="F229" s="87">
        <f>D229*Supuestos!$C42</f>
        <v>0</v>
      </c>
      <c r="G229" s="87">
        <f>D229*(1-Supuestos!$C42)</f>
        <v>0</v>
      </c>
      <c r="I229" s="87">
        <f t="shared" ref="I229:I231" si="17">+F229</f>
        <v>0</v>
      </c>
      <c r="J229" s="87">
        <f>G229*Supuestos!$C$20</f>
        <v>0</v>
      </c>
      <c r="K229" s="87">
        <f>(I229+J229)*(1/Supuestos!$C$20)</f>
        <v>0</v>
      </c>
    </row>
    <row r="230" spans="3:11" x14ac:dyDescent="0.2">
      <c r="C230" s="6" t="str">
        <f>'Informacion del AEP'!C120</f>
        <v xml:space="preserve">Costo del Capital:Servicios generales y de gestión - negocio </v>
      </c>
      <c r="D230" s="85">
        <f>INDEX('Informacion del AEP'!$D$102:$N$122,MATCH('Costos aguas abajo'!$C230,'Informacion del AEP'!$C$102:$C$122,0),MATCH('Costos aguas abajo'!$C$210,'Informacion del AEP'!$D$101:$N$101,0))</f>
        <v>0</v>
      </c>
      <c r="F230" s="87">
        <f>D230*Supuestos!$C43</f>
        <v>0</v>
      </c>
      <c r="G230" s="87">
        <f>D230*(1-Supuestos!$C43)</f>
        <v>0</v>
      </c>
      <c r="I230" s="87">
        <f t="shared" si="17"/>
        <v>0</v>
      </c>
      <c r="J230" s="87">
        <f>G230*Supuestos!$C$20</f>
        <v>0</v>
      </c>
      <c r="K230" s="87">
        <f>(I230+J230)*(1/Supuestos!$C$20)</f>
        <v>0</v>
      </c>
    </row>
    <row r="231" spans="3:11" x14ac:dyDescent="0.2">
      <c r="C231" s="6" t="str">
        <f>'Informacion del AEP'!C121</f>
        <v>Costo del Capital:Equipos terminales</v>
      </c>
      <c r="D231" s="85">
        <f>INDEX('Informacion del AEP'!$D$102:$N$122,MATCH('Costos aguas abajo'!$C231,'Informacion del AEP'!$C$102:$C$122,0),MATCH('Costos aguas abajo'!$C$210,'Informacion del AEP'!$D$101:$N$101,0))</f>
        <v>0</v>
      </c>
      <c r="F231" s="87">
        <f>D231*Supuestos!$C44</f>
        <v>0</v>
      </c>
      <c r="G231" s="87">
        <f>D231*(1-Supuestos!$C44)</f>
        <v>0</v>
      </c>
      <c r="I231" s="87">
        <f t="shared" si="17"/>
        <v>0</v>
      </c>
      <c r="J231" s="87">
        <f>G231*Supuestos!$C$20</f>
        <v>0</v>
      </c>
      <c r="K231" s="87">
        <f>(I231+J231)*(1/Supuestos!$C$20)</f>
        <v>0</v>
      </c>
    </row>
    <row r="233" spans="3:11" x14ac:dyDescent="0.2">
      <c r="C233" s="88" t="s">
        <v>52</v>
      </c>
      <c r="D233" s="45" t="str">
        <f>IF(D210='Informacion del AEP'!N122,"Ok","Error")</f>
        <v>Ok</v>
      </c>
      <c r="I233" s="45" t="str">
        <f>IF(I210=F210,"Ok","Error")</f>
        <v>Ok</v>
      </c>
    </row>
  </sheetData>
  <mergeCells count="3">
    <mergeCell ref="D8:G8"/>
    <mergeCell ref="I8:K8"/>
    <mergeCell ref="M4:S8"/>
  </mergeCells>
  <conditionalFormatting sqref="D33">
    <cfRule type="containsText" dxfId="107" priority="52" operator="containsText" text="Error">
      <formula>NOT(ISERROR(SEARCH("Error",D33)))</formula>
    </cfRule>
    <cfRule type="containsText" dxfId="106" priority="53" operator="containsText" text="Ok">
      <formula>NOT(ISERROR(SEARCH("Ok",D33)))</formula>
    </cfRule>
    <cfRule type="expression" dxfId="105" priority="54">
      <formula>"Ok"</formula>
    </cfRule>
  </conditionalFormatting>
  <conditionalFormatting sqref="D58">
    <cfRule type="containsText" dxfId="104" priority="49" operator="containsText" text="Error">
      <formula>NOT(ISERROR(SEARCH("Error",D58)))</formula>
    </cfRule>
    <cfRule type="containsText" dxfId="103" priority="50" operator="containsText" text="Ok">
      <formula>NOT(ISERROR(SEARCH("Ok",D58)))</formula>
    </cfRule>
    <cfRule type="expression" dxfId="102" priority="51">
      <formula>"Ok"</formula>
    </cfRule>
  </conditionalFormatting>
  <conditionalFormatting sqref="D83">
    <cfRule type="containsText" dxfId="101" priority="46" operator="containsText" text="Error">
      <formula>NOT(ISERROR(SEARCH("Error",D83)))</formula>
    </cfRule>
    <cfRule type="containsText" dxfId="100" priority="47" operator="containsText" text="Ok">
      <formula>NOT(ISERROR(SEARCH("Ok",D83)))</formula>
    </cfRule>
    <cfRule type="expression" dxfId="99" priority="48">
      <formula>"Ok"</formula>
    </cfRule>
  </conditionalFormatting>
  <conditionalFormatting sqref="D108">
    <cfRule type="containsText" dxfId="98" priority="43" operator="containsText" text="Error">
      <formula>NOT(ISERROR(SEARCH("Error",D108)))</formula>
    </cfRule>
    <cfRule type="containsText" dxfId="97" priority="44" operator="containsText" text="Ok">
      <formula>NOT(ISERROR(SEARCH("Ok",D108)))</formula>
    </cfRule>
    <cfRule type="expression" dxfId="96" priority="45">
      <formula>"Ok"</formula>
    </cfRule>
  </conditionalFormatting>
  <conditionalFormatting sqref="D133">
    <cfRule type="containsText" dxfId="95" priority="40" operator="containsText" text="Error">
      <formula>NOT(ISERROR(SEARCH("Error",D133)))</formula>
    </cfRule>
    <cfRule type="containsText" dxfId="94" priority="41" operator="containsText" text="Ok">
      <formula>NOT(ISERROR(SEARCH("Ok",D133)))</formula>
    </cfRule>
    <cfRule type="expression" dxfId="93" priority="42">
      <formula>"Ok"</formula>
    </cfRule>
  </conditionalFormatting>
  <conditionalFormatting sqref="D158">
    <cfRule type="containsText" dxfId="92" priority="37" operator="containsText" text="Error">
      <formula>NOT(ISERROR(SEARCH("Error",D158)))</formula>
    </cfRule>
    <cfRule type="containsText" dxfId="91" priority="38" operator="containsText" text="Ok">
      <formula>NOT(ISERROR(SEARCH("Ok",D158)))</formula>
    </cfRule>
    <cfRule type="expression" dxfId="90" priority="39">
      <formula>"Ok"</formula>
    </cfRule>
  </conditionalFormatting>
  <conditionalFormatting sqref="D183">
    <cfRule type="containsText" dxfId="89" priority="34" operator="containsText" text="Error">
      <formula>NOT(ISERROR(SEARCH("Error",D183)))</formula>
    </cfRule>
    <cfRule type="containsText" dxfId="88" priority="35" operator="containsText" text="Ok">
      <formula>NOT(ISERROR(SEARCH("Ok",D183)))</formula>
    </cfRule>
    <cfRule type="expression" dxfId="87" priority="36">
      <formula>"Ok"</formula>
    </cfRule>
  </conditionalFormatting>
  <conditionalFormatting sqref="D208">
    <cfRule type="containsText" dxfId="86" priority="31" operator="containsText" text="Error">
      <formula>NOT(ISERROR(SEARCH("Error",D208)))</formula>
    </cfRule>
    <cfRule type="containsText" dxfId="85" priority="32" operator="containsText" text="Ok">
      <formula>NOT(ISERROR(SEARCH("Ok",D208)))</formula>
    </cfRule>
    <cfRule type="expression" dxfId="84" priority="33">
      <formula>"Ok"</formula>
    </cfRule>
  </conditionalFormatting>
  <conditionalFormatting sqref="D233">
    <cfRule type="containsText" dxfId="83" priority="28" operator="containsText" text="Error">
      <formula>NOT(ISERROR(SEARCH("Error",D233)))</formula>
    </cfRule>
    <cfRule type="containsText" dxfId="82" priority="29" operator="containsText" text="Ok">
      <formula>NOT(ISERROR(SEARCH("Ok",D233)))</formula>
    </cfRule>
    <cfRule type="expression" dxfId="81" priority="30">
      <formula>"Ok"</formula>
    </cfRule>
  </conditionalFormatting>
  <conditionalFormatting sqref="I233">
    <cfRule type="containsText" dxfId="80" priority="1" operator="containsText" text="Error">
      <formula>NOT(ISERROR(SEARCH("Error",I233)))</formula>
    </cfRule>
    <cfRule type="containsText" dxfId="79" priority="2" operator="containsText" text="Ok">
      <formula>NOT(ISERROR(SEARCH("Ok",I233)))</formula>
    </cfRule>
    <cfRule type="expression" dxfId="78" priority="3">
      <formula>"Ok"</formula>
    </cfRule>
  </conditionalFormatting>
  <conditionalFormatting sqref="I33">
    <cfRule type="containsText" dxfId="77" priority="25" operator="containsText" text="Error">
      <formula>NOT(ISERROR(SEARCH("Error",I33)))</formula>
    </cfRule>
    <cfRule type="containsText" dxfId="76" priority="26" operator="containsText" text="Ok">
      <formula>NOT(ISERROR(SEARCH("Ok",I33)))</formula>
    </cfRule>
    <cfRule type="expression" dxfId="75" priority="27">
      <formula>"Ok"</formula>
    </cfRule>
  </conditionalFormatting>
  <conditionalFormatting sqref="I58">
    <cfRule type="containsText" dxfId="74" priority="22" operator="containsText" text="Error">
      <formula>NOT(ISERROR(SEARCH("Error",I58)))</formula>
    </cfRule>
    <cfRule type="containsText" dxfId="73" priority="23" operator="containsText" text="Ok">
      <formula>NOT(ISERROR(SEARCH("Ok",I58)))</formula>
    </cfRule>
    <cfRule type="expression" dxfId="72" priority="24">
      <formula>"Ok"</formula>
    </cfRule>
  </conditionalFormatting>
  <conditionalFormatting sqref="I83">
    <cfRule type="containsText" dxfId="71" priority="19" operator="containsText" text="Error">
      <formula>NOT(ISERROR(SEARCH("Error",I83)))</formula>
    </cfRule>
    <cfRule type="containsText" dxfId="70" priority="20" operator="containsText" text="Ok">
      <formula>NOT(ISERROR(SEARCH("Ok",I83)))</formula>
    </cfRule>
    <cfRule type="expression" dxfId="69" priority="21">
      <formula>"Ok"</formula>
    </cfRule>
  </conditionalFormatting>
  <conditionalFormatting sqref="I108">
    <cfRule type="containsText" dxfId="68" priority="16" operator="containsText" text="Error">
      <formula>NOT(ISERROR(SEARCH("Error",I108)))</formula>
    </cfRule>
    <cfRule type="containsText" dxfId="67" priority="17" operator="containsText" text="Ok">
      <formula>NOT(ISERROR(SEARCH("Ok",I108)))</formula>
    </cfRule>
    <cfRule type="expression" dxfId="66" priority="18">
      <formula>"Ok"</formula>
    </cfRule>
  </conditionalFormatting>
  <conditionalFormatting sqref="I133">
    <cfRule type="containsText" dxfId="65" priority="13" operator="containsText" text="Error">
      <formula>NOT(ISERROR(SEARCH("Error",I133)))</formula>
    </cfRule>
    <cfRule type="containsText" dxfId="64" priority="14" operator="containsText" text="Ok">
      <formula>NOT(ISERROR(SEARCH("Ok",I133)))</formula>
    </cfRule>
    <cfRule type="expression" dxfId="63" priority="15">
      <formula>"Ok"</formula>
    </cfRule>
  </conditionalFormatting>
  <conditionalFormatting sqref="I158">
    <cfRule type="containsText" dxfId="62" priority="10" operator="containsText" text="Error">
      <formula>NOT(ISERROR(SEARCH("Error",I158)))</formula>
    </cfRule>
    <cfRule type="containsText" dxfId="61" priority="11" operator="containsText" text="Ok">
      <formula>NOT(ISERROR(SEARCH("Ok",I158)))</formula>
    </cfRule>
    <cfRule type="expression" dxfId="60" priority="12">
      <formula>"Ok"</formula>
    </cfRule>
  </conditionalFormatting>
  <conditionalFormatting sqref="I183">
    <cfRule type="containsText" dxfId="59" priority="7" operator="containsText" text="Error">
      <formula>NOT(ISERROR(SEARCH("Error",I183)))</formula>
    </cfRule>
    <cfRule type="containsText" dxfId="58" priority="8" operator="containsText" text="Ok">
      <formula>NOT(ISERROR(SEARCH("Ok",I183)))</formula>
    </cfRule>
    <cfRule type="expression" dxfId="57" priority="9">
      <formula>"Ok"</formula>
    </cfRule>
  </conditionalFormatting>
  <conditionalFormatting sqref="I208">
    <cfRule type="containsText" dxfId="56" priority="4" operator="containsText" text="Error">
      <formula>NOT(ISERROR(SEARCH("Error",I208)))</formula>
    </cfRule>
    <cfRule type="containsText" dxfId="55" priority="5" operator="containsText" text="Ok">
      <formula>NOT(ISERROR(SEARCH("Ok",I208)))</formula>
    </cfRule>
    <cfRule type="expression" dxfId="54" priority="6">
      <formula>"Ok"</formula>
    </cfRule>
  </conditionalFormatting>
  <hyperlinks>
    <hyperlink ref="C3" location="'Resultados &gt;&gt;'!A1" display="Ir a Resultados &gt;&gt;" xr:uid="{3AB7CE2A-1F16-46B2-B457-339E8192700F}"/>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1D884-496F-421B-9178-3DE0F2A2BA47}">
  <sheetPr>
    <tabColor theme="8" tint="0.79998168889431442"/>
  </sheetPr>
  <dimension ref="A1:X239"/>
  <sheetViews>
    <sheetView showGridLines="0" zoomScaleNormal="100" workbookViewId="0">
      <pane ySplit="9" topLeftCell="A10" activePane="bottomLeft" state="frozen"/>
      <selection pane="bottomLeft"/>
    </sheetView>
  </sheetViews>
  <sheetFormatPr baseColWidth="10" defaultColWidth="8.7109375" defaultRowHeight="12.75" x14ac:dyDescent="0.2"/>
  <cols>
    <col min="1" max="1" width="1.7109375" style="6" customWidth="1"/>
    <col min="2" max="2" width="8.7109375" style="6"/>
    <col min="3" max="3" width="47.28515625" style="6" customWidth="1"/>
    <col min="4" max="4" width="26.28515625" style="6" customWidth="1"/>
    <col min="5" max="5" width="4.28515625" style="6" customWidth="1"/>
    <col min="6" max="6" width="23.5703125" style="6" customWidth="1"/>
    <col min="7" max="8" width="4.28515625" style="6" customWidth="1"/>
    <col min="9" max="9" width="18.28515625" style="6" customWidth="1"/>
    <col min="10" max="10" width="4.28515625" style="6" customWidth="1"/>
    <col min="11" max="11" width="3.42578125" style="6" customWidth="1"/>
    <col min="12" max="12" width="18.7109375" style="6" customWidth="1"/>
    <col min="13" max="13" width="3.7109375" style="6" customWidth="1"/>
    <col min="14" max="14" width="24.5703125" style="6" customWidth="1"/>
    <col min="15" max="15" width="23" style="6" customWidth="1"/>
    <col min="16" max="16" width="16.7109375" style="6" customWidth="1"/>
    <col min="17" max="16384" width="8.7109375" style="6"/>
  </cols>
  <sheetData>
    <row r="1" spans="2:24" s="1" customFormat="1" ht="20.25" x14ac:dyDescent="0.3">
      <c r="B1" s="1" t="s">
        <v>113</v>
      </c>
    </row>
    <row r="3" spans="2:24" ht="20.100000000000001" customHeight="1" x14ac:dyDescent="0.2">
      <c r="C3" s="17" t="s">
        <v>24</v>
      </c>
      <c r="H3" s="211"/>
      <c r="I3" s="211"/>
    </row>
    <row r="5" spans="2:24" x14ac:dyDescent="0.2">
      <c r="C5" s="19" t="s">
        <v>25</v>
      </c>
      <c r="D5" s="105" t="s">
        <v>26</v>
      </c>
      <c r="E5" s="86"/>
      <c r="F5" s="105" t="s">
        <v>27</v>
      </c>
    </row>
    <row r="6" spans="2:24" x14ac:dyDescent="0.2">
      <c r="C6"/>
      <c r="D6" s="101">
        <f>Supuestos!$C$5</f>
        <v>44652</v>
      </c>
      <c r="E6" s="86"/>
      <c r="F6" s="101">
        <f>Supuestos!$C$6</f>
        <v>44742</v>
      </c>
    </row>
    <row r="7" spans="2:24" x14ac:dyDescent="0.2">
      <c r="C7"/>
    </row>
    <row r="8" spans="2:24" ht="91.9" customHeight="1" x14ac:dyDescent="0.2">
      <c r="C8" s="508" t="s">
        <v>313</v>
      </c>
      <c r="D8" s="509"/>
      <c r="E8" s="509"/>
      <c r="F8" s="509"/>
      <c r="G8" s="509"/>
      <c r="H8" s="509"/>
      <c r="I8" s="509"/>
      <c r="J8" s="509"/>
      <c r="K8" s="509"/>
      <c r="L8" s="509"/>
      <c r="M8" s="509"/>
      <c r="N8" s="509"/>
      <c r="O8" s="510"/>
      <c r="P8"/>
      <c r="Q8"/>
      <c r="R8"/>
      <c r="S8"/>
    </row>
    <row r="9" spans="2:24" ht="56.45" customHeight="1" x14ac:dyDescent="0.2">
      <c r="C9" s="47" t="s">
        <v>121</v>
      </c>
      <c r="D9" s="288" t="s">
        <v>285</v>
      </c>
      <c r="E9" s="290"/>
      <c r="F9" s="289" t="s">
        <v>111</v>
      </c>
      <c r="G9" s="290"/>
      <c r="H9" s="290"/>
      <c r="I9" s="291" t="s">
        <v>311</v>
      </c>
      <c r="J9" s="291"/>
      <c r="K9" s="291"/>
      <c r="L9" s="291" t="s">
        <v>122</v>
      </c>
      <c r="M9" s="291"/>
      <c r="N9" s="291" t="s">
        <v>109</v>
      </c>
      <c r="O9" s="291" t="s">
        <v>0</v>
      </c>
      <c r="P9" s="228"/>
      <c r="Q9" s="228"/>
      <c r="U9"/>
      <c r="V9"/>
      <c r="W9"/>
      <c r="X9"/>
    </row>
    <row r="10" spans="2:24" ht="21.6" customHeight="1" x14ac:dyDescent="0.2">
      <c r="C10" s="89" t="str">
        <f>Supuestos!$B$75</f>
        <v>Todos los segmentos</v>
      </c>
      <c r="D10" s="93">
        <f>SUM(D11:D29)</f>
        <v>2798664087.1794877</v>
      </c>
      <c r="E10" s="90"/>
      <c r="F10" s="93">
        <f>SUM(F11:F29)</f>
        <v>0</v>
      </c>
      <c r="G10" s="90"/>
      <c r="H10" s="90"/>
      <c r="I10" s="93">
        <f>INDEX('Informacion del AEP'!$H$29:$H$48,MATCH('Pagos Mayoristas'!C10,'Informacion del AEP'!$C$29:$C$48,0))*'Hoja Auxiliar'!$D$61</f>
        <v>37866666.666666664</v>
      </c>
      <c r="J10" s="5"/>
      <c r="K10" s="93"/>
      <c r="L10" s="93">
        <f>'Precio Mayorista'!D101/Supuestos!C13</f>
        <v>625000</v>
      </c>
      <c r="M10" s="93"/>
      <c r="N10" s="93">
        <f>SUM(N11:N29)</f>
        <v>5393178500</v>
      </c>
      <c r="O10" s="241">
        <f>SUM(D10:N10)</f>
        <v>8230334253.8461542</v>
      </c>
      <c r="R10" s="96" t="s">
        <v>52</v>
      </c>
      <c r="S10" s="45" t="str">
        <f>IF(ABS(D10-SUM(D36,D62))&lt;0.01,"Ok","Error")</f>
        <v>Ok</v>
      </c>
      <c r="T10" s="45" t="str">
        <f t="shared" ref="T10:W10" si="0">IF(ABS(E10-SUM(E36,E62))&lt;0.01,"Ok","Error")</f>
        <v>Ok</v>
      </c>
      <c r="U10" s="45" t="str">
        <f t="shared" si="0"/>
        <v>Ok</v>
      </c>
      <c r="V10" s="45" t="str">
        <f t="shared" si="0"/>
        <v>Ok</v>
      </c>
      <c r="W10" s="45" t="str">
        <f t="shared" si="0"/>
        <v>Ok</v>
      </c>
    </row>
    <row r="11" spans="2:24" x14ac:dyDescent="0.2">
      <c r="C11" s="6" t="str">
        <f>IF(Supuestos!B48="","",Supuestos!B48)</f>
        <v>Datos</v>
      </c>
      <c r="D11" s="94">
        <f>INDEX('Informacion del AEP'!$F$54:$N$72,MATCH('Pagos Mayoristas'!$C11,'Informacion del AEP'!$C$54:$C$72,0),MATCH('Pagos Mayoristas'!C$10,'Informacion del AEP'!$F$53:$N$53,0))*INDEX('Hoja Auxiliar'!$D$40:$D$58,MATCH('Pagos Mayoristas'!$C11,'Hoja Auxiliar'!$C$40:$C$58,0))</f>
        <v>1581250000</v>
      </c>
      <c r="F11" s="287">
        <f>IF(C11="","",('Precio Mayorista'!$D$100*INDEX('Informacion del AEP'!$D$54:$N$72,MATCH(C11,'Informacion del AEP'!$C$54:$C$72,0),MATCH($C$10,'Informacion del AEP'!$D$53:$N$53,0))*INDEX('Informacion del AEP'!$F$133:$F$151,MATCH(C11,'Informacion del AEP'!$C$133:$C$151,0))))</f>
        <v>0</v>
      </c>
      <c r="G11"/>
      <c r="I11"/>
      <c r="N11" s="246">
        <f>INDEX('Precio Mayorista'!$D$76:$D$94,MATCH('Pagos Mayoristas'!C11,'Precio Mayorista'!$G$76:$G$94,0))*INDEX('Informacion del AEP'!$F$54:$N$72,MATCH('Pagos Mayoristas'!C11,'Informacion del AEP'!$C$54:$C$72,0),MATCH('Pagos Mayoristas'!$C$10,'Informacion del AEP'!$F$53:$N$53,0))</f>
        <v>0</v>
      </c>
    </row>
    <row r="12" spans="2:24" x14ac:dyDescent="0.2">
      <c r="C12" s="6" t="str">
        <f>IF(Supuestos!B49="","",Supuestos!B49)</f>
        <v>Originación voz on-net local</v>
      </c>
      <c r="D12" s="94">
        <f>INDEX('Informacion del AEP'!$F$54:$N$72,MATCH('Pagos Mayoristas'!$C12,'Informacion del AEP'!$C$54:$C$72,0),MATCH('Pagos Mayoristas'!C$10,'Informacion del AEP'!$F$53:$N$53,0))*INDEX('Hoja Auxiliar'!$D$40:$D$58,MATCH('Pagos Mayoristas'!$C12,'Hoja Auxiliar'!$C$40:$C$58,0))</f>
        <v>323589743.58974355</v>
      </c>
      <c r="F12" s="287">
        <f>IF(C12="","",('Precio Mayorista'!$D$100*INDEX('Informacion del AEP'!$D$54:$N$72,MATCH(C12,'Informacion del AEP'!$C$54:$C$72,0),MATCH($C$10,'Informacion del AEP'!$D$53:$N$53,0))*INDEX('Informacion del AEP'!$F$133:$F$151,MATCH(C12,'Informacion del AEP'!$C$133:$C$151,0))))</f>
        <v>0</v>
      </c>
      <c r="I12"/>
      <c r="N12" s="246">
        <f>INDEX('Precio Mayorista'!$D$76:$D$94,MATCH('Pagos Mayoristas'!C12,'Precio Mayorista'!$G$76:$G$94,0))*INDEX('Informacion del AEP'!$F$54:$N$72,MATCH('Pagos Mayoristas'!C12,'Informacion del AEP'!$C$54:$C$72,0),MATCH('Pagos Mayoristas'!$C$10,'Informacion del AEP'!$F$53:$N$53,0))</f>
        <v>0</v>
      </c>
      <c r="V12" s="211"/>
    </row>
    <row r="13" spans="2:24" x14ac:dyDescent="0.2">
      <c r="C13" s="6" t="str">
        <f>IF(Supuestos!B50="","",Supuestos!B50)</f>
        <v>Originación voz off-net móvil local</v>
      </c>
      <c r="D13" s="94">
        <f>INDEX('Informacion del AEP'!$F$54:$N$72,MATCH('Pagos Mayoristas'!$C13,'Informacion del AEP'!$C$54:$C$72,0),MATCH('Pagos Mayoristas'!C$10,'Informacion del AEP'!$F$53:$N$53,0))*INDEX('Hoja Auxiliar'!$D$40:$D$58,MATCH('Pagos Mayoristas'!$C13,'Hoja Auxiliar'!$C$40:$C$58,0))</f>
        <v>64717948.717948712</v>
      </c>
      <c r="F13" s="287">
        <f>IF(C13="","",('Precio Mayorista'!$D$100*INDEX('Informacion del AEP'!$D$54:$N$72,MATCH(C13,'Informacion del AEP'!$C$54:$C$72,0),MATCH($C$10,'Informacion del AEP'!$D$53:$N$53,0))*INDEX('Informacion del AEP'!$F$133:$F$151,MATCH(C13,'Informacion del AEP'!$C$133:$C$151,0))))</f>
        <v>0</v>
      </c>
      <c r="I13" s="297"/>
      <c r="N13" s="246">
        <f>INDEX('Precio Mayorista'!$D$76:$D$94,MATCH('Pagos Mayoristas'!C13,'Precio Mayorista'!$G$76:$G$94,0))*INDEX('Informacion del AEP'!$F$54:$N$72,MATCH('Pagos Mayoristas'!C13,'Informacion del AEP'!$C$54:$C$72,0),MATCH('Pagos Mayoristas'!$C$10,'Informacion del AEP'!$F$53:$N$53,0))</f>
        <v>136726000</v>
      </c>
    </row>
    <row r="14" spans="2:24" x14ac:dyDescent="0.2">
      <c r="C14" s="6" t="str">
        <f>IF(Supuestos!B51="","",Supuestos!B51)</f>
        <v>Originación voz off-net fijo local</v>
      </c>
      <c r="D14" s="94">
        <f>INDEX('Informacion del AEP'!$F$54:$N$72,MATCH('Pagos Mayoristas'!$C14,'Informacion del AEP'!$C$54:$C$72,0),MATCH('Pagos Mayoristas'!C$10,'Informacion del AEP'!$F$53:$N$53,0))*INDEX('Hoja Auxiliar'!$D$40:$D$58,MATCH('Pagos Mayoristas'!$C14,'Hoja Auxiliar'!$C$40:$C$58,0))</f>
        <v>32358974.358974356</v>
      </c>
      <c r="F14" s="287">
        <f>IF(C14="","",('Precio Mayorista'!$D$100*INDEX('Informacion del AEP'!$D$54:$N$72,MATCH(C14,'Informacion del AEP'!$C$54:$C$72,0),MATCH($C$10,'Informacion del AEP'!$D$53:$N$53,0))*INDEX('Informacion del AEP'!$F$133:$F$151,MATCH(C14,'Informacion del AEP'!$C$133:$C$151,0))))</f>
        <v>0</v>
      </c>
      <c r="N14" s="246">
        <f>INDEX('Precio Mayorista'!$D$76:$D$94,MATCH('Pagos Mayoristas'!C14,'Precio Mayorista'!$G$76:$G$94,0))*INDEX('Informacion del AEP'!$F$54:$N$72,MATCH('Pagos Mayoristas'!C14,'Informacion del AEP'!$C$54:$C$72,0),MATCH('Pagos Mayoristas'!$C$10,'Informacion del AEP'!$F$53:$N$53,0))</f>
        <v>3520000</v>
      </c>
    </row>
    <row r="15" spans="2:24" x14ac:dyDescent="0.2">
      <c r="B15"/>
      <c r="C15" s="6" t="str">
        <f>IF(Supuestos!B52="","",Supuestos!B52)</f>
        <v>Originación voz on-net LDN</v>
      </c>
      <c r="D15" s="94">
        <f>INDEX('Informacion del AEP'!$F$54:$N$72,MATCH('Pagos Mayoristas'!$C15,'Informacion del AEP'!$C$54:$C$72,0),MATCH('Pagos Mayoristas'!C$10,'Informacion del AEP'!$F$53:$N$53,0))*INDEX('Hoja Auxiliar'!$D$40:$D$58,MATCH('Pagos Mayoristas'!$C15,'Hoja Auxiliar'!$C$40:$C$58,0))</f>
        <v>485384615.38461536</v>
      </c>
      <c r="F15" s="287">
        <f>IF(C15="","",('Precio Mayorista'!$D$100*INDEX('Informacion del AEP'!$D$54:$N$72,MATCH(C15,'Informacion del AEP'!$C$54:$C$72,0),MATCH($C$10,'Informacion del AEP'!$D$53:$N$53,0))*INDEX('Informacion del AEP'!$F$133:$F$151,MATCH(C15,'Informacion del AEP'!$C$133:$C$151,0))))</f>
        <v>0</v>
      </c>
      <c r="N15" s="246">
        <f>INDEX('Precio Mayorista'!$D$76:$D$94,MATCH('Pagos Mayoristas'!C15,'Precio Mayorista'!$G$76:$G$94,0))*INDEX('Informacion del AEP'!$F$54:$N$72,MATCH('Pagos Mayoristas'!C15,'Informacion del AEP'!$C$54:$C$72,0),MATCH('Pagos Mayoristas'!$C$10,'Informacion del AEP'!$F$53:$N$53,0))</f>
        <v>0</v>
      </c>
    </row>
    <row r="16" spans="2:24" x14ac:dyDescent="0.2">
      <c r="B16"/>
      <c r="C16" s="6" t="str">
        <f>IF(Supuestos!B53="","",Supuestos!B53)</f>
        <v>Originación voz off-net móvil LDN</v>
      </c>
      <c r="D16" s="94">
        <f>INDEX('Informacion del AEP'!$F$54:$N$72,MATCH('Pagos Mayoristas'!$C16,'Informacion del AEP'!$C$54:$C$72,0),MATCH('Pagos Mayoristas'!C$10,'Informacion del AEP'!$F$53:$N$53,0))*INDEX('Hoja Auxiliar'!$D$40:$D$58,MATCH('Pagos Mayoristas'!$C16,'Hoja Auxiliar'!$C$40:$C$58,0))</f>
        <v>48538461.538461536</v>
      </c>
      <c r="F16" s="287">
        <f>IF(C16="","",('Precio Mayorista'!$D$100*INDEX('Informacion del AEP'!$D$54:$N$72,MATCH(C16,'Informacion del AEP'!$C$54:$C$72,0),MATCH($C$10,'Informacion del AEP'!$D$53:$N$53,0))*INDEX('Informacion del AEP'!$F$133:$F$151,MATCH(C16,'Informacion del AEP'!$C$133:$C$151,0))))</f>
        <v>0</v>
      </c>
      <c r="N16" s="246">
        <f>INDEX('Precio Mayorista'!$D$76:$D$94,MATCH('Pagos Mayoristas'!C16,'Precio Mayorista'!$G$76:$G$94,0))*INDEX('Informacion del AEP'!$F$54:$N$72,MATCH('Pagos Mayoristas'!C16,'Informacion del AEP'!$C$54:$C$72,0),MATCH('Pagos Mayoristas'!$C$10,'Informacion del AEP'!$F$53:$N$53,0))</f>
        <v>102544499.99999999</v>
      </c>
    </row>
    <row r="17" spans="2:14" x14ac:dyDescent="0.2">
      <c r="B17"/>
      <c r="C17" s="6" t="str">
        <f>IF(Supuestos!B54="","",Supuestos!B54)</f>
        <v>Originación voz off-net fijo LDN</v>
      </c>
      <c r="D17" s="94">
        <f>INDEX('Informacion del AEP'!$F$54:$N$72,MATCH('Pagos Mayoristas'!$C17,'Informacion del AEP'!$C$54:$C$72,0),MATCH('Pagos Mayoristas'!C$10,'Informacion del AEP'!$F$53:$N$53,0))*INDEX('Hoja Auxiliar'!$D$40:$D$58,MATCH('Pagos Mayoristas'!$C17,'Hoja Auxiliar'!$C$40:$C$58,0))</f>
        <v>16179487.179487178</v>
      </c>
      <c r="F17" s="287">
        <f>IF(C17="","",('Precio Mayorista'!$D$100*INDEX('Informacion del AEP'!$D$54:$N$72,MATCH(C17,'Informacion del AEP'!$C$54:$C$72,0),MATCH($C$10,'Informacion del AEP'!$D$53:$N$53,0))*INDEX('Informacion del AEP'!$F$133:$F$151,MATCH(C17,'Informacion del AEP'!$C$133:$C$151,0))))</f>
        <v>0</v>
      </c>
      <c r="N17" s="246">
        <f>INDEX('Precio Mayorista'!$D$76:$D$94,MATCH('Pagos Mayoristas'!C17,'Precio Mayorista'!$G$76:$G$94,0))*INDEX('Informacion del AEP'!$F$54:$N$72,MATCH('Pagos Mayoristas'!C17,'Informacion del AEP'!$C$54:$C$72,0),MATCH('Pagos Mayoristas'!$C$10,'Informacion del AEP'!$F$53:$N$53,0))</f>
        <v>1760000</v>
      </c>
    </row>
    <row r="18" spans="2:14" x14ac:dyDescent="0.2">
      <c r="B18"/>
      <c r="C18" s="6" t="str">
        <f>IF(Supuestos!B55="","",Supuestos!B55)</f>
        <v>Originación voz internacional USA-Canadá</v>
      </c>
      <c r="D18" s="94">
        <f>INDEX('Informacion del AEP'!$F$54:$N$72,MATCH('Pagos Mayoristas'!$C18,'Informacion del AEP'!$C$54:$C$72,0),MATCH('Pagos Mayoristas'!C$10,'Informacion del AEP'!$F$53:$N$53,0))*INDEX('Hoja Auxiliar'!$D$40:$D$58,MATCH('Pagos Mayoristas'!$C18,'Hoja Auxiliar'!$C$40:$C$58,0))</f>
        <v>42066666.666666664</v>
      </c>
      <c r="F18" s="287">
        <f>IF(C18="","",('Precio Mayorista'!$D$100*INDEX('Informacion del AEP'!$D$54:$N$72,MATCH(C18,'Informacion del AEP'!$C$54:$C$72,0),MATCH($C$10,'Informacion del AEP'!$D$53:$N$53,0))*INDEX('Informacion del AEP'!$F$133:$F$151,MATCH(C18,'Informacion del AEP'!$C$133:$C$151,0))))</f>
        <v>0</v>
      </c>
      <c r="N18" s="246">
        <f>INDEX('Precio Mayorista'!$D$76:$D$94,MATCH('Pagos Mayoristas'!C18,'Precio Mayorista'!$G$76:$G$94,0))*INDEX('Informacion del AEP'!$F$54:$N$72,MATCH('Pagos Mayoristas'!C18,'Informacion del AEP'!$C$54:$C$72,0),MATCH('Pagos Mayoristas'!$C$10,'Informacion del AEP'!$F$53:$N$53,0))</f>
        <v>117000000</v>
      </c>
    </row>
    <row r="19" spans="2:14" x14ac:dyDescent="0.2">
      <c r="B19"/>
      <c r="C19" s="6" t="str">
        <f>IF(Supuestos!B56="","",Supuestos!B56)</f>
        <v>Originación voz internacional Mundial Centroamérica</v>
      </c>
      <c r="D19" s="94">
        <f>INDEX('Informacion del AEP'!$F$54:$N$72,MATCH('Pagos Mayoristas'!$C19,'Informacion del AEP'!$C$54:$C$72,0),MATCH('Pagos Mayoristas'!C$10,'Informacion del AEP'!$F$53:$N$53,0))*INDEX('Hoja Auxiliar'!$D$40:$D$58,MATCH('Pagos Mayoristas'!$C19,'Hoja Auxiliar'!$C$40:$C$58,0))</f>
        <v>97076.923076923063</v>
      </c>
      <c r="F19" s="287">
        <f>IF(C19="","",('Precio Mayorista'!$D$100*INDEX('Informacion del AEP'!$D$54:$N$72,MATCH(C19,'Informacion del AEP'!$C$54:$C$72,0),MATCH($C$10,'Informacion del AEP'!$D$53:$N$53,0))*INDEX('Informacion del AEP'!$F$133:$F$151,MATCH(C19,'Informacion del AEP'!$C$133:$C$151,0))))</f>
        <v>0</v>
      </c>
      <c r="N19" s="246">
        <f>INDEX('Precio Mayorista'!$D$76:$D$94,MATCH('Pagos Mayoristas'!C19,'Precio Mayorista'!$G$76:$G$94,0))*INDEX('Informacion del AEP'!$F$54:$N$72,MATCH('Pagos Mayoristas'!C19,'Informacion del AEP'!$C$54:$C$72,0),MATCH('Pagos Mayoristas'!$C$10,'Informacion del AEP'!$F$53:$N$53,0))</f>
        <v>7500000</v>
      </c>
    </row>
    <row r="20" spans="2:14" x14ac:dyDescent="0.2">
      <c r="B20"/>
      <c r="C20" s="6" t="str">
        <f>IF(Supuestos!B57="","",Supuestos!B57)</f>
        <v>Originación voz internacional Mundial LATAM y Caribe</v>
      </c>
      <c r="D20" s="94">
        <f>INDEX('Informacion del AEP'!$F$54:$N$72,MATCH('Pagos Mayoristas'!$C20,'Informacion del AEP'!$C$54:$C$72,0),MATCH('Pagos Mayoristas'!C$10,'Informacion del AEP'!$F$53:$N$53,0))*INDEX('Hoja Auxiliar'!$D$40:$D$58,MATCH('Pagos Mayoristas'!$C20,'Hoja Auxiliar'!$C$40:$C$58,0))</f>
        <v>6471.7948717948711</v>
      </c>
      <c r="F20" s="287">
        <f>IF(C20="","",('Precio Mayorista'!$D$100*INDEX('Informacion del AEP'!$D$54:$N$72,MATCH(C20,'Informacion del AEP'!$C$54:$C$72,0),MATCH($C$10,'Informacion del AEP'!$D$53:$N$53,0))*INDEX('Informacion del AEP'!$F$133:$F$151,MATCH(C20,'Informacion del AEP'!$C$133:$C$151,0))))</f>
        <v>0</v>
      </c>
      <c r="N20" s="246">
        <f>INDEX('Precio Mayorista'!$D$76:$D$94,MATCH('Pagos Mayoristas'!C20,'Precio Mayorista'!$G$76:$G$94,0))*INDEX('Informacion del AEP'!$F$54:$N$72,MATCH('Pagos Mayoristas'!C20,'Informacion del AEP'!$C$54:$C$72,0),MATCH('Pagos Mayoristas'!$C$10,'Informacion del AEP'!$F$53:$N$53,0))</f>
        <v>1000000</v>
      </c>
    </row>
    <row r="21" spans="2:14" x14ac:dyDescent="0.2">
      <c r="B21"/>
      <c r="C21" s="6" t="str">
        <f>IF(Supuestos!B58="","",Supuestos!B58)</f>
        <v>Originación voz internacional Europa</v>
      </c>
      <c r="D21" s="94">
        <f>INDEX('Informacion del AEP'!$F$54:$N$72,MATCH('Pagos Mayoristas'!$C21,'Informacion del AEP'!$C$54:$C$72,0),MATCH('Pagos Mayoristas'!C$10,'Informacion del AEP'!$F$53:$N$53,0))*INDEX('Hoja Auxiliar'!$D$40:$D$58,MATCH('Pagos Mayoristas'!$C21,'Hoja Auxiliar'!$C$40:$C$58,0))</f>
        <v>0</v>
      </c>
      <c r="F21" s="287">
        <f>IF(C21="","",('Precio Mayorista'!$D$100*INDEX('Informacion del AEP'!$D$54:$N$72,MATCH(C21,'Informacion del AEP'!$C$54:$C$72,0),MATCH($C$10,'Informacion del AEP'!$D$53:$N$53,0))*INDEX('Informacion del AEP'!$F$133:$F$151,MATCH(C21,'Informacion del AEP'!$C$133:$C$151,0))))</f>
        <v>0</v>
      </c>
      <c r="N21" s="246">
        <f>INDEX('Precio Mayorista'!$D$76:$D$94,MATCH('Pagos Mayoristas'!C21,'Precio Mayorista'!$G$76:$G$94,0))*INDEX('Informacion del AEP'!$F$54:$N$72,MATCH('Pagos Mayoristas'!C21,'Informacion del AEP'!$C$54:$C$72,0),MATCH('Pagos Mayoristas'!$C$10,'Informacion del AEP'!$F$53:$N$53,0))</f>
        <v>0</v>
      </c>
    </row>
    <row r="22" spans="2:14" x14ac:dyDescent="0.2">
      <c r="B22"/>
      <c r="C22" s="6" t="str">
        <f>IF(Supuestos!B59="","",Supuestos!B59)</f>
        <v>Originación voz internacional Mundial Otros geográficos</v>
      </c>
      <c r="D22" s="94">
        <f>INDEX('Informacion del AEP'!$F$54:$N$72,MATCH('Pagos Mayoristas'!$C22,'Informacion del AEP'!$C$54:$C$72,0),MATCH('Pagos Mayoristas'!C$10,'Informacion del AEP'!$F$53:$N$53,0))*INDEX('Hoja Auxiliar'!$D$40:$D$58,MATCH('Pagos Mayoristas'!$C22,'Hoja Auxiliar'!$C$40:$C$58,0))</f>
        <v>323589.74358974356</v>
      </c>
      <c r="F22" s="287">
        <f>IF(C22="","",('Precio Mayorista'!$D$100*INDEX('Informacion del AEP'!$D$54:$N$72,MATCH(C22,'Informacion del AEP'!$C$54:$C$72,0),MATCH($C$10,'Informacion del AEP'!$D$53:$N$53,0))*INDEX('Informacion del AEP'!$F$133:$F$151,MATCH(C22,'Informacion del AEP'!$C$133:$C$151,0))))</f>
        <v>0</v>
      </c>
      <c r="N22" s="246">
        <f>INDEX('Precio Mayorista'!$D$76:$D$94,MATCH('Pagos Mayoristas'!C22,'Precio Mayorista'!$G$76:$G$94,0))*INDEX('Informacion del AEP'!$F$54:$N$72,MATCH('Pagos Mayoristas'!C22,'Informacion del AEP'!$C$54:$C$72,0),MATCH('Pagos Mayoristas'!$C$10,'Informacion del AEP'!$F$53:$N$53,0))</f>
        <v>50000000</v>
      </c>
    </row>
    <row r="23" spans="2:14" x14ac:dyDescent="0.2">
      <c r="B23"/>
      <c r="C23" s="6" t="str">
        <f>IF(Supuestos!B60="","",Supuestos!B60)</f>
        <v>Originación voz internacional Cuba</v>
      </c>
      <c r="D23" s="94">
        <f>INDEX('Informacion del AEP'!$F$54:$N$72,MATCH('Pagos Mayoristas'!$C23,'Informacion del AEP'!$C$54:$C$72,0),MATCH('Pagos Mayoristas'!C$10,'Informacion del AEP'!$F$53:$N$53,0))*INDEX('Hoja Auxiliar'!$D$40:$D$58,MATCH('Pagos Mayoristas'!$C23,'Hoja Auxiliar'!$C$40:$C$58,0))</f>
        <v>16179.487179487178</v>
      </c>
      <c r="F23" s="287">
        <f>IF(C23="","",('Precio Mayorista'!$D$100*INDEX('Informacion del AEP'!$D$54:$N$72,MATCH(C23,'Informacion del AEP'!$C$54:$C$72,0),MATCH($C$10,'Informacion del AEP'!$D$53:$N$53,0))*INDEX('Informacion del AEP'!$F$133:$F$151,MATCH(C23,'Informacion del AEP'!$C$133:$C$151,0))))</f>
        <v>0</v>
      </c>
      <c r="N23" s="246">
        <f>INDEX('Precio Mayorista'!$D$76:$D$94,MATCH('Pagos Mayoristas'!C23,'Precio Mayorista'!$G$76:$G$94,0))*INDEX('Informacion del AEP'!$F$54:$N$72,MATCH('Pagos Mayoristas'!C23,'Informacion del AEP'!$C$54:$C$72,0),MATCH('Pagos Mayoristas'!$C$10,'Informacion del AEP'!$F$53:$N$53,0))</f>
        <v>7500000</v>
      </c>
    </row>
    <row r="24" spans="2:14" x14ac:dyDescent="0.2">
      <c r="B24"/>
      <c r="C24" s="6" t="str">
        <f>IF(Supuestos!B61="","",Supuestos!B61)</f>
        <v>Originación voz Mundial destinos no geográficos</v>
      </c>
      <c r="D24" s="94">
        <f>INDEX('Informacion del AEP'!$F$54:$N$72,MATCH('Pagos Mayoristas'!$C24,'Informacion del AEP'!$C$54:$C$72,0),MATCH('Pagos Mayoristas'!C$10,'Informacion del AEP'!$F$53:$N$53,0))*INDEX('Hoja Auxiliar'!$D$40:$D$58,MATCH('Pagos Mayoristas'!$C24,'Hoja Auxiliar'!$C$40:$C$58,0))</f>
        <v>0</v>
      </c>
      <c r="F24" s="287">
        <f>IF(C24="","",('Precio Mayorista'!$D$100*INDEX('Informacion del AEP'!$D$54:$N$72,MATCH(C24,'Informacion del AEP'!$C$54:$C$72,0),MATCH($C$10,'Informacion del AEP'!$D$53:$N$53,0))*INDEX('Informacion del AEP'!$F$133:$F$151,MATCH(C24,'Informacion del AEP'!$C$133:$C$151,0))))</f>
        <v>0</v>
      </c>
      <c r="N24" s="246">
        <f>INDEX('Precio Mayorista'!$D$76:$D$94,MATCH('Pagos Mayoristas'!C24,'Precio Mayorista'!$G$76:$G$94,0))*INDEX('Informacion del AEP'!$F$54:$N$72,MATCH('Pagos Mayoristas'!C24,'Informacion del AEP'!$C$54:$C$72,0),MATCH('Pagos Mayoristas'!$C$10,'Informacion del AEP'!$F$53:$N$53,0))</f>
        <v>0</v>
      </c>
    </row>
    <row r="25" spans="2:14" x14ac:dyDescent="0.2">
      <c r="B25"/>
      <c r="C25" s="6" t="str">
        <f>IF(Supuestos!B62="","",Supuestos!B62)</f>
        <v>Originación SMS on-net</v>
      </c>
      <c r="D25" s="94">
        <f>INDEX('Informacion del AEP'!$F$54:$N$72,MATCH('Pagos Mayoristas'!$C25,'Informacion del AEP'!$C$54:$C$72,0),MATCH('Pagos Mayoristas'!C$10,'Informacion del AEP'!$F$53:$N$53,0))*INDEX('Hoja Auxiliar'!$D$40:$D$58,MATCH('Pagos Mayoristas'!$C25,'Hoja Auxiliar'!$C$40:$C$58,0))</f>
        <v>32444444.444444444</v>
      </c>
      <c r="F25" s="287">
        <f>IF(C25="","",('Precio Mayorista'!$D$100*INDEX('Informacion del AEP'!$D$54:$N$72,MATCH(C25,'Informacion del AEP'!$C$54:$C$72,0),MATCH($C$10,'Informacion del AEP'!$D$53:$N$53,0))*INDEX('Informacion del AEP'!$F$133:$F$151,MATCH(C25,'Informacion del AEP'!$C$133:$C$151,0))))</f>
        <v>0</v>
      </c>
      <c r="N25" s="246">
        <f>INDEX('Precio Mayorista'!$D$76:$D$94,MATCH('Pagos Mayoristas'!C25,'Precio Mayorista'!$G$76:$G$94,0))*INDEX('Informacion del AEP'!$F$54:$N$72,MATCH('Pagos Mayoristas'!C25,'Informacion del AEP'!$C$54:$C$72,0),MATCH('Pagos Mayoristas'!$C$10,'Informacion del AEP'!$F$53:$N$53,0))</f>
        <v>0</v>
      </c>
    </row>
    <row r="26" spans="2:14" x14ac:dyDescent="0.2">
      <c r="B26"/>
      <c r="C26" s="6" t="str">
        <f>IF(Supuestos!B63="","",Supuestos!B63)</f>
        <v>Originación SMS - off-net nacional</v>
      </c>
      <c r="D26" s="94">
        <f>INDEX('Informacion del AEP'!$F$54:$N$72,MATCH('Pagos Mayoristas'!$C26,'Informacion del AEP'!$C$54:$C$72,0),MATCH('Pagos Mayoristas'!C$10,'Informacion del AEP'!$F$53:$N$53,0))*INDEX('Hoja Auxiliar'!$D$40:$D$58,MATCH('Pagos Mayoristas'!$C26,'Hoja Auxiliar'!$C$40:$C$58,0))</f>
        <v>8111111.111111111</v>
      </c>
      <c r="F26" s="287">
        <f>IF(C26="","",('Precio Mayorista'!$D$100*INDEX('Informacion del AEP'!$D$54:$N$72,MATCH(C26,'Informacion del AEP'!$C$54:$C$72,0),MATCH($C$10,'Informacion del AEP'!$D$53:$N$53,0))*INDEX('Informacion del AEP'!$F$133:$F$151,MATCH(C26,'Informacion del AEP'!$C$133:$C$151,0))))</f>
        <v>0</v>
      </c>
      <c r="N26" s="246">
        <f>INDEX('Precio Mayorista'!$D$76:$D$94,MATCH('Pagos Mayoristas'!C26,'Precio Mayorista'!$G$76:$G$94,0))*INDEX('Informacion del AEP'!$F$54:$N$72,MATCH('Pagos Mayoristas'!C26,'Informacion del AEP'!$C$54:$C$72,0),MATCH('Pagos Mayoristas'!$C$10,'Informacion del AEP'!$F$53:$N$53,0))</f>
        <v>8128000</v>
      </c>
    </row>
    <row r="27" spans="2:14" x14ac:dyDescent="0.2">
      <c r="B27"/>
      <c r="C27" s="6" t="str">
        <f>IF(Supuestos!B64="","",Supuestos!B64)</f>
        <v>Originación SMS internacional (USA-Canadá)</v>
      </c>
      <c r="D27" s="94">
        <f>INDEX('Informacion del AEP'!$F$54:$N$72,MATCH('Pagos Mayoristas'!$C27,'Informacion del AEP'!$C$54:$C$72,0),MATCH('Pagos Mayoristas'!C$10,'Informacion del AEP'!$F$53:$N$53,0))*INDEX('Hoja Auxiliar'!$D$40:$D$58,MATCH('Pagos Mayoristas'!$C27,'Hoja Auxiliar'!$C$40:$C$58,0))</f>
        <v>1622222.222222222</v>
      </c>
      <c r="F27" s="287">
        <f>IF(C27="","",('Precio Mayorista'!$D$100*INDEX('Informacion del AEP'!$D$54:$N$72,MATCH(C27,'Informacion del AEP'!$C$54:$C$72,0),MATCH($C$10,'Informacion del AEP'!$D$53:$N$53,0))*INDEX('Informacion del AEP'!$F$133:$F$151,MATCH(C27,'Informacion del AEP'!$C$133:$C$151,0))))</f>
        <v>0</v>
      </c>
      <c r="N27" s="246">
        <f>INDEX('Precio Mayorista'!$D$76:$D$94,MATCH('Pagos Mayoristas'!C27,'Precio Mayorista'!$G$76:$G$94,0))*INDEX('Informacion del AEP'!$F$54:$N$72,MATCH('Pagos Mayoristas'!C27,'Informacion del AEP'!$C$54:$C$72,0),MATCH('Pagos Mayoristas'!$C$10,'Informacion del AEP'!$F$53:$N$53,0))</f>
        <v>50000000</v>
      </c>
    </row>
    <row r="28" spans="2:14" x14ac:dyDescent="0.2">
      <c r="B28"/>
      <c r="C28" s="6" t="str">
        <f>IF(Supuestos!B65="","",Supuestos!B65)</f>
        <v>Originación SMS internacional (Resto del Mundo)</v>
      </c>
      <c r="D28" s="94">
        <f>INDEX('Informacion del AEP'!$F$54:$N$72,MATCH('Pagos Mayoristas'!$C28,'Informacion del AEP'!$C$54:$C$72,0),MATCH('Pagos Mayoristas'!C$10,'Informacion del AEP'!$F$53:$N$53,0))*INDEX('Hoja Auxiliar'!$D$40:$D$58,MATCH('Pagos Mayoristas'!$C28,'Hoja Auxiliar'!$C$40:$C$58,0))</f>
        <v>162222.22222222222</v>
      </c>
      <c r="F28" s="287">
        <f>IF(C28="","",('Precio Mayorista'!$D$100*INDEX('Informacion del AEP'!$D$54:$N$72,MATCH(C28,'Informacion del AEP'!$C$54:$C$72,0),MATCH($C$10,'Informacion del AEP'!$D$53:$N$53,0))*INDEX('Informacion del AEP'!$F$133:$F$151,MATCH(C28,'Informacion del AEP'!$C$133:$C$151,0))))</f>
        <v>0</v>
      </c>
      <c r="N28" s="246">
        <f>INDEX('Precio Mayorista'!$D$76:$D$94,MATCH('Pagos Mayoristas'!C28,'Precio Mayorista'!$G$76:$G$94,0))*INDEX('Informacion del AEP'!$F$54:$N$72,MATCH('Pagos Mayoristas'!C28,'Informacion del AEP'!$C$54:$C$72,0),MATCH('Pagos Mayoristas'!$C$10,'Informacion del AEP'!$F$53:$N$53,0))</f>
        <v>7500000</v>
      </c>
    </row>
    <row r="29" spans="2:14" x14ac:dyDescent="0.2">
      <c r="C29" s="6" t="str">
        <f>IF(Supuestos!B66="","",Supuestos!B66)</f>
        <v>Otros servicios (incluyendo marcaciones especiales)</v>
      </c>
      <c r="D29" s="94">
        <f>INDEX('Informacion del AEP'!$F$54:$N$72,MATCH('Pagos Mayoristas'!$C29,'Informacion del AEP'!$C$54:$C$72,0),MATCH('Pagos Mayoristas'!C$10,'Informacion del AEP'!$F$53:$N$53,0))*INDEX('Hoja Auxiliar'!$D$40:$D$58,MATCH('Pagos Mayoristas'!$C29,'Hoja Auxiliar'!$C$40:$C$58,0))</f>
        <v>161794871.79487178</v>
      </c>
      <c r="F29" s="287">
        <f>IF(C29="","",('Precio Mayorista'!$D$100*INDEX('Informacion del AEP'!$D$54:$N$72,MATCH(C29,'Informacion del AEP'!$C$54:$C$72,0),MATCH($C$10,'Informacion del AEP'!$D$53:$N$53,0))*INDEX('Informacion del AEP'!$F$133:$F$151,MATCH(C29,'Informacion del AEP'!$C$133:$C$151,0))))</f>
        <v>0</v>
      </c>
      <c r="N29" s="246">
        <f>INDEX('Precio Mayorista'!$D$76:$D$94,MATCH('Pagos Mayoristas'!C29,'Precio Mayorista'!$G$76:$G$94,0))*INDEX('Informacion del AEP'!$F$54:$N$72,MATCH('Pagos Mayoristas'!C29,'Informacion del AEP'!$C$54:$C$72,0),MATCH('Pagos Mayoristas'!$C$10,'Informacion del AEP'!$F$53:$N$53,0))</f>
        <v>4900000000</v>
      </c>
    </row>
    <row r="30" spans="2:14" x14ac:dyDescent="0.2">
      <c r="D30" s="94"/>
      <c r="F30" s="94"/>
    </row>
    <row r="31" spans="2:14" s="292" customFormat="1" x14ac:dyDescent="0.2">
      <c r="C31" s="293"/>
      <c r="D31" s="294"/>
      <c r="E31" s="295"/>
      <c r="F31" s="296"/>
      <c r="G31" s="295"/>
    </row>
    <row r="32" spans="2:14" s="292" customFormat="1" x14ac:dyDescent="0.2">
      <c r="E32" s="295"/>
      <c r="F32" s="296"/>
      <c r="G32" s="295"/>
    </row>
    <row r="33" spans="3:19" s="292" customFormat="1" x14ac:dyDescent="0.2">
      <c r="E33" s="295"/>
      <c r="F33" s="249"/>
      <c r="G33" s="295"/>
    </row>
    <row r="34" spans="3:19" s="292" customFormat="1" x14ac:dyDescent="0.2">
      <c r="E34" s="295"/>
      <c r="G34" s="295"/>
    </row>
    <row r="35" spans="3:19" x14ac:dyDescent="0.2">
      <c r="D35" s="94"/>
    </row>
    <row r="36" spans="3:19" x14ac:dyDescent="0.2">
      <c r="C36" s="89" t="str">
        <f>Supuestos!$B$76</f>
        <v>Segmento Prepago</v>
      </c>
      <c r="D36" s="93">
        <f>SUM(D37:D55)</f>
        <v>839599226.15384614</v>
      </c>
      <c r="E36" s="90"/>
      <c r="F36" s="93">
        <f>SUM(F37:F55)</f>
        <v>0</v>
      </c>
      <c r="G36" s="90"/>
      <c r="H36" s="90"/>
      <c r="I36" s="93">
        <f>INDEX('Informacion del AEP'!$H$29:$H$48,MATCH('Pagos Mayoristas'!C36,'Informacion del AEP'!$C$29:$C$48,0))*'Hoja Auxiliar'!$D$61</f>
        <v>32000000</v>
      </c>
      <c r="J36" s="93"/>
      <c r="K36" s="93"/>
      <c r="L36" s="241">
        <f>$L$10*(INDEX('Informacion del AEP'!$F$12:$N$12,MATCH('Pagos Mayoristas'!C36,'Informacion del AEP'!$F$11:$N$11,0))/INDEX('Informacion del AEP'!$F$12:$N$12,MATCH('Pagos Mayoristas'!$C$10,'Informacion del AEP'!$F$11:$N$11,0)))</f>
        <v>403532.60869565222</v>
      </c>
      <c r="M36" s="241"/>
      <c r="N36" s="93">
        <f>SUM(N37:N55)</f>
        <v>1617953550</v>
      </c>
      <c r="O36" s="241">
        <f>SUM(D36:N36)</f>
        <v>2489956308.7625418</v>
      </c>
      <c r="P36" s="96"/>
      <c r="Q36" s="96"/>
      <c r="R36" s="45"/>
      <c r="S36" s="45"/>
    </row>
    <row r="37" spans="3:19" x14ac:dyDescent="0.2">
      <c r="C37" s="211" t="str">
        <f>IF(Supuestos!B48="","",Supuestos!B48)</f>
        <v>Datos</v>
      </c>
      <c r="D37" s="94">
        <f>INDEX('Informacion del AEP'!$F$54:$N$72,MATCH('Pagos Mayoristas'!$C37,'Informacion del AEP'!$C$54:$C$72,0),MATCH('Pagos Mayoristas'!C$36,'Informacion del AEP'!$F$53:$N$53,0))*INDEX('Hoja Auxiliar'!$D$40:$D$58,MATCH('Pagos Mayoristas'!$C37,'Hoja Auxiliar'!$C$40:$C$58,0))</f>
        <v>474375000</v>
      </c>
      <c r="E37" s="211"/>
      <c r="F37" s="287">
        <f>IF(C37="","",('Precio Mayorista'!$D$100*INDEX('Informacion del AEP'!$D$54:$N$72,MATCH(C37,'Informacion del AEP'!$C$54:$C$72,0),MATCH($C$36,'Informacion del AEP'!$D$53:$N$53,0))*INDEX('Informacion del AEP'!$F$133:$F$151,MATCH(C37,'Informacion del AEP'!$C$133:$C$151,0))))</f>
        <v>0</v>
      </c>
      <c r="G37" s="211"/>
      <c r="H37" s="211"/>
      <c r="I37" s="211"/>
      <c r="N37" s="246">
        <f>INDEX('Precio Mayorista'!$D$76:$D$94,MATCH('Pagos Mayoristas'!C37,'Precio Mayorista'!$G$76:$G$94,0))*INDEX('Informacion del AEP'!$F$54:$N$72,MATCH('Pagos Mayoristas'!C37,'Informacion del AEP'!$C$54:$C$72,0),MATCH('Pagos Mayoristas'!$C$36,'Informacion del AEP'!$F$53:$N$53,0))</f>
        <v>0</v>
      </c>
    </row>
    <row r="38" spans="3:19" x14ac:dyDescent="0.2">
      <c r="C38" s="211" t="str">
        <f>IF(Supuestos!B49="","",Supuestos!B49)</f>
        <v>Originación voz on-net local</v>
      </c>
      <c r="D38" s="94">
        <f>INDEX('Informacion del AEP'!$F$54:$N$72,MATCH('Pagos Mayoristas'!$C38,'Informacion del AEP'!$C$54:$C$72,0),MATCH('Pagos Mayoristas'!C$36,'Informacion del AEP'!$F$53:$N$53,0))*INDEX('Hoja Auxiliar'!$D$40:$D$58,MATCH('Pagos Mayoristas'!$C38,'Hoja Auxiliar'!$C$40:$C$58,0))</f>
        <v>97076923.076923072</v>
      </c>
      <c r="E38" s="211"/>
      <c r="F38" s="287">
        <f>IF(C38="","",('Precio Mayorista'!$D$100*INDEX('Informacion del AEP'!$D$54:$N$72,MATCH(C38,'Informacion del AEP'!$C$54:$C$72,0),MATCH($C$36,'Informacion del AEP'!$D$53:$N$53,0))*INDEX('Informacion del AEP'!$F$133:$F$151,MATCH(C38,'Informacion del AEP'!$C$133:$C$151,0))))</f>
        <v>0</v>
      </c>
      <c r="G38" s="211"/>
      <c r="H38" s="211"/>
      <c r="I38" s="211"/>
      <c r="N38" s="246">
        <f>INDEX('Precio Mayorista'!$D$76:$D$94,MATCH('Pagos Mayoristas'!C38,'Precio Mayorista'!$G$76:$G$94,0))*INDEX('Informacion del AEP'!$F$54:$N$72,MATCH('Pagos Mayoristas'!C38,'Informacion del AEP'!$C$54:$C$72,0),MATCH('Pagos Mayoristas'!$C$36,'Informacion del AEP'!$F$53:$N$53,0))</f>
        <v>0</v>
      </c>
    </row>
    <row r="39" spans="3:19" x14ac:dyDescent="0.2">
      <c r="C39" s="211" t="str">
        <f>IF(Supuestos!B50="","",Supuestos!B50)</f>
        <v>Originación voz off-net móvil local</v>
      </c>
      <c r="D39" s="94">
        <f>INDEX('Informacion del AEP'!$F$54:$N$72,MATCH('Pagos Mayoristas'!$C39,'Informacion del AEP'!$C$54:$C$72,0),MATCH('Pagos Mayoristas'!C$36,'Informacion del AEP'!$F$53:$N$53,0))*INDEX('Hoja Auxiliar'!$D$40:$D$58,MATCH('Pagos Mayoristas'!$C39,'Hoja Auxiliar'!$C$40:$C$58,0))</f>
        <v>19415384.615384612</v>
      </c>
      <c r="E39" s="211"/>
      <c r="F39" s="287">
        <f>IF(C39="","",('Precio Mayorista'!$D$100*INDEX('Informacion del AEP'!$D$54:$N$72,MATCH(C39,'Informacion del AEP'!$C$54:$C$72,0),MATCH($C$36,'Informacion del AEP'!$D$53:$N$53,0))*INDEX('Informacion del AEP'!$F$133:$F$151,MATCH(C39,'Informacion del AEP'!$C$133:$C$151,0))))</f>
        <v>0</v>
      </c>
      <c r="G39" s="211"/>
      <c r="H39" s="211"/>
      <c r="I39" s="211"/>
      <c r="N39" s="246">
        <f>INDEX('Precio Mayorista'!$D$76:$D$94,MATCH('Pagos Mayoristas'!C39,'Precio Mayorista'!$G$76:$G$94,0))*INDEX('Informacion del AEP'!$F$54:$N$72,MATCH('Pagos Mayoristas'!C39,'Informacion del AEP'!$C$54:$C$72,0),MATCH('Pagos Mayoristas'!$C$36,'Informacion del AEP'!$F$53:$N$53,0))</f>
        <v>41017799.999999993</v>
      </c>
    </row>
    <row r="40" spans="3:19" x14ac:dyDescent="0.2">
      <c r="C40" s="211" t="str">
        <f>IF(Supuestos!B51="","",Supuestos!B51)</f>
        <v>Originación voz off-net fijo local</v>
      </c>
      <c r="D40" s="94">
        <f>INDEX('Informacion del AEP'!$F$54:$N$72,MATCH('Pagos Mayoristas'!$C40,'Informacion del AEP'!$C$54:$C$72,0),MATCH('Pagos Mayoristas'!C$36,'Informacion del AEP'!$F$53:$N$53,0))*INDEX('Hoja Auxiliar'!$D$40:$D$58,MATCH('Pagos Mayoristas'!$C40,'Hoja Auxiliar'!$C$40:$C$58,0))</f>
        <v>9707692.3076923061</v>
      </c>
      <c r="E40" s="211"/>
      <c r="F40" s="287">
        <f>IF(C40="","",('Precio Mayorista'!$D$100*INDEX('Informacion del AEP'!$D$54:$N$72,MATCH(C40,'Informacion del AEP'!$C$54:$C$72,0),MATCH($C$36,'Informacion del AEP'!$D$53:$N$53,0))*INDEX('Informacion del AEP'!$F$133:$F$151,MATCH(C40,'Informacion del AEP'!$C$133:$C$151,0))))</f>
        <v>0</v>
      </c>
      <c r="G40" s="211"/>
      <c r="H40" s="211"/>
      <c r="I40" s="211"/>
      <c r="N40" s="246">
        <f>INDEX('Precio Mayorista'!$D$76:$D$94,MATCH('Pagos Mayoristas'!C40,'Precio Mayorista'!$G$76:$G$94,0))*INDEX('Informacion del AEP'!$F$54:$N$72,MATCH('Pagos Mayoristas'!C40,'Informacion del AEP'!$C$54:$C$72,0),MATCH('Pagos Mayoristas'!$C$36,'Informacion del AEP'!$F$53:$N$53,0))</f>
        <v>1056000</v>
      </c>
    </row>
    <row r="41" spans="3:19" x14ac:dyDescent="0.2">
      <c r="C41" s="211" t="str">
        <f>IF(Supuestos!B52="","",Supuestos!B52)</f>
        <v>Originación voz on-net LDN</v>
      </c>
      <c r="D41" s="94">
        <f>INDEX('Informacion del AEP'!$F$54:$N$72,MATCH('Pagos Mayoristas'!$C41,'Informacion del AEP'!$C$54:$C$72,0),MATCH('Pagos Mayoristas'!C$36,'Informacion del AEP'!$F$53:$N$53,0))*INDEX('Hoja Auxiliar'!$D$40:$D$58,MATCH('Pagos Mayoristas'!$C41,'Hoja Auxiliar'!$C$40:$C$58,0))</f>
        <v>145615384.61538461</v>
      </c>
      <c r="E41" s="211"/>
      <c r="F41" s="287">
        <f>IF(C41="","",('Precio Mayorista'!$D$100*INDEX('Informacion del AEP'!$D$54:$N$72,MATCH(C41,'Informacion del AEP'!$C$54:$C$72,0),MATCH($C$36,'Informacion del AEP'!$D$53:$N$53,0))*INDEX('Informacion del AEP'!$F$133:$F$151,MATCH(C41,'Informacion del AEP'!$C$133:$C$151,0))))</f>
        <v>0</v>
      </c>
      <c r="G41" s="211"/>
      <c r="H41" s="211"/>
      <c r="I41" s="211"/>
      <c r="N41" s="246">
        <f>INDEX('Precio Mayorista'!$D$76:$D$94,MATCH('Pagos Mayoristas'!C41,'Precio Mayorista'!$G$76:$G$94,0))*INDEX('Informacion del AEP'!$F$54:$N$72,MATCH('Pagos Mayoristas'!C41,'Informacion del AEP'!$C$54:$C$72,0),MATCH('Pagos Mayoristas'!$C$36,'Informacion del AEP'!$F$53:$N$53,0))</f>
        <v>0</v>
      </c>
    </row>
    <row r="42" spans="3:19" x14ac:dyDescent="0.2">
      <c r="C42" s="211" t="str">
        <f>IF(Supuestos!B53="","",Supuestos!B53)</f>
        <v>Originación voz off-net móvil LDN</v>
      </c>
      <c r="D42" s="94">
        <f>INDEX('Informacion del AEP'!$F$54:$N$72,MATCH('Pagos Mayoristas'!$C42,'Informacion del AEP'!$C$54:$C$72,0),MATCH('Pagos Mayoristas'!C$36,'Informacion del AEP'!$F$53:$N$53,0))*INDEX('Hoja Auxiliar'!$D$40:$D$58,MATCH('Pagos Mayoristas'!$C42,'Hoja Auxiliar'!$C$40:$C$58,0))</f>
        <v>14561538.46153846</v>
      </c>
      <c r="E42" s="211"/>
      <c r="F42" s="287">
        <f>IF(C42="","",('Precio Mayorista'!$D$100*INDEX('Informacion del AEP'!$D$54:$N$72,MATCH(C42,'Informacion del AEP'!$C$54:$C$72,0),MATCH($C$36,'Informacion del AEP'!$D$53:$N$53,0))*INDEX('Informacion del AEP'!$F$133:$F$151,MATCH(C42,'Informacion del AEP'!$C$133:$C$151,0))))</f>
        <v>0</v>
      </c>
      <c r="G42" s="211"/>
      <c r="H42" s="211"/>
      <c r="I42" s="211"/>
      <c r="N42" s="246">
        <f>INDEX('Precio Mayorista'!$D$76:$D$94,MATCH('Pagos Mayoristas'!C42,'Precio Mayorista'!$G$76:$G$94,0))*INDEX('Informacion del AEP'!$F$54:$N$72,MATCH('Pagos Mayoristas'!C42,'Informacion del AEP'!$C$54:$C$72,0),MATCH('Pagos Mayoristas'!$C$36,'Informacion del AEP'!$F$53:$N$53,0))</f>
        <v>30763349.999999996</v>
      </c>
    </row>
    <row r="43" spans="3:19" x14ac:dyDescent="0.2">
      <c r="C43" s="211" t="str">
        <f>IF(Supuestos!B54="","",Supuestos!B54)</f>
        <v>Originación voz off-net fijo LDN</v>
      </c>
      <c r="D43" s="94">
        <f>INDEX('Informacion del AEP'!$F$54:$N$72,MATCH('Pagos Mayoristas'!$C43,'Informacion del AEP'!$C$54:$C$72,0),MATCH('Pagos Mayoristas'!C$36,'Informacion del AEP'!$F$53:$N$53,0))*INDEX('Hoja Auxiliar'!$D$40:$D$58,MATCH('Pagos Mayoristas'!$C43,'Hoja Auxiliar'!$C$40:$C$58,0))</f>
        <v>4853846.1538461531</v>
      </c>
      <c r="E43" s="211"/>
      <c r="F43" s="287">
        <f>IF(C43="","",('Precio Mayorista'!$D$100*INDEX('Informacion del AEP'!$D$54:$N$72,MATCH(C43,'Informacion del AEP'!$C$54:$C$72,0),MATCH($C$36,'Informacion del AEP'!$D$53:$N$53,0))*INDEX('Informacion del AEP'!$F$133:$F$151,MATCH(C43,'Informacion del AEP'!$C$133:$C$151,0))))</f>
        <v>0</v>
      </c>
      <c r="G43" s="211"/>
      <c r="H43" s="211"/>
      <c r="I43" s="211"/>
      <c r="N43" s="246">
        <f>INDEX('Precio Mayorista'!$D$76:$D$94,MATCH('Pagos Mayoristas'!C43,'Precio Mayorista'!$G$76:$G$94,0))*INDEX('Informacion del AEP'!$F$54:$N$72,MATCH('Pagos Mayoristas'!C43,'Informacion del AEP'!$C$54:$C$72,0),MATCH('Pagos Mayoristas'!$C$36,'Informacion del AEP'!$F$53:$N$53,0))</f>
        <v>528000</v>
      </c>
    </row>
    <row r="44" spans="3:19" x14ac:dyDescent="0.2">
      <c r="C44" s="211" t="str">
        <f>IF(Supuestos!B55="","",Supuestos!B55)</f>
        <v>Originación voz internacional USA-Canadá</v>
      </c>
      <c r="D44" s="94">
        <f>INDEX('Informacion del AEP'!$F$54:$N$72,MATCH('Pagos Mayoristas'!$C44,'Informacion del AEP'!$C$54:$C$72,0),MATCH('Pagos Mayoristas'!C$36,'Informacion del AEP'!$F$53:$N$53,0))*INDEX('Hoja Auxiliar'!$D$40:$D$58,MATCH('Pagos Mayoristas'!$C44,'Hoja Auxiliar'!$C$40:$C$58,0))</f>
        <v>12619999.999999998</v>
      </c>
      <c r="E44" s="211"/>
      <c r="F44" s="287">
        <f>IF(C44="","",('Precio Mayorista'!$D$100*INDEX('Informacion del AEP'!$D$54:$N$72,MATCH(C44,'Informacion del AEP'!$C$54:$C$72,0),MATCH($C$36,'Informacion del AEP'!$D$53:$N$53,0))*INDEX('Informacion del AEP'!$F$133:$F$151,MATCH(C44,'Informacion del AEP'!$C$133:$C$151,0))))</f>
        <v>0</v>
      </c>
      <c r="G44" s="211"/>
      <c r="H44" s="211"/>
      <c r="I44" s="211"/>
      <c r="N44" s="246">
        <f>INDEX('Precio Mayorista'!$D$76:$D$94,MATCH('Pagos Mayoristas'!C44,'Precio Mayorista'!$G$76:$G$94,0))*INDEX('Informacion del AEP'!$F$54:$N$72,MATCH('Pagos Mayoristas'!C44,'Informacion del AEP'!$C$54:$C$72,0),MATCH('Pagos Mayoristas'!$C$36,'Informacion del AEP'!$F$53:$N$53,0))</f>
        <v>35100000</v>
      </c>
    </row>
    <row r="45" spans="3:19" x14ac:dyDescent="0.2">
      <c r="C45" s="211" t="str">
        <f>IF(Supuestos!B56="","",Supuestos!B56)</f>
        <v>Originación voz internacional Mundial Centroamérica</v>
      </c>
      <c r="D45" s="94">
        <f>INDEX('Informacion del AEP'!$F$54:$N$72,MATCH('Pagos Mayoristas'!$C45,'Informacion del AEP'!$C$54:$C$72,0),MATCH('Pagos Mayoristas'!C$36,'Informacion del AEP'!$F$53:$N$53,0))*INDEX('Hoja Auxiliar'!$D$40:$D$58,MATCH('Pagos Mayoristas'!$C45,'Hoja Auxiliar'!$C$40:$C$58,0))</f>
        <v>29123.076923076922</v>
      </c>
      <c r="E45" s="211"/>
      <c r="F45" s="287">
        <f>IF(C45="","",('Precio Mayorista'!$D$100*INDEX('Informacion del AEP'!$D$54:$N$72,MATCH(C45,'Informacion del AEP'!$C$54:$C$72,0),MATCH($C$36,'Informacion del AEP'!$D$53:$N$53,0))*INDEX('Informacion del AEP'!$F$133:$F$151,MATCH(C45,'Informacion del AEP'!$C$133:$C$151,0))))</f>
        <v>0</v>
      </c>
      <c r="G45" s="211"/>
      <c r="H45" s="211"/>
      <c r="I45" s="211"/>
      <c r="N45" s="246">
        <f>INDEX('Precio Mayorista'!$D$76:$D$94,MATCH('Pagos Mayoristas'!C45,'Precio Mayorista'!$G$76:$G$94,0))*INDEX('Informacion del AEP'!$F$54:$N$72,MATCH('Pagos Mayoristas'!C45,'Informacion del AEP'!$C$54:$C$72,0),MATCH('Pagos Mayoristas'!$C$36,'Informacion del AEP'!$F$53:$N$53,0))</f>
        <v>2250000</v>
      </c>
    </row>
    <row r="46" spans="3:19" x14ac:dyDescent="0.2">
      <c r="C46" s="211" t="str">
        <f>IF(Supuestos!B57="","",Supuestos!B57)</f>
        <v>Originación voz internacional Mundial LATAM y Caribe</v>
      </c>
      <c r="D46" s="94">
        <f>INDEX('Informacion del AEP'!$F$54:$N$72,MATCH('Pagos Mayoristas'!$C46,'Informacion del AEP'!$C$54:$C$72,0),MATCH('Pagos Mayoristas'!C$36,'Informacion del AEP'!$F$53:$N$53,0))*INDEX('Hoja Auxiliar'!$D$40:$D$58,MATCH('Pagos Mayoristas'!$C46,'Hoja Auxiliar'!$C$40:$C$58,0))</f>
        <v>1941.5384615384614</v>
      </c>
      <c r="E46" s="211"/>
      <c r="F46" s="287">
        <f>IF(C46="","",('Precio Mayorista'!$D$100*INDEX('Informacion del AEP'!$D$54:$N$72,MATCH(C46,'Informacion del AEP'!$C$54:$C$72,0),MATCH($C$36,'Informacion del AEP'!$D$53:$N$53,0))*INDEX('Informacion del AEP'!$F$133:$F$151,MATCH(C46,'Informacion del AEP'!$C$133:$C$151,0))))</f>
        <v>0</v>
      </c>
      <c r="G46" s="211"/>
      <c r="H46" s="211"/>
      <c r="I46" s="211"/>
      <c r="N46" s="246">
        <f>INDEX('Precio Mayorista'!$D$76:$D$94,MATCH('Pagos Mayoristas'!C46,'Precio Mayorista'!$G$76:$G$94,0))*INDEX('Informacion del AEP'!$F$54:$N$72,MATCH('Pagos Mayoristas'!C46,'Informacion del AEP'!$C$54:$C$72,0),MATCH('Pagos Mayoristas'!$C$36,'Informacion del AEP'!$F$53:$N$53,0))</f>
        <v>300000</v>
      </c>
    </row>
    <row r="47" spans="3:19" x14ac:dyDescent="0.2">
      <c r="C47" s="211" t="str">
        <f>IF(Supuestos!B58="","",Supuestos!B58)</f>
        <v>Originación voz internacional Europa</v>
      </c>
      <c r="D47" s="94">
        <f>INDEX('Informacion del AEP'!$F$54:$N$72,MATCH('Pagos Mayoristas'!$C47,'Informacion del AEP'!$C$54:$C$72,0),MATCH('Pagos Mayoristas'!C$36,'Informacion del AEP'!$F$53:$N$53,0))*INDEX('Hoja Auxiliar'!$D$40:$D$58,MATCH('Pagos Mayoristas'!$C47,'Hoja Auxiliar'!$C$40:$C$58,0))</f>
        <v>0</v>
      </c>
      <c r="E47" s="211"/>
      <c r="F47" s="287">
        <f>IF(C47="","",('Precio Mayorista'!$D$100*INDEX('Informacion del AEP'!$D$54:$N$72,MATCH(C47,'Informacion del AEP'!$C$54:$C$72,0),MATCH($C$36,'Informacion del AEP'!$D$53:$N$53,0))*INDEX('Informacion del AEP'!$F$133:$F$151,MATCH(C47,'Informacion del AEP'!$C$133:$C$151,0))))</f>
        <v>0</v>
      </c>
      <c r="G47" s="211"/>
      <c r="H47" s="211"/>
      <c r="I47" s="211"/>
      <c r="N47" s="246">
        <f>INDEX('Precio Mayorista'!$D$76:$D$94,MATCH('Pagos Mayoristas'!C47,'Precio Mayorista'!$G$76:$G$94,0))*INDEX('Informacion del AEP'!$F$54:$N$72,MATCH('Pagos Mayoristas'!C47,'Informacion del AEP'!$C$54:$C$72,0),MATCH('Pagos Mayoristas'!$C$36,'Informacion del AEP'!$F$53:$N$53,0))</f>
        <v>0</v>
      </c>
    </row>
    <row r="48" spans="3:19" x14ac:dyDescent="0.2">
      <c r="C48" s="211" t="str">
        <f>IF(Supuestos!B59="","",Supuestos!B59)</f>
        <v>Originación voz internacional Mundial Otros geográficos</v>
      </c>
      <c r="D48" s="94">
        <f>INDEX('Informacion del AEP'!$F$54:$N$72,MATCH('Pagos Mayoristas'!$C48,'Informacion del AEP'!$C$54:$C$72,0),MATCH('Pagos Mayoristas'!C$36,'Informacion del AEP'!$F$53:$N$53,0))*INDEX('Hoja Auxiliar'!$D$40:$D$58,MATCH('Pagos Mayoristas'!$C48,'Hoja Auxiliar'!$C$40:$C$58,0))</f>
        <v>97076.923076923063</v>
      </c>
      <c r="E48" s="211"/>
      <c r="F48" s="287">
        <f>IF(C48="","",('Precio Mayorista'!$D$100*INDEX('Informacion del AEP'!$D$54:$N$72,MATCH(C48,'Informacion del AEP'!$C$54:$C$72,0),MATCH($C$36,'Informacion del AEP'!$D$53:$N$53,0))*INDEX('Informacion del AEP'!$F$133:$F$151,MATCH(C48,'Informacion del AEP'!$C$133:$C$151,0))))</f>
        <v>0</v>
      </c>
      <c r="G48" s="211"/>
      <c r="H48" s="211"/>
      <c r="I48" s="211"/>
      <c r="N48" s="246">
        <f>INDEX('Precio Mayorista'!$D$76:$D$94,MATCH('Pagos Mayoristas'!C48,'Precio Mayorista'!$G$76:$G$94,0))*INDEX('Informacion del AEP'!$F$54:$N$72,MATCH('Pagos Mayoristas'!C48,'Informacion del AEP'!$C$54:$C$72,0),MATCH('Pagos Mayoristas'!$C$36,'Informacion del AEP'!$F$53:$N$53,0))</f>
        <v>15000000</v>
      </c>
    </row>
    <row r="49" spans="3:20" x14ac:dyDescent="0.2">
      <c r="C49" s="211" t="str">
        <f>IF(Supuestos!B60="","",Supuestos!B60)</f>
        <v>Originación voz internacional Cuba</v>
      </c>
      <c r="D49" s="94">
        <f>INDEX('Informacion del AEP'!$F$54:$N$72,MATCH('Pagos Mayoristas'!$C49,'Informacion del AEP'!$C$54:$C$72,0),MATCH('Pagos Mayoristas'!C$36,'Informacion del AEP'!$F$53:$N$53,0))*INDEX('Hoja Auxiliar'!$D$40:$D$58,MATCH('Pagos Mayoristas'!$C49,'Hoja Auxiliar'!$C$40:$C$58,0))</f>
        <v>4853.8461538461534</v>
      </c>
      <c r="E49" s="211"/>
      <c r="F49" s="287">
        <f>IF(C49="","",('Precio Mayorista'!$D$100*INDEX('Informacion del AEP'!$D$54:$N$72,MATCH(C49,'Informacion del AEP'!$C$54:$C$72,0),MATCH($C$36,'Informacion del AEP'!$D$53:$N$53,0))*INDEX('Informacion del AEP'!$F$133:$F$151,MATCH(C49,'Informacion del AEP'!$C$133:$C$151,0))))</f>
        <v>0</v>
      </c>
      <c r="G49" s="211"/>
      <c r="H49" s="211"/>
      <c r="I49" s="211"/>
      <c r="N49" s="246">
        <f>INDEX('Precio Mayorista'!$D$76:$D$94,MATCH('Pagos Mayoristas'!C49,'Precio Mayorista'!$G$76:$G$94,0))*INDEX('Informacion del AEP'!$F$54:$N$72,MATCH('Pagos Mayoristas'!C49,'Informacion del AEP'!$C$54:$C$72,0),MATCH('Pagos Mayoristas'!$C$36,'Informacion del AEP'!$F$53:$N$53,0))</f>
        <v>2250000</v>
      </c>
    </row>
    <row r="50" spans="3:20" x14ac:dyDescent="0.2">
      <c r="C50" s="211" t="str">
        <f>IF(Supuestos!B61="","",Supuestos!B61)</f>
        <v>Originación voz Mundial destinos no geográficos</v>
      </c>
      <c r="D50" s="94">
        <f>INDEX('Informacion del AEP'!$F$54:$N$72,MATCH('Pagos Mayoristas'!$C50,'Informacion del AEP'!$C$54:$C$72,0),MATCH('Pagos Mayoristas'!C$36,'Informacion del AEP'!$F$53:$N$53,0))*INDEX('Hoja Auxiliar'!$D$40:$D$58,MATCH('Pagos Mayoristas'!$C50,'Hoja Auxiliar'!$C$40:$C$58,0))</f>
        <v>0</v>
      </c>
      <c r="E50" s="211"/>
      <c r="F50" s="287">
        <f>IF(C50="","",('Precio Mayorista'!$D$100*INDEX('Informacion del AEP'!$D$54:$N$72,MATCH(C50,'Informacion del AEP'!$C$54:$C$72,0),MATCH($C$36,'Informacion del AEP'!$D$53:$N$53,0))*INDEX('Informacion del AEP'!$F$133:$F$151,MATCH(C50,'Informacion del AEP'!$C$133:$C$151,0))))</f>
        <v>0</v>
      </c>
      <c r="G50" s="211"/>
      <c r="H50" s="211"/>
      <c r="I50" s="211"/>
      <c r="N50" s="246">
        <f>INDEX('Precio Mayorista'!$D$76:$D$94,MATCH('Pagos Mayoristas'!C50,'Precio Mayorista'!$G$76:$G$94,0))*INDEX('Informacion del AEP'!$F$54:$N$72,MATCH('Pagos Mayoristas'!C50,'Informacion del AEP'!$C$54:$C$72,0),MATCH('Pagos Mayoristas'!$C$36,'Informacion del AEP'!$F$53:$N$53,0))</f>
        <v>0</v>
      </c>
    </row>
    <row r="51" spans="3:20" x14ac:dyDescent="0.2">
      <c r="C51" s="211" t="str">
        <f>IF(Supuestos!B62="","",Supuestos!B62)</f>
        <v>Originación SMS on-net</v>
      </c>
      <c r="D51" s="94">
        <f>INDEX('Informacion del AEP'!$F$54:$N$72,MATCH('Pagos Mayoristas'!$C51,'Informacion del AEP'!$C$54:$C$72,0),MATCH('Pagos Mayoristas'!C$36,'Informacion del AEP'!$F$53:$N$53,0))*INDEX('Hoja Auxiliar'!$D$40:$D$58,MATCH('Pagos Mayoristas'!$C51,'Hoja Auxiliar'!$C$40:$C$58,0))</f>
        <v>9733333.3333333321</v>
      </c>
      <c r="E51" s="211"/>
      <c r="F51" s="287">
        <f>IF(C51="","",('Precio Mayorista'!$D$100*INDEX('Informacion del AEP'!$D$54:$N$72,MATCH(C51,'Informacion del AEP'!$C$54:$C$72,0),MATCH($C$36,'Informacion del AEP'!$D$53:$N$53,0))*INDEX('Informacion del AEP'!$F$133:$F$151,MATCH(C51,'Informacion del AEP'!$C$133:$C$151,0))))</f>
        <v>0</v>
      </c>
      <c r="G51" s="211"/>
      <c r="H51" s="211"/>
      <c r="I51" s="211"/>
      <c r="N51" s="246">
        <f>INDEX('Precio Mayorista'!$D$76:$D$94,MATCH('Pagos Mayoristas'!C51,'Precio Mayorista'!$G$76:$G$94,0))*INDEX('Informacion del AEP'!$F$54:$N$72,MATCH('Pagos Mayoristas'!C51,'Informacion del AEP'!$C$54:$C$72,0),MATCH('Pagos Mayoristas'!$C$36,'Informacion del AEP'!$F$53:$N$53,0))</f>
        <v>0</v>
      </c>
    </row>
    <row r="52" spans="3:20" x14ac:dyDescent="0.2">
      <c r="C52" s="211" t="str">
        <f>IF(Supuestos!B63="","",Supuestos!B63)</f>
        <v>Originación SMS - off-net nacional</v>
      </c>
      <c r="D52" s="94">
        <f>INDEX('Informacion del AEP'!$F$54:$N$72,MATCH('Pagos Mayoristas'!$C52,'Informacion del AEP'!$C$54:$C$72,0),MATCH('Pagos Mayoristas'!C$36,'Informacion del AEP'!$F$53:$N$53,0))*INDEX('Hoja Auxiliar'!$D$40:$D$58,MATCH('Pagos Mayoristas'!$C52,'Hoja Auxiliar'!$C$40:$C$58,0))</f>
        <v>2433333.333333333</v>
      </c>
      <c r="E52" s="211"/>
      <c r="F52" s="287">
        <f>IF(C52="","",('Precio Mayorista'!$D$100*INDEX('Informacion del AEP'!$D$54:$N$72,MATCH(C52,'Informacion del AEP'!$C$54:$C$72,0),MATCH($C$36,'Informacion del AEP'!$D$53:$N$53,0))*INDEX('Informacion del AEP'!$F$133:$F$151,MATCH(C52,'Informacion del AEP'!$C$133:$C$151,0))))</f>
        <v>0</v>
      </c>
      <c r="G52" s="211"/>
      <c r="H52" s="211"/>
      <c r="I52" s="211"/>
      <c r="N52" s="246">
        <f>INDEX('Precio Mayorista'!$D$76:$D$94,MATCH('Pagos Mayoristas'!C52,'Precio Mayorista'!$G$76:$G$94,0))*INDEX('Informacion del AEP'!$F$54:$N$72,MATCH('Pagos Mayoristas'!C52,'Informacion del AEP'!$C$54:$C$72,0),MATCH('Pagos Mayoristas'!$C$36,'Informacion del AEP'!$F$53:$N$53,0))</f>
        <v>2438400</v>
      </c>
    </row>
    <row r="53" spans="3:20" x14ac:dyDescent="0.2">
      <c r="C53" s="211" t="str">
        <f>IF(Supuestos!B64="","",Supuestos!B64)</f>
        <v>Originación SMS internacional (USA-Canadá)</v>
      </c>
      <c r="D53" s="94">
        <f>INDEX('Informacion del AEP'!$F$54:$N$72,MATCH('Pagos Mayoristas'!$C53,'Informacion del AEP'!$C$54:$C$72,0),MATCH('Pagos Mayoristas'!C$36,'Informacion del AEP'!$F$53:$N$53,0))*INDEX('Hoja Auxiliar'!$D$40:$D$58,MATCH('Pagos Mayoristas'!$C53,'Hoja Auxiliar'!$C$40:$C$58,0))</f>
        <v>486666.66666666663</v>
      </c>
      <c r="E53" s="211"/>
      <c r="F53" s="287">
        <f>IF(C53="","",('Precio Mayorista'!$D$100*INDEX('Informacion del AEP'!$D$54:$N$72,MATCH(C53,'Informacion del AEP'!$C$54:$C$72,0),MATCH($C$36,'Informacion del AEP'!$D$53:$N$53,0))*INDEX('Informacion del AEP'!$F$133:$F$151,MATCH(C53,'Informacion del AEP'!$C$133:$C$151,0))))</f>
        <v>0</v>
      </c>
      <c r="G53" s="211"/>
      <c r="H53" s="211"/>
      <c r="I53" s="211"/>
      <c r="N53" s="246">
        <f>INDEX('Precio Mayorista'!$D$76:$D$94,MATCH('Pagos Mayoristas'!C53,'Precio Mayorista'!$G$76:$G$94,0))*INDEX('Informacion del AEP'!$F$54:$N$72,MATCH('Pagos Mayoristas'!C53,'Informacion del AEP'!$C$54:$C$72,0),MATCH('Pagos Mayoristas'!$C$36,'Informacion del AEP'!$F$53:$N$53,0))</f>
        <v>15000000</v>
      </c>
    </row>
    <row r="54" spans="3:20" x14ac:dyDescent="0.2">
      <c r="C54" s="211" t="str">
        <f>IF(Supuestos!B65="","",Supuestos!B65)</f>
        <v>Originación SMS internacional (Resto del Mundo)</v>
      </c>
      <c r="D54" s="94">
        <f>INDEX('Informacion del AEP'!$F$54:$N$72,MATCH('Pagos Mayoristas'!$C54,'Informacion del AEP'!$C$54:$C$72,0),MATCH('Pagos Mayoristas'!C$36,'Informacion del AEP'!$F$53:$N$53,0))*INDEX('Hoja Auxiliar'!$D$40:$D$58,MATCH('Pagos Mayoristas'!$C54,'Hoja Auxiliar'!$C$40:$C$58,0))</f>
        <v>48666.666666666664</v>
      </c>
      <c r="E54" s="211"/>
      <c r="F54" s="287">
        <f>IF(C54="","",('Precio Mayorista'!$D$100*INDEX('Informacion del AEP'!$D$54:$N$72,MATCH(C54,'Informacion del AEP'!$C$54:$C$72,0),MATCH($C$36,'Informacion del AEP'!$D$53:$N$53,0))*INDEX('Informacion del AEP'!$F$133:$F$151,MATCH(C54,'Informacion del AEP'!$C$133:$C$151,0))))</f>
        <v>0</v>
      </c>
      <c r="G54" s="211"/>
      <c r="H54" s="211"/>
      <c r="I54" s="211"/>
      <c r="N54" s="246">
        <f>INDEX('Precio Mayorista'!$D$76:$D$94,MATCH('Pagos Mayoristas'!C54,'Precio Mayorista'!$G$76:$G$94,0))*INDEX('Informacion del AEP'!$F$54:$N$72,MATCH('Pagos Mayoristas'!C54,'Informacion del AEP'!$C$54:$C$72,0),MATCH('Pagos Mayoristas'!$C$36,'Informacion del AEP'!$F$53:$N$53,0))</f>
        <v>2250000</v>
      </c>
    </row>
    <row r="55" spans="3:20" x14ac:dyDescent="0.2">
      <c r="C55" s="211" t="str">
        <f>IF(Supuestos!B66="","",Supuestos!B66)</f>
        <v>Otros servicios (incluyendo marcaciones especiales)</v>
      </c>
      <c r="D55" s="94">
        <f>INDEX('Informacion del AEP'!$F$54:$N$72,MATCH('Pagos Mayoristas'!$C55,'Informacion del AEP'!$C$54:$C$72,0),MATCH('Pagos Mayoristas'!C$36,'Informacion del AEP'!$F$53:$N$53,0))*INDEX('Hoja Auxiliar'!$D$40:$D$58,MATCH('Pagos Mayoristas'!$C55,'Hoja Auxiliar'!$C$40:$C$58,0))</f>
        <v>48538461.538461536</v>
      </c>
      <c r="E55" s="211"/>
      <c r="F55" s="287">
        <f>IF(C55="","",('Precio Mayorista'!$D$100*INDEX('Informacion del AEP'!$D$54:$N$72,MATCH(C55,'Informacion del AEP'!$C$54:$C$72,0),MATCH($C$36,'Informacion del AEP'!$D$53:$N$53,0))*INDEX('Informacion del AEP'!$F$133:$F$151,MATCH(C55,'Informacion del AEP'!$C$133:$C$151,0))))</f>
        <v>0</v>
      </c>
      <c r="G55" s="211"/>
      <c r="H55" s="211"/>
      <c r="I55" s="211"/>
      <c r="N55" s="246">
        <f>INDEX('Precio Mayorista'!$D$76:$D$94,MATCH('Pagos Mayoristas'!C55,'Precio Mayorista'!$G$76:$G$94,0))*INDEX('Informacion del AEP'!$F$54:$N$72,MATCH('Pagos Mayoristas'!C55,'Informacion del AEP'!$C$54:$C$72,0),MATCH('Pagos Mayoristas'!$C$36,'Informacion del AEP'!$F$53:$N$53,0))</f>
        <v>1470000000</v>
      </c>
    </row>
    <row r="56" spans="3:20" x14ac:dyDescent="0.2">
      <c r="C56" s="211"/>
      <c r="D56" s="94"/>
      <c r="E56" s="211"/>
      <c r="F56" s="94"/>
      <c r="G56" s="211"/>
      <c r="H56" s="211"/>
      <c r="I56" s="211"/>
      <c r="N56" s="246"/>
    </row>
    <row r="57" spans="3:20" x14ac:dyDescent="0.2">
      <c r="C57" s="76"/>
      <c r="D57" s="94"/>
      <c r="E57" s="211"/>
      <c r="F57" s="94"/>
      <c r="G57" s="211"/>
      <c r="H57" s="211"/>
      <c r="I57" s="211"/>
    </row>
    <row r="58" spans="3:20" x14ac:dyDescent="0.2">
      <c r="E58" s="211"/>
      <c r="F58" s="94"/>
      <c r="G58" s="211"/>
      <c r="H58" s="211"/>
      <c r="I58" s="211"/>
    </row>
    <row r="59" spans="3:20" x14ac:dyDescent="0.2">
      <c r="E59" s="211"/>
      <c r="F59" s="94"/>
      <c r="G59" s="211"/>
      <c r="H59" s="211"/>
      <c r="I59" s="211"/>
    </row>
    <row r="60" spans="3:20" x14ac:dyDescent="0.2">
      <c r="E60" s="211"/>
      <c r="F60" s="211"/>
      <c r="G60" s="211"/>
      <c r="H60" s="211"/>
      <c r="I60" s="211"/>
    </row>
    <row r="61" spans="3:20" x14ac:dyDescent="0.2">
      <c r="C61" s="211"/>
      <c r="D61" s="94"/>
      <c r="E61" s="211"/>
      <c r="F61" s="211"/>
      <c r="G61" s="211"/>
      <c r="H61" s="211"/>
      <c r="I61" s="211"/>
    </row>
    <row r="62" spans="3:20" x14ac:dyDescent="0.2">
      <c r="C62" s="89" t="str">
        <f>Supuestos!$B$77</f>
        <v>Segmento Pospago</v>
      </c>
      <c r="D62" s="93">
        <f>SUM(D63:D81)</f>
        <v>1959064861.025641</v>
      </c>
      <c r="E62" s="90"/>
      <c r="F62" s="93">
        <f>SUM(F63:F81)</f>
        <v>0</v>
      </c>
      <c r="G62" s="90"/>
      <c r="H62" s="90"/>
      <c r="I62" s="93">
        <f>INDEX('Informacion del AEP'!$H$29:$H$48,MATCH('Pagos Mayoristas'!C62,'Informacion del AEP'!$C$29:$C$48,0))*'Hoja Auxiliar'!$D$61</f>
        <v>4266666.666666667</v>
      </c>
      <c r="J62" s="5"/>
      <c r="K62" s="93"/>
      <c r="L62" s="241">
        <f>$L$10*(INDEX('Informacion del AEP'!$F$12:$N$12,MATCH('Pagos Mayoristas'!C62,'Informacion del AEP'!$F$11:$N$11,0))/INDEX('Informacion del AEP'!$F$12:$N$12,MATCH('Pagos Mayoristas'!$C$10,'Informacion del AEP'!$F$11:$N$11,0)))</f>
        <v>221467.39130434784</v>
      </c>
      <c r="M62" s="241"/>
      <c r="N62" s="93">
        <f>SUM(N63:N81)</f>
        <v>3775224950</v>
      </c>
      <c r="O62" s="241">
        <f>SUM(D62:N62)</f>
        <v>5738777945.0836124</v>
      </c>
      <c r="P62"/>
      <c r="Q62"/>
      <c r="R62"/>
      <c r="S62"/>
      <c r="T62"/>
    </row>
    <row r="63" spans="3:20" x14ac:dyDescent="0.2">
      <c r="C63" s="211" t="str">
        <f>IF(Supuestos!B48="","",Supuestos!B48)</f>
        <v>Datos</v>
      </c>
      <c r="D63" s="94">
        <f>INDEX('Informacion del AEP'!$F$54:$N$72,MATCH('Pagos Mayoristas'!$C63,'Informacion del AEP'!$C$54:$C$72,0),MATCH('Pagos Mayoristas'!C$62,'Informacion del AEP'!$F$53:$N$53,0))*INDEX('Hoja Auxiliar'!$D$40:$D$58,MATCH('Pagos Mayoristas'!$C63,'Hoja Auxiliar'!$C$40:$C$58,0))</f>
        <v>1106875000</v>
      </c>
      <c r="E63" s="211"/>
      <c r="F63" s="287">
        <f>IF(C63="","",('Precio Mayorista'!$D$100*INDEX('Informacion del AEP'!$D$54:$N$72,MATCH(C63,'Informacion del AEP'!$C$54:$C$72,0),MATCH($C$62,'Informacion del AEP'!$D$53:$N$53,0))*INDEX('Informacion del AEP'!$F$133:$F$151,MATCH(C63,'Informacion del AEP'!$C$133:$C$151,0))))</f>
        <v>0</v>
      </c>
      <c r="G63" s="211"/>
      <c r="H63" s="211"/>
      <c r="I63" s="211"/>
      <c r="N63" s="246">
        <f>INDEX('Precio Mayorista'!$D$76:$D$94,MATCH('Pagos Mayoristas'!C63,'Precio Mayorista'!$G$76:$G$94,0))*INDEX('Informacion del AEP'!$F$54:$N$72,MATCH('Pagos Mayoristas'!C63,'Informacion del AEP'!$C$54:$C$72,0),MATCH('Pagos Mayoristas'!$C$62,'Informacion del AEP'!$F$53:$N$53,0))</f>
        <v>0</v>
      </c>
    </row>
    <row r="64" spans="3:20" x14ac:dyDescent="0.2">
      <c r="C64" s="211" t="str">
        <f>IF(Supuestos!B49="","",Supuestos!B49)</f>
        <v>Originación voz on-net local</v>
      </c>
      <c r="D64" s="94">
        <f>INDEX('Informacion del AEP'!$F$54:$N$72,MATCH('Pagos Mayoristas'!$C64,'Informacion del AEP'!$C$54:$C$72,0),MATCH('Pagos Mayoristas'!C$62,'Informacion del AEP'!$F$53:$N$53,0))*INDEX('Hoja Auxiliar'!$D$40:$D$58,MATCH('Pagos Mayoristas'!$C64,'Hoja Auxiliar'!$C$40:$C$58,0))</f>
        <v>226512820.51282048</v>
      </c>
      <c r="E64" s="211"/>
      <c r="F64" s="287">
        <f>IF(C64="","",('Precio Mayorista'!$D$100*INDEX('Informacion del AEP'!$D$54:$N$72,MATCH(C64,'Informacion del AEP'!$C$54:$C$72,0),MATCH($C$62,'Informacion del AEP'!$D$53:$N$53,0))*INDEX('Informacion del AEP'!$F$133:$F$151,MATCH(C64,'Informacion del AEP'!$C$133:$C$151,0))))</f>
        <v>0</v>
      </c>
      <c r="G64" s="211"/>
      <c r="H64" s="211"/>
      <c r="I64" s="211"/>
      <c r="N64" s="246">
        <f>INDEX('Precio Mayorista'!$D$76:$D$94,MATCH('Pagos Mayoristas'!C64,'Precio Mayorista'!$G$76:$G$94,0))*INDEX('Informacion del AEP'!$F$54:$N$72,MATCH('Pagos Mayoristas'!C64,'Informacion del AEP'!$C$54:$C$72,0),MATCH('Pagos Mayoristas'!$C$62,'Informacion del AEP'!$F$53:$N$53,0))</f>
        <v>0</v>
      </c>
    </row>
    <row r="65" spans="3:14" x14ac:dyDescent="0.2">
      <c r="C65" s="211" t="str">
        <f>IF(Supuestos!B50="","",Supuestos!B50)</f>
        <v>Originación voz off-net móvil local</v>
      </c>
      <c r="D65" s="94">
        <f>INDEX('Informacion del AEP'!$F$54:$N$72,MATCH('Pagos Mayoristas'!$C65,'Informacion del AEP'!$C$54:$C$72,0),MATCH('Pagos Mayoristas'!C$62,'Informacion del AEP'!$F$53:$N$53,0))*INDEX('Hoja Auxiliar'!$D$40:$D$58,MATCH('Pagos Mayoristas'!$C65,'Hoja Auxiliar'!$C$40:$C$58,0))</f>
        <v>45302564.102564096</v>
      </c>
      <c r="E65" s="211"/>
      <c r="F65" s="287">
        <f>IF(C65="","",('Precio Mayorista'!$D$100*INDEX('Informacion del AEP'!$D$54:$N$72,MATCH(C65,'Informacion del AEP'!$C$54:$C$72,0),MATCH($C$62,'Informacion del AEP'!$D$53:$N$53,0))*INDEX('Informacion del AEP'!$F$133:$F$151,MATCH(C65,'Informacion del AEP'!$C$133:$C$151,0))))</f>
        <v>0</v>
      </c>
      <c r="G65" s="211"/>
      <c r="H65" s="211"/>
      <c r="I65" s="211"/>
      <c r="N65" s="246">
        <f>INDEX('Precio Mayorista'!$D$76:$D$94,MATCH('Pagos Mayoristas'!C65,'Precio Mayorista'!$G$76:$G$94,0))*INDEX('Informacion del AEP'!$F$54:$N$72,MATCH('Pagos Mayoristas'!C65,'Informacion del AEP'!$C$54:$C$72,0),MATCH('Pagos Mayoristas'!$C$62,'Informacion del AEP'!$F$53:$N$53,0))</f>
        <v>95708199.999999985</v>
      </c>
    </row>
    <row r="66" spans="3:14" x14ac:dyDescent="0.2">
      <c r="C66" s="211" t="str">
        <f>IF(Supuestos!B51="","",Supuestos!B51)</f>
        <v>Originación voz off-net fijo local</v>
      </c>
      <c r="D66" s="94">
        <f>INDEX('Informacion del AEP'!$F$54:$N$72,MATCH('Pagos Mayoristas'!$C66,'Informacion del AEP'!$C$54:$C$72,0),MATCH('Pagos Mayoristas'!C$62,'Informacion del AEP'!$F$53:$N$53,0))*INDEX('Hoja Auxiliar'!$D$40:$D$58,MATCH('Pagos Mayoristas'!$C66,'Hoja Auxiliar'!$C$40:$C$58,0))</f>
        <v>22651282.051282048</v>
      </c>
      <c r="E66" s="211"/>
      <c r="F66" s="287">
        <f>IF(C66="","",('Precio Mayorista'!$D$100*INDEX('Informacion del AEP'!$D$54:$N$72,MATCH(C66,'Informacion del AEP'!$C$54:$C$72,0),MATCH($C$62,'Informacion del AEP'!$D$53:$N$53,0))*INDEX('Informacion del AEP'!$F$133:$F$151,MATCH(C66,'Informacion del AEP'!$C$133:$C$151,0))))</f>
        <v>0</v>
      </c>
      <c r="G66" s="211"/>
      <c r="H66" s="211"/>
      <c r="I66" s="211"/>
      <c r="N66" s="246">
        <f>INDEX('Precio Mayorista'!$D$76:$D$94,MATCH('Pagos Mayoristas'!C66,'Precio Mayorista'!$G$76:$G$94,0))*INDEX('Informacion del AEP'!$F$54:$N$72,MATCH('Pagos Mayoristas'!C66,'Informacion del AEP'!$C$54:$C$72,0),MATCH('Pagos Mayoristas'!$C$62,'Informacion del AEP'!$F$53:$N$53,0))</f>
        <v>2464000</v>
      </c>
    </row>
    <row r="67" spans="3:14" x14ac:dyDescent="0.2">
      <c r="C67" s="211" t="str">
        <f>IF(Supuestos!B52="","",Supuestos!B52)</f>
        <v>Originación voz on-net LDN</v>
      </c>
      <c r="D67" s="94">
        <f>INDEX('Informacion del AEP'!$F$54:$N$72,MATCH('Pagos Mayoristas'!$C67,'Informacion del AEP'!$C$54:$C$72,0),MATCH('Pagos Mayoristas'!C$62,'Informacion del AEP'!$F$53:$N$53,0))*INDEX('Hoja Auxiliar'!$D$40:$D$58,MATCH('Pagos Mayoristas'!$C67,'Hoja Auxiliar'!$C$40:$C$58,0))</f>
        <v>339769230.76923072</v>
      </c>
      <c r="E67" s="211"/>
      <c r="F67" s="287">
        <f>IF(C67="","",('Precio Mayorista'!$D$100*INDEX('Informacion del AEP'!$D$54:$N$72,MATCH(C67,'Informacion del AEP'!$C$54:$C$72,0),MATCH($C$62,'Informacion del AEP'!$D$53:$N$53,0))*INDEX('Informacion del AEP'!$F$133:$F$151,MATCH(C67,'Informacion del AEP'!$C$133:$C$151,0))))</f>
        <v>0</v>
      </c>
      <c r="G67" s="211"/>
      <c r="H67" s="211"/>
      <c r="I67" s="211"/>
      <c r="N67" s="246">
        <f>INDEX('Precio Mayorista'!$D$76:$D$94,MATCH('Pagos Mayoristas'!C67,'Precio Mayorista'!$G$76:$G$94,0))*INDEX('Informacion del AEP'!$F$54:$N$72,MATCH('Pagos Mayoristas'!C67,'Informacion del AEP'!$C$54:$C$72,0),MATCH('Pagos Mayoristas'!$C$62,'Informacion del AEP'!$F$53:$N$53,0))</f>
        <v>0</v>
      </c>
    </row>
    <row r="68" spans="3:14" x14ac:dyDescent="0.2">
      <c r="C68" s="211" t="str">
        <f>IF(Supuestos!B53="","",Supuestos!B53)</f>
        <v>Originación voz off-net móvil LDN</v>
      </c>
      <c r="D68" s="94">
        <f>INDEX('Informacion del AEP'!$F$54:$N$72,MATCH('Pagos Mayoristas'!$C68,'Informacion del AEP'!$C$54:$C$72,0),MATCH('Pagos Mayoristas'!C$62,'Informacion del AEP'!$F$53:$N$53,0))*INDEX('Hoja Auxiliar'!$D$40:$D$58,MATCH('Pagos Mayoristas'!$C68,'Hoja Auxiliar'!$C$40:$C$58,0))</f>
        <v>33976923.076923072</v>
      </c>
      <c r="E68" s="211"/>
      <c r="F68" s="287">
        <f>IF(C68="","",('Precio Mayorista'!$D$100*INDEX('Informacion del AEP'!$D$54:$N$72,MATCH(C68,'Informacion del AEP'!$C$54:$C$72,0),MATCH($C$62,'Informacion del AEP'!$D$53:$N$53,0))*INDEX('Informacion del AEP'!$F$133:$F$151,MATCH(C68,'Informacion del AEP'!$C$133:$C$151,0))))</f>
        <v>0</v>
      </c>
      <c r="G68" s="211"/>
      <c r="H68" s="211"/>
      <c r="I68" s="211"/>
      <c r="N68" s="246">
        <f>INDEX('Precio Mayorista'!$D$76:$D$94,MATCH('Pagos Mayoristas'!C68,'Precio Mayorista'!$G$76:$G$94,0))*INDEX('Informacion del AEP'!$F$54:$N$72,MATCH('Pagos Mayoristas'!C68,'Informacion del AEP'!$C$54:$C$72,0),MATCH('Pagos Mayoristas'!$C$62,'Informacion del AEP'!$F$53:$N$53,0))</f>
        <v>71781149.999999985</v>
      </c>
    </row>
    <row r="69" spans="3:14" x14ac:dyDescent="0.2">
      <c r="C69" s="211" t="str">
        <f>IF(Supuestos!B54="","",Supuestos!B54)</f>
        <v>Originación voz off-net fijo LDN</v>
      </c>
      <c r="D69" s="94">
        <f>INDEX('Informacion del AEP'!$F$54:$N$72,MATCH('Pagos Mayoristas'!$C69,'Informacion del AEP'!$C$54:$C$72,0),MATCH('Pagos Mayoristas'!C$62,'Informacion del AEP'!$F$53:$N$53,0))*INDEX('Hoja Auxiliar'!$D$40:$D$58,MATCH('Pagos Mayoristas'!$C69,'Hoja Auxiliar'!$C$40:$C$58,0))</f>
        <v>11325641.025641024</v>
      </c>
      <c r="E69" s="211"/>
      <c r="F69" s="287">
        <f>IF(C69="","",('Precio Mayorista'!$D$100*INDEX('Informacion del AEP'!$D$54:$N$72,MATCH(C69,'Informacion del AEP'!$C$54:$C$72,0),MATCH($C$62,'Informacion del AEP'!$D$53:$N$53,0))*INDEX('Informacion del AEP'!$F$133:$F$151,MATCH(C69,'Informacion del AEP'!$C$133:$C$151,0))))</f>
        <v>0</v>
      </c>
      <c r="G69" s="211"/>
      <c r="H69" s="211"/>
      <c r="I69" s="211"/>
      <c r="N69" s="246">
        <f>INDEX('Precio Mayorista'!$D$76:$D$94,MATCH('Pagos Mayoristas'!C69,'Precio Mayorista'!$G$76:$G$94,0))*INDEX('Informacion del AEP'!$F$54:$N$72,MATCH('Pagos Mayoristas'!C69,'Informacion del AEP'!$C$54:$C$72,0),MATCH('Pagos Mayoristas'!$C$62,'Informacion del AEP'!$F$53:$N$53,0))</f>
        <v>1232000</v>
      </c>
    </row>
    <row r="70" spans="3:14" x14ac:dyDescent="0.2">
      <c r="C70" s="211" t="str">
        <f>IF(Supuestos!B55="","",Supuestos!B55)</f>
        <v>Originación voz internacional USA-Canadá</v>
      </c>
      <c r="D70" s="94">
        <f>INDEX('Informacion del AEP'!$F$54:$N$72,MATCH('Pagos Mayoristas'!$C70,'Informacion del AEP'!$C$54:$C$72,0),MATCH('Pagos Mayoristas'!C$62,'Informacion del AEP'!$F$53:$N$53,0))*INDEX('Hoja Auxiliar'!$D$40:$D$58,MATCH('Pagos Mayoristas'!$C70,'Hoja Auxiliar'!$C$40:$C$58,0))</f>
        <v>29446666.666666664</v>
      </c>
      <c r="E70" s="211"/>
      <c r="F70" s="287">
        <f>IF(C70="","",('Precio Mayorista'!$D$100*INDEX('Informacion del AEP'!$D$54:$N$72,MATCH(C70,'Informacion del AEP'!$C$54:$C$72,0),MATCH($C$62,'Informacion del AEP'!$D$53:$N$53,0))*INDEX('Informacion del AEP'!$F$133:$F$151,MATCH(C70,'Informacion del AEP'!$C$133:$C$151,0))))</f>
        <v>0</v>
      </c>
      <c r="G70" s="211"/>
      <c r="H70" s="211"/>
      <c r="I70" s="211"/>
      <c r="N70" s="246">
        <f>INDEX('Precio Mayorista'!$D$76:$D$94,MATCH('Pagos Mayoristas'!C70,'Precio Mayorista'!$G$76:$G$94,0))*INDEX('Informacion del AEP'!$F$54:$N$72,MATCH('Pagos Mayoristas'!C70,'Informacion del AEP'!$C$54:$C$72,0),MATCH('Pagos Mayoristas'!$C$62,'Informacion del AEP'!$F$53:$N$53,0))</f>
        <v>81900000</v>
      </c>
    </row>
    <row r="71" spans="3:14" x14ac:dyDescent="0.2">
      <c r="C71" s="211" t="str">
        <f>IF(Supuestos!B56="","",Supuestos!B56)</f>
        <v>Originación voz internacional Mundial Centroamérica</v>
      </c>
      <c r="D71" s="94">
        <f>INDEX('Informacion del AEP'!$F$54:$N$72,MATCH('Pagos Mayoristas'!$C71,'Informacion del AEP'!$C$54:$C$72,0),MATCH('Pagos Mayoristas'!C$62,'Informacion del AEP'!$F$53:$N$53,0))*INDEX('Hoja Auxiliar'!$D$40:$D$58,MATCH('Pagos Mayoristas'!$C71,'Hoja Auxiliar'!$C$40:$C$58,0))</f>
        <v>67953.846153846142</v>
      </c>
      <c r="E71" s="211"/>
      <c r="F71" s="287">
        <f>IF(C71="","",('Precio Mayorista'!$D$100*INDEX('Informacion del AEP'!$D$54:$N$72,MATCH(C71,'Informacion del AEP'!$C$54:$C$72,0),MATCH($C$62,'Informacion del AEP'!$D$53:$N$53,0))*INDEX('Informacion del AEP'!$F$133:$F$151,MATCH(C71,'Informacion del AEP'!$C$133:$C$151,0))))</f>
        <v>0</v>
      </c>
      <c r="G71" s="211"/>
      <c r="H71" s="211"/>
      <c r="I71" s="211"/>
      <c r="N71" s="246">
        <f>INDEX('Precio Mayorista'!$D$76:$D$94,MATCH('Pagos Mayoristas'!C71,'Precio Mayorista'!$G$76:$G$94,0))*INDEX('Informacion del AEP'!$F$54:$N$72,MATCH('Pagos Mayoristas'!C71,'Informacion del AEP'!$C$54:$C$72,0),MATCH('Pagos Mayoristas'!$C$62,'Informacion del AEP'!$F$53:$N$53,0))</f>
        <v>5250000</v>
      </c>
    </row>
    <row r="72" spans="3:14" x14ac:dyDescent="0.2">
      <c r="C72" s="211" t="str">
        <f>IF(Supuestos!B57="","",Supuestos!B57)</f>
        <v>Originación voz internacional Mundial LATAM y Caribe</v>
      </c>
      <c r="D72" s="94">
        <f>INDEX('Informacion del AEP'!$F$54:$N$72,MATCH('Pagos Mayoristas'!$C72,'Informacion del AEP'!$C$54:$C$72,0),MATCH('Pagos Mayoristas'!C$62,'Informacion del AEP'!$F$53:$N$53,0))*INDEX('Hoja Auxiliar'!$D$40:$D$58,MATCH('Pagos Mayoristas'!$C72,'Hoja Auxiliar'!$C$40:$C$58,0))</f>
        <v>4530.2564102564102</v>
      </c>
      <c r="E72" s="211"/>
      <c r="F72" s="287">
        <f>IF(C72="","",('Precio Mayorista'!$D$100*INDEX('Informacion del AEP'!$D$54:$N$72,MATCH(C72,'Informacion del AEP'!$C$54:$C$72,0),MATCH($C$62,'Informacion del AEP'!$D$53:$N$53,0))*INDEX('Informacion del AEP'!$F$133:$F$151,MATCH(C72,'Informacion del AEP'!$C$133:$C$151,0))))</f>
        <v>0</v>
      </c>
      <c r="G72" s="211"/>
      <c r="H72" s="211"/>
      <c r="I72" s="211"/>
      <c r="N72" s="246">
        <f>INDEX('Precio Mayorista'!$D$76:$D$94,MATCH('Pagos Mayoristas'!C72,'Precio Mayorista'!$G$76:$G$94,0))*INDEX('Informacion del AEP'!$F$54:$N$72,MATCH('Pagos Mayoristas'!C72,'Informacion del AEP'!$C$54:$C$72,0),MATCH('Pagos Mayoristas'!$C$62,'Informacion del AEP'!$F$53:$N$53,0))</f>
        <v>700000</v>
      </c>
    </row>
    <row r="73" spans="3:14" x14ac:dyDescent="0.2">
      <c r="C73" s="211" t="str">
        <f>IF(Supuestos!B58="","",Supuestos!B58)</f>
        <v>Originación voz internacional Europa</v>
      </c>
      <c r="D73" s="94">
        <f>INDEX('Informacion del AEP'!$F$54:$N$72,MATCH('Pagos Mayoristas'!$C73,'Informacion del AEP'!$C$54:$C$72,0),MATCH('Pagos Mayoristas'!C$62,'Informacion del AEP'!$F$53:$N$53,0))*INDEX('Hoja Auxiliar'!$D$40:$D$58,MATCH('Pagos Mayoristas'!$C73,'Hoja Auxiliar'!$C$40:$C$58,0))</f>
        <v>0</v>
      </c>
      <c r="E73" s="211"/>
      <c r="F73" s="287">
        <f>IF(C73="","",('Precio Mayorista'!$D$100*INDEX('Informacion del AEP'!$D$54:$N$72,MATCH(C73,'Informacion del AEP'!$C$54:$C$72,0),MATCH($C$62,'Informacion del AEP'!$D$53:$N$53,0))*INDEX('Informacion del AEP'!$F$133:$F$151,MATCH(C73,'Informacion del AEP'!$C$133:$C$151,0))))</f>
        <v>0</v>
      </c>
      <c r="G73" s="211"/>
      <c r="H73" s="211"/>
      <c r="I73" s="211"/>
      <c r="N73" s="246">
        <f>INDEX('Precio Mayorista'!$D$76:$D$94,MATCH('Pagos Mayoristas'!C73,'Precio Mayorista'!$G$76:$G$94,0))*INDEX('Informacion del AEP'!$F$54:$N$72,MATCH('Pagos Mayoristas'!C73,'Informacion del AEP'!$C$54:$C$72,0),MATCH('Pagos Mayoristas'!$C$62,'Informacion del AEP'!$F$53:$N$53,0))</f>
        <v>0</v>
      </c>
    </row>
    <row r="74" spans="3:14" x14ac:dyDescent="0.2">
      <c r="C74" s="211" t="str">
        <f>IF(Supuestos!B59="","",Supuestos!B59)</f>
        <v>Originación voz internacional Mundial Otros geográficos</v>
      </c>
      <c r="D74" s="94">
        <f>INDEX('Informacion del AEP'!$F$54:$N$72,MATCH('Pagos Mayoristas'!$C74,'Informacion del AEP'!$C$54:$C$72,0),MATCH('Pagos Mayoristas'!C$62,'Informacion del AEP'!$F$53:$N$53,0))*INDEX('Hoja Auxiliar'!$D$40:$D$58,MATCH('Pagos Mayoristas'!$C74,'Hoja Auxiliar'!$C$40:$C$58,0))</f>
        <v>226512.8205128205</v>
      </c>
      <c r="E74" s="211"/>
      <c r="F74" s="287">
        <f>IF(C74="","",('Precio Mayorista'!$D$100*INDEX('Informacion del AEP'!$D$54:$N$72,MATCH(C74,'Informacion del AEP'!$C$54:$C$72,0),MATCH($C$62,'Informacion del AEP'!$D$53:$N$53,0))*INDEX('Informacion del AEP'!$F$133:$F$151,MATCH(C74,'Informacion del AEP'!$C$133:$C$151,0))))</f>
        <v>0</v>
      </c>
      <c r="G74" s="211"/>
      <c r="H74" s="211"/>
      <c r="I74" s="211"/>
      <c r="N74" s="246">
        <f>INDEX('Precio Mayorista'!$D$76:$D$94,MATCH('Pagos Mayoristas'!C74,'Precio Mayorista'!$G$76:$G$94,0))*INDEX('Informacion del AEP'!$F$54:$N$72,MATCH('Pagos Mayoristas'!C74,'Informacion del AEP'!$C$54:$C$72,0),MATCH('Pagos Mayoristas'!$C$62,'Informacion del AEP'!$F$53:$N$53,0))</f>
        <v>35000000</v>
      </c>
    </row>
    <row r="75" spans="3:14" x14ac:dyDescent="0.2">
      <c r="C75" s="211" t="str">
        <f>IF(Supuestos!B60="","",Supuestos!B60)</f>
        <v>Originación voz internacional Cuba</v>
      </c>
      <c r="D75" s="94">
        <f>INDEX('Informacion del AEP'!$F$54:$N$72,MATCH('Pagos Mayoristas'!$C75,'Informacion del AEP'!$C$54:$C$72,0),MATCH('Pagos Mayoristas'!C$62,'Informacion del AEP'!$F$53:$N$53,0))*INDEX('Hoja Auxiliar'!$D$40:$D$58,MATCH('Pagos Mayoristas'!$C75,'Hoja Auxiliar'!$C$40:$C$58,0))</f>
        <v>11325.641025641025</v>
      </c>
      <c r="E75" s="211"/>
      <c r="F75" s="287">
        <f>IF(C75="","",('Precio Mayorista'!$D$100*INDEX('Informacion del AEP'!$D$54:$N$72,MATCH(C75,'Informacion del AEP'!$C$54:$C$72,0),MATCH($C$62,'Informacion del AEP'!$D$53:$N$53,0))*INDEX('Informacion del AEP'!$F$133:$F$151,MATCH(C75,'Informacion del AEP'!$C$133:$C$151,0))))</f>
        <v>0</v>
      </c>
      <c r="G75" s="211"/>
      <c r="H75" s="211"/>
      <c r="I75" s="211"/>
      <c r="N75" s="246">
        <f>INDEX('Precio Mayorista'!$D$76:$D$94,MATCH('Pagos Mayoristas'!C75,'Precio Mayorista'!$G$76:$G$94,0))*INDEX('Informacion del AEP'!$F$54:$N$72,MATCH('Pagos Mayoristas'!C75,'Informacion del AEP'!$C$54:$C$72,0),MATCH('Pagos Mayoristas'!$C$62,'Informacion del AEP'!$F$53:$N$53,0))</f>
        <v>5250000</v>
      </c>
    </row>
    <row r="76" spans="3:14" x14ac:dyDescent="0.2">
      <c r="C76" s="211" t="str">
        <f>IF(Supuestos!B61="","",Supuestos!B61)</f>
        <v>Originación voz Mundial destinos no geográficos</v>
      </c>
      <c r="D76" s="94">
        <f>INDEX('Informacion del AEP'!$F$54:$N$72,MATCH('Pagos Mayoristas'!$C76,'Informacion del AEP'!$C$54:$C$72,0),MATCH('Pagos Mayoristas'!C$62,'Informacion del AEP'!$F$53:$N$53,0))*INDEX('Hoja Auxiliar'!$D$40:$D$58,MATCH('Pagos Mayoristas'!$C76,'Hoja Auxiliar'!$C$40:$C$58,0))</f>
        <v>0</v>
      </c>
      <c r="E76" s="211"/>
      <c r="F76" s="287">
        <f>IF(C76="","",('Precio Mayorista'!$D$100*INDEX('Informacion del AEP'!$D$54:$N$72,MATCH(C76,'Informacion del AEP'!$C$54:$C$72,0),MATCH($C$62,'Informacion del AEP'!$D$53:$N$53,0))*INDEX('Informacion del AEP'!$F$133:$F$151,MATCH(C76,'Informacion del AEP'!$C$133:$C$151,0))))</f>
        <v>0</v>
      </c>
      <c r="G76" s="211"/>
      <c r="H76" s="211"/>
      <c r="I76" s="211"/>
      <c r="N76" s="246">
        <f>INDEX('Precio Mayorista'!$D$76:$D$94,MATCH('Pagos Mayoristas'!C76,'Precio Mayorista'!$G$76:$G$94,0))*INDEX('Informacion del AEP'!$F$54:$N$72,MATCH('Pagos Mayoristas'!C76,'Informacion del AEP'!$C$54:$C$72,0),MATCH('Pagos Mayoristas'!$C$62,'Informacion del AEP'!$F$53:$N$53,0))</f>
        <v>0</v>
      </c>
    </row>
    <row r="77" spans="3:14" x14ac:dyDescent="0.2">
      <c r="C77" s="211" t="str">
        <f>IF(Supuestos!B62="","",Supuestos!B62)</f>
        <v>Originación SMS on-net</v>
      </c>
      <c r="D77" s="94">
        <f>INDEX('Informacion del AEP'!$F$54:$N$72,MATCH('Pagos Mayoristas'!$C77,'Informacion del AEP'!$C$54:$C$72,0),MATCH('Pagos Mayoristas'!C$62,'Informacion del AEP'!$F$53:$N$53,0))*INDEX('Hoja Auxiliar'!$D$40:$D$58,MATCH('Pagos Mayoristas'!$C77,'Hoja Auxiliar'!$C$40:$C$58,0))</f>
        <v>22711111.111111108</v>
      </c>
      <c r="E77" s="211"/>
      <c r="F77" s="287">
        <f>IF(C77="","",('Precio Mayorista'!$D$100*INDEX('Informacion del AEP'!$D$54:$N$72,MATCH(C77,'Informacion del AEP'!$C$54:$C$72,0),MATCH($C$62,'Informacion del AEP'!$D$53:$N$53,0))*INDEX('Informacion del AEP'!$F$133:$F$151,MATCH(C77,'Informacion del AEP'!$C$133:$C$151,0))))</f>
        <v>0</v>
      </c>
      <c r="G77" s="211"/>
      <c r="H77" s="211"/>
      <c r="I77" s="211"/>
      <c r="N77" s="246">
        <f>INDEX('Precio Mayorista'!$D$76:$D$94,MATCH('Pagos Mayoristas'!C77,'Precio Mayorista'!$G$76:$G$94,0))*INDEX('Informacion del AEP'!$F$54:$N$72,MATCH('Pagos Mayoristas'!C77,'Informacion del AEP'!$C$54:$C$72,0),MATCH('Pagos Mayoristas'!$C$62,'Informacion del AEP'!$F$53:$N$53,0))</f>
        <v>0</v>
      </c>
    </row>
    <row r="78" spans="3:14" x14ac:dyDescent="0.2">
      <c r="C78" s="211" t="str">
        <f>IF(Supuestos!B63="","",Supuestos!B63)</f>
        <v>Originación SMS - off-net nacional</v>
      </c>
      <c r="D78" s="94">
        <f>INDEX('Informacion del AEP'!$F$54:$N$72,MATCH('Pagos Mayoristas'!$C78,'Informacion del AEP'!$C$54:$C$72,0),MATCH('Pagos Mayoristas'!C$62,'Informacion del AEP'!$F$53:$N$53,0))*INDEX('Hoja Auxiliar'!$D$40:$D$58,MATCH('Pagos Mayoristas'!$C78,'Hoja Auxiliar'!$C$40:$C$58,0))</f>
        <v>5677777.7777777771</v>
      </c>
      <c r="E78" s="211"/>
      <c r="F78" s="287">
        <f>IF(C78="","",('Precio Mayorista'!$D$100*INDEX('Informacion del AEP'!$D$54:$N$72,MATCH(C78,'Informacion del AEP'!$C$54:$C$72,0),MATCH($C$62,'Informacion del AEP'!$D$53:$N$53,0))*INDEX('Informacion del AEP'!$F$133:$F$151,MATCH(C78,'Informacion del AEP'!$C$133:$C$151,0))))</f>
        <v>0</v>
      </c>
      <c r="G78" s="211"/>
      <c r="H78" s="211"/>
      <c r="I78" s="211"/>
      <c r="N78" s="246">
        <f>INDEX('Precio Mayorista'!$D$76:$D$94,MATCH('Pagos Mayoristas'!C78,'Precio Mayorista'!$G$76:$G$94,0))*INDEX('Informacion del AEP'!$F$54:$N$72,MATCH('Pagos Mayoristas'!C78,'Informacion del AEP'!$C$54:$C$72,0),MATCH('Pagos Mayoristas'!$C$62,'Informacion del AEP'!$F$53:$N$53,0))</f>
        <v>5689600</v>
      </c>
    </row>
    <row r="79" spans="3:14" x14ac:dyDescent="0.2">
      <c r="C79" s="211" t="str">
        <f>IF(Supuestos!B64="","",Supuestos!B64)</f>
        <v>Originación SMS internacional (USA-Canadá)</v>
      </c>
      <c r="D79" s="94">
        <f>INDEX('Informacion del AEP'!$F$54:$N$72,MATCH('Pagos Mayoristas'!$C79,'Informacion del AEP'!$C$54:$C$72,0),MATCH('Pagos Mayoristas'!C$62,'Informacion del AEP'!$F$53:$N$53,0))*INDEX('Hoja Auxiliar'!$D$40:$D$58,MATCH('Pagos Mayoristas'!$C79,'Hoja Auxiliar'!$C$40:$C$58,0))</f>
        <v>1135555.5555555555</v>
      </c>
      <c r="E79" s="211"/>
      <c r="F79" s="287">
        <f>IF(C79="","",('Precio Mayorista'!$D$100*INDEX('Informacion del AEP'!$D$54:$N$72,MATCH(C79,'Informacion del AEP'!$C$54:$C$72,0),MATCH($C$62,'Informacion del AEP'!$D$53:$N$53,0))*INDEX('Informacion del AEP'!$F$133:$F$151,MATCH(C79,'Informacion del AEP'!$C$133:$C$151,0))))</f>
        <v>0</v>
      </c>
      <c r="G79" s="211"/>
      <c r="H79" s="211"/>
      <c r="I79" s="211"/>
      <c r="N79" s="246">
        <f>INDEX('Precio Mayorista'!$D$76:$D$94,MATCH('Pagos Mayoristas'!C79,'Precio Mayorista'!$G$76:$G$94,0))*INDEX('Informacion del AEP'!$F$54:$N$72,MATCH('Pagos Mayoristas'!C79,'Informacion del AEP'!$C$54:$C$72,0),MATCH('Pagos Mayoristas'!$C$62,'Informacion del AEP'!$F$53:$N$53,0))</f>
        <v>35000000</v>
      </c>
    </row>
    <row r="80" spans="3:14" x14ac:dyDescent="0.2">
      <c r="C80" s="211" t="str">
        <f>IF(Supuestos!B65="","",Supuestos!B65)</f>
        <v>Originación SMS internacional (Resto del Mundo)</v>
      </c>
      <c r="D80" s="94">
        <f>INDEX('Informacion del AEP'!$F$54:$N$72,MATCH('Pagos Mayoristas'!$C80,'Informacion del AEP'!$C$54:$C$72,0),MATCH('Pagos Mayoristas'!C$62,'Informacion del AEP'!$F$53:$N$53,0))*INDEX('Hoja Auxiliar'!$D$40:$D$58,MATCH('Pagos Mayoristas'!$C80,'Hoja Auxiliar'!$C$40:$C$58,0))</f>
        <v>113555.55555555555</v>
      </c>
      <c r="E80" s="211"/>
      <c r="F80" s="287">
        <f>IF(C80="","",('Precio Mayorista'!$D$100*INDEX('Informacion del AEP'!$D$54:$N$72,MATCH(C80,'Informacion del AEP'!$C$54:$C$72,0),MATCH($C$62,'Informacion del AEP'!$D$53:$N$53,0))*INDEX('Informacion del AEP'!$F$133:$F$151,MATCH(C80,'Informacion del AEP'!$C$133:$C$151,0))))</f>
        <v>0</v>
      </c>
      <c r="G80" s="211"/>
      <c r="H80" s="211"/>
      <c r="I80" s="211"/>
      <c r="N80" s="246">
        <f>INDEX('Precio Mayorista'!$D$76:$D$94,MATCH('Pagos Mayoristas'!C80,'Precio Mayorista'!$G$76:$G$94,0))*INDEX('Informacion del AEP'!$F$54:$N$72,MATCH('Pagos Mayoristas'!C80,'Informacion del AEP'!$C$54:$C$72,0),MATCH('Pagos Mayoristas'!$C$62,'Informacion del AEP'!$F$53:$N$53,0))</f>
        <v>5250000</v>
      </c>
    </row>
    <row r="81" spans="3:15" x14ac:dyDescent="0.2">
      <c r="C81" s="211" t="str">
        <f>IF(Supuestos!B66="","",Supuestos!B66)</f>
        <v>Otros servicios (incluyendo marcaciones especiales)</v>
      </c>
      <c r="D81" s="94">
        <f>INDEX('Informacion del AEP'!$F$54:$N$72,MATCH('Pagos Mayoristas'!$C81,'Informacion del AEP'!$C$54:$C$72,0),MATCH('Pagos Mayoristas'!C$62,'Informacion del AEP'!$F$53:$N$53,0))*INDEX('Hoja Auxiliar'!$D$40:$D$58,MATCH('Pagos Mayoristas'!$C81,'Hoja Auxiliar'!$C$40:$C$58,0))</f>
        <v>113256410.25641024</v>
      </c>
      <c r="E81" s="211"/>
      <c r="F81" s="287">
        <f>IF(C81="","",('Precio Mayorista'!$D$100*INDEX('Informacion del AEP'!$D$54:$N$72,MATCH(C81,'Informacion del AEP'!$C$54:$C$72,0),MATCH($C$62,'Informacion del AEP'!$D$53:$N$53,0))*INDEX('Informacion del AEP'!$F$133:$F$151,MATCH(C81,'Informacion del AEP'!$C$133:$C$151,0))))</f>
        <v>0</v>
      </c>
      <c r="G81" s="211"/>
      <c r="H81" s="211"/>
      <c r="I81" s="211"/>
      <c r="N81" s="246">
        <f>INDEX('Precio Mayorista'!$D$76:$D$94,MATCH('Pagos Mayoristas'!C81,'Precio Mayorista'!$G$76:$G$94,0))*INDEX('Informacion del AEP'!$F$54:$N$72,MATCH('Pagos Mayoristas'!C81,'Informacion del AEP'!$C$54:$C$72,0),MATCH('Pagos Mayoristas'!$C$62,'Informacion del AEP'!$F$53:$N$53,0))</f>
        <v>3430000000</v>
      </c>
    </row>
    <row r="82" spans="3:15" x14ac:dyDescent="0.2">
      <c r="C82" s="211"/>
      <c r="D82" s="94"/>
      <c r="E82" s="211"/>
      <c r="F82" s="94"/>
      <c r="G82" s="211"/>
      <c r="H82" s="211"/>
      <c r="I82" s="211"/>
    </row>
    <row r="83" spans="3:15" x14ac:dyDescent="0.2">
      <c r="C83" s="76"/>
      <c r="D83" s="94"/>
      <c r="E83" s="211"/>
      <c r="F83" s="94"/>
      <c r="G83" s="211"/>
      <c r="H83" s="211"/>
      <c r="I83" s="211"/>
    </row>
    <row r="84" spans="3:15" x14ac:dyDescent="0.2">
      <c r="E84" s="211"/>
      <c r="F84" s="94"/>
      <c r="G84" s="211"/>
      <c r="H84" s="211"/>
      <c r="I84" s="211"/>
    </row>
    <row r="85" spans="3:15" x14ac:dyDescent="0.2">
      <c r="E85" s="211"/>
      <c r="F85" s="94"/>
      <c r="G85" s="211"/>
      <c r="H85" s="211"/>
      <c r="I85" s="211"/>
    </row>
    <row r="86" spans="3:15" x14ac:dyDescent="0.2">
      <c r="E86" s="211"/>
      <c r="F86" s="211"/>
      <c r="G86" s="211"/>
      <c r="H86" s="211"/>
      <c r="I86" s="211"/>
    </row>
    <row r="87" spans="3:15" x14ac:dyDescent="0.2">
      <c r="C87" s="211"/>
      <c r="D87" s="94"/>
      <c r="E87" s="211"/>
      <c r="F87" s="211"/>
      <c r="G87" s="211"/>
      <c r="H87" s="211"/>
      <c r="I87" s="211"/>
    </row>
    <row r="88" spans="3:15" x14ac:dyDescent="0.2">
      <c r="C88" s="89" t="str">
        <f>Supuestos!$B$78</f>
        <v>Telcel Prepago 1</v>
      </c>
      <c r="D88" s="93">
        <f>SUM(D89:D107)</f>
        <v>279866408.71794868</v>
      </c>
      <c r="E88" s="90"/>
      <c r="F88" s="93">
        <f>SUM(F89:F107)</f>
        <v>0</v>
      </c>
      <c r="G88" s="90"/>
      <c r="H88" s="93"/>
      <c r="I88" s="93">
        <f>INDEX('Informacion del AEP'!$H$29:$H$48,MATCH('Pagos Mayoristas'!C88,'Informacion del AEP'!$C$29:$C$48,0))*'Hoja Auxiliar'!$D$61</f>
        <v>26666666.666666668</v>
      </c>
      <c r="J88" s="5"/>
      <c r="K88" s="93"/>
      <c r="L88" s="241">
        <f>$L$10*(INDEX('Informacion del AEP'!$F$12:$N$12,MATCH('Pagos Mayoristas'!C88,'Informacion del AEP'!$F$11:$N$11,0))/INDEX('Informacion del AEP'!$F$12:$N$12,MATCH('Pagos Mayoristas'!$C$10,'Informacion del AEP'!$F$11:$N$11,0)))</f>
        <v>134510.86956521741</v>
      </c>
      <c r="M88" s="241"/>
      <c r="N88" s="93">
        <f>SUM(N89:N107)</f>
        <v>539317850</v>
      </c>
      <c r="O88" s="241">
        <f>SUM(D88:N88)</f>
        <v>845985436.25418055</v>
      </c>
    </row>
    <row r="89" spans="3:15" x14ac:dyDescent="0.2">
      <c r="C89" s="211" t="str">
        <f>IF(Supuestos!B48="","",Supuestos!B48)</f>
        <v>Datos</v>
      </c>
      <c r="D89" s="94">
        <f>INDEX('Informacion del AEP'!$F$54:$N$72,MATCH('Pagos Mayoristas'!$C89,'Informacion del AEP'!$C$54:$C$72,0),MATCH('Pagos Mayoristas'!C$88,'Informacion del AEP'!$F$53:$N$53,0))*INDEX('Hoja Auxiliar'!$D$40:$D$58,MATCH('Pagos Mayoristas'!$C89,'Hoja Auxiliar'!$C$40:$C$58,0))</f>
        <v>158125000</v>
      </c>
      <c r="E89" s="211"/>
      <c r="F89" s="287">
        <f>IF(C89="","",('Precio Mayorista'!$D$100*INDEX('Informacion del AEP'!$D$54:$N$72,MATCH(C89,'Informacion del AEP'!$C$54:$C$72,0),MATCH($C$88,'Informacion del AEP'!$D$53:$N$53,0))*INDEX('Informacion del AEP'!$F$133:$F$151,MATCH(C89,'Informacion del AEP'!$C$133:$C$151,0))))</f>
        <v>0</v>
      </c>
      <c r="G89" s="211"/>
      <c r="H89" s="211"/>
      <c r="I89" s="211"/>
      <c r="N89" s="246">
        <f>INDEX('Precio Mayorista'!$D$76:$D$94,MATCH('Pagos Mayoristas'!C89,'Precio Mayorista'!$G$76:$G$94,0))*INDEX('Informacion del AEP'!$F$54:$N$72,MATCH('Pagos Mayoristas'!C89,'Informacion del AEP'!$C$54:$C$72,0),MATCH('Pagos Mayoristas'!$C$88,'Informacion del AEP'!$F$53:$N$53,0))</f>
        <v>0</v>
      </c>
    </row>
    <row r="90" spans="3:15" x14ac:dyDescent="0.2">
      <c r="C90" s="211" t="str">
        <f>IF(Supuestos!B49="","",Supuestos!B49)</f>
        <v>Originación voz on-net local</v>
      </c>
      <c r="D90" s="94">
        <f>INDEX('Informacion del AEP'!$F$54:$N$72,MATCH('Pagos Mayoristas'!$C90,'Informacion del AEP'!$C$54:$C$72,0),MATCH('Pagos Mayoristas'!C$88,'Informacion del AEP'!$F$53:$N$53,0))*INDEX('Hoja Auxiliar'!$D$40:$D$58,MATCH('Pagos Mayoristas'!$C90,'Hoja Auxiliar'!$C$40:$C$58,0))</f>
        <v>32358974.358974356</v>
      </c>
      <c r="E90" s="211"/>
      <c r="F90" s="287">
        <f>IF(C90="","",('Precio Mayorista'!$D$100*INDEX('Informacion del AEP'!$D$54:$N$72,MATCH(C90,'Informacion del AEP'!$C$54:$C$72,0),MATCH($C$88,'Informacion del AEP'!$D$53:$N$53,0))*INDEX('Informacion del AEP'!$F$133:$F$151,MATCH(C90,'Informacion del AEP'!$C$133:$C$151,0))))</f>
        <v>0</v>
      </c>
      <c r="G90" s="211"/>
      <c r="H90" s="211"/>
      <c r="I90" s="211"/>
      <c r="N90" s="246">
        <f>INDEX('Precio Mayorista'!$D$76:$D$94,MATCH('Pagos Mayoristas'!C90,'Precio Mayorista'!$G$76:$G$94,0))*INDEX('Informacion del AEP'!$F$54:$N$72,MATCH('Pagos Mayoristas'!C90,'Informacion del AEP'!$C$54:$C$72,0),MATCH('Pagos Mayoristas'!$C$88,'Informacion del AEP'!$F$53:$N$53,0))</f>
        <v>0</v>
      </c>
    </row>
    <row r="91" spans="3:15" x14ac:dyDescent="0.2">
      <c r="C91" s="211" t="str">
        <f>IF(Supuestos!B50="","",Supuestos!B50)</f>
        <v>Originación voz off-net móvil local</v>
      </c>
      <c r="D91" s="94">
        <f>INDEX('Informacion del AEP'!$F$54:$N$72,MATCH('Pagos Mayoristas'!$C91,'Informacion del AEP'!$C$54:$C$72,0),MATCH('Pagos Mayoristas'!C$88,'Informacion del AEP'!$F$53:$N$53,0))*INDEX('Hoja Auxiliar'!$D$40:$D$58,MATCH('Pagos Mayoristas'!$C91,'Hoja Auxiliar'!$C$40:$C$58,0))</f>
        <v>6471794.8717948711</v>
      </c>
      <c r="E91" s="211"/>
      <c r="F91" s="287">
        <f>IF(C91="","",('Precio Mayorista'!$D$100*INDEX('Informacion del AEP'!$D$54:$N$72,MATCH(C91,'Informacion del AEP'!$C$54:$C$72,0),MATCH($C$88,'Informacion del AEP'!$D$53:$N$53,0))*INDEX('Informacion del AEP'!$F$133:$F$151,MATCH(C91,'Informacion del AEP'!$C$133:$C$151,0))))</f>
        <v>0</v>
      </c>
      <c r="G91" s="211"/>
      <c r="H91" s="211"/>
      <c r="I91" s="211"/>
      <c r="N91" s="246">
        <f>INDEX('Precio Mayorista'!$D$76:$D$94,MATCH('Pagos Mayoristas'!C91,'Precio Mayorista'!$G$76:$G$94,0))*INDEX('Informacion del AEP'!$F$54:$N$72,MATCH('Pagos Mayoristas'!C91,'Informacion del AEP'!$C$54:$C$72,0),MATCH('Pagos Mayoristas'!$C$88,'Informacion del AEP'!$F$53:$N$53,0))</f>
        <v>13672599.999999998</v>
      </c>
    </row>
    <row r="92" spans="3:15" x14ac:dyDescent="0.2">
      <c r="C92" s="211" t="str">
        <f>IF(Supuestos!B51="","",Supuestos!B51)</f>
        <v>Originación voz off-net fijo local</v>
      </c>
      <c r="D92" s="94">
        <f>INDEX('Informacion del AEP'!$F$54:$N$72,MATCH('Pagos Mayoristas'!$C92,'Informacion del AEP'!$C$54:$C$72,0),MATCH('Pagos Mayoristas'!C$88,'Informacion del AEP'!$F$53:$N$53,0))*INDEX('Hoja Auxiliar'!$D$40:$D$58,MATCH('Pagos Mayoristas'!$C92,'Hoja Auxiliar'!$C$40:$C$58,0))</f>
        <v>3235897.4358974355</v>
      </c>
      <c r="E92" s="211"/>
      <c r="F92" s="287">
        <f>IF(C92="","",('Precio Mayorista'!$D$100*INDEX('Informacion del AEP'!$D$54:$N$72,MATCH(C92,'Informacion del AEP'!$C$54:$C$72,0),MATCH($C$88,'Informacion del AEP'!$D$53:$N$53,0))*INDEX('Informacion del AEP'!$F$133:$F$151,MATCH(C92,'Informacion del AEP'!$C$133:$C$151,0))))</f>
        <v>0</v>
      </c>
      <c r="G92" s="211"/>
      <c r="H92" s="211"/>
      <c r="I92" s="211"/>
      <c r="N92" s="246">
        <f>INDEX('Precio Mayorista'!$D$76:$D$94,MATCH('Pagos Mayoristas'!C92,'Precio Mayorista'!$G$76:$G$94,0))*INDEX('Informacion del AEP'!$F$54:$N$72,MATCH('Pagos Mayoristas'!C92,'Informacion del AEP'!$C$54:$C$72,0),MATCH('Pagos Mayoristas'!$C$88,'Informacion del AEP'!$F$53:$N$53,0))</f>
        <v>352000</v>
      </c>
    </row>
    <row r="93" spans="3:15" x14ac:dyDescent="0.2">
      <c r="C93" s="211" t="str">
        <f>IF(Supuestos!B52="","",Supuestos!B52)</f>
        <v>Originación voz on-net LDN</v>
      </c>
      <c r="D93" s="94">
        <f>INDEX('Informacion del AEP'!$F$54:$N$72,MATCH('Pagos Mayoristas'!$C93,'Informacion del AEP'!$C$54:$C$72,0),MATCH('Pagos Mayoristas'!C$88,'Informacion del AEP'!$F$53:$N$53,0))*INDEX('Hoja Auxiliar'!$D$40:$D$58,MATCH('Pagos Mayoristas'!$C93,'Hoja Auxiliar'!$C$40:$C$58,0))</f>
        <v>48538461.538461536</v>
      </c>
      <c r="E93" s="211"/>
      <c r="F93" s="287">
        <f>IF(C93="","",('Precio Mayorista'!$D$100*INDEX('Informacion del AEP'!$D$54:$N$72,MATCH(C93,'Informacion del AEP'!$C$54:$C$72,0),MATCH($C$88,'Informacion del AEP'!$D$53:$N$53,0))*INDEX('Informacion del AEP'!$F$133:$F$151,MATCH(C93,'Informacion del AEP'!$C$133:$C$151,0))))</f>
        <v>0</v>
      </c>
      <c r="G93" s="211"/>
      <c r="H93" s="211"/>
      <c r="I93" s="211"/>
      <c r="N93" s="246">
        <f>INDEX('Precio Mayorista'!$D$76:$D$94,MATCH('Pagos Mayoristas'!C93,'Precio Mayorista'!$G$76:$G$94,0))*INDEX('Informacion del AEP'!$F$54:$N$72,MATCH('Pagos Mayoristas'!C93,'Informacion del AEP'!$C$54:$C$72,0),MATCH('Pagos Mayoristas'!$C$88,'Informacion del AEP'!$F$53:$N$53,0))</f>
        <v>0</v>
      </c>
    </row>
    <row r="94" spans="3:15" x14ac:dyDescent="0.2">
      <c r="C94" s="211" t="str">
        <f>IF(Supuestos!B53="","",Supuestos!B53)</f>
        <v>Originación voz off-net móvil LDN</v>
      </c>
      <c r="D94" s="94">
        <f>INDEX('Informacion del AEP'!$F$54:$N$72,MATCH('Pagos Mayoristas'!$C94,'Informacion del AEP'!$C$54:$C$72,0),MATCH('Pagos Mayoristas'!C$88,'Informacion del AEP'!$F$53:$N$53,0))*INDEX('Hoja Auxiliar'!$D$40:$D$58,MATCH('Pagos Mayoristas'!$C94,'Hoja Auxiliar'!$C$40:$C$58,0))</f>
        <v>4853846.1538461531</v>
      </c>
      <c r="E94" s="211"/>
      <c r="F94" s="287">
        <f>IF(C94="","",('Precio Mayorista'!$D$100*INDEX('Informacion del AEP'!$D$54:$N$72,MATCH(C94,'Informacion del AEP'!$C$54:$C$72,0),MATCH($C$88,'Informacion del AEP'!$D$53:$N$53,0))*INDEX('Informacion del AEP'!$F$133:$F$151,MATCH(C94,'Informacion del AEP'!$C$133:$C$151,0))))</f>
        <v>0</v>
      </c>
      <c r="G94" s="211"/>
      <c r="H94" s="211"/>
      <c r="I94" s="211"/>
      <c r="N94" s="246">
        <f>INDEX('Precio Mayorista'!$D$76:$D$94,MATCH('Pagos Mayoristas'!C94,'Precio Mayorista'!$G$76:$G$94,0))*INDEX('Informacion del AEP'!$F$54:$N$72,MATCH('Pagos Mayoristas'!C94,'Informacion del AEP'!$C$54:$C$72,0),MATCH('Pagos Mayoristas'!$C$88,'Informacion del AEP'!$F$53:$N$53,0))</f>
        <v>10254449.999999998</v>
      </c>
    </row>
    <row r="95" spans="3:15" x14ac:dyDescent="0.2">
      <c r="C95" s="211" t="str">
        <f>IF(Supuestos!B54="","",Supuestos!B54)</f>
        <v>Originación voz off-net fijo LDN</v>
      </c>
      <c r="D95" s="94">
        <f>INDEX('Informacion del AEP'!$F$54:$N$72,MATCH('Pagos Mayoristas'!$C95,'Informacion del AEP'!$C$54:$C$72,0),MATCH('Pagos Mayoristas'!C$88,'Informacion del AEP'!$F$53:$N$53,0))*INDEX('Hoja Auxiliar'!$D$40:$D$58,MATCH('Pagos Mayoristas'!$C95,'Hoja Auxiliar'!$C$40:$C$58,0))</f>
        <v>1617948.7179487178</v>
      </c>
      <c r="E95" s="211"/>
      <c r="F95" s="287">
        <f>IF(C95="","",('Precio Mayorista'!$D$100*INDEX('Informacion del AEP'!$D$54:$N$72,MATCH(C95,'Informacion del AEP'!$C$54:$C$72,0),MATCH($C$88,'Informacion del AEP'!$D$53:$N$53,0))*INDEX('Informacion del AEP'!$F$133:$F$151,MATCH(C95,'Informacion del AEP'!$C$133:$C$151,0))))</f>
        <v>0</v>
      </c>
      <c r="G95" s="211"/>
      <c r="H95" s="211"/>
      <c r="I95" s="211"/>
      <c r="N95" s="246">
        <f>INDEX('Precio Mayorista'!$D$76:$D$94,MATCH('Pagos Mayoristas'!C95,'Precio Mayorista'!$G$76:$G$94,0))*INDEX('Informacion del AEP'!$F$54:$N$72,MATCH('Pagos Mayoristas'!C95,'Informacion del AEP'!$C$54:$C$72,0),MATCH('Pagos Mayoristas'!$C$88,'Informacion del AEP'!$F$53:$N$53,0))</f>
        <v>176000</v>
      </c>
    </row>
    <row r="96" spans="3:15" x14ac:dyDescent="0.2">
      <c r="C96" s="211" t="str">
        <f>IF(Supuestos!B55="","",Supuestos!B55)</f>
        <v>Originación voz internacional USA-Canadá</v>
      </c>
      <c r="D96" s="94">
        <f>INDEX('Informacion del AEP'!$F$54:$N$72,MATCH('Pagos Mayoristas'!$C96,'Informacion del AEP'!$C$54:$C$72,0),MATCH('Pagos Mayoristas'!C$88,'Informacion del AEP'!$F$53:$N$53,0))*INDEX('Hoja Auxiliar'!$D$40:$D$58,MATCH('Pagos Mayoristas'!$C96,'Hoja Auxiliar'!$C$40:$C$58,0))</f>
        <v>4206666.666666666</v>
      </c>
      <c r="E96" s="211"/>
      <c r="F96" s="287">
        <f>IF(C96="","",('Precio Mayorista'!$D$100*INDEX('Informacion del AEP'!$D$54:$N$72,MATCH(C96,'Informacion del AEP'!$C$54:$C$72,0),MATCH($C$88,'Informacion del AEP'!$D$53:$N$53,0))*INDEX('Informacion del AEP'!$F$133:$F$151,MATCH(C96,'Informacion del AEP'!$C$133:$C$151,0))))</f>
        <v>0</v>
      </c>
      <c r="G96" s="211"/>
      <c r="H96" s="211"/>
      <c r="I96" s="211"/>
      <c r="N96" s="246">
        <f>INDEX('Precio Mayorista'!$D$76:$D$94,MATCH('Pagos Mayoristas'!C96,'Precio Mayorista'!$G$76:$G$94,0))*INDEX('Informacion del AEP'!$F$54:$N$72,MATCH('Pagos Mayoristas'!C96,'Informacion del AEP'!$C$54:$C$72,0),MATCH('Pagos Mayoristas'!$C$88,'Informacion del AEP'!$F$53:$N$53,0))</f>
        <v>11700000</v>
      </c>
    </row>
    <row r="97" spans="3:14" x14ac:dyDescent="0.2">
      <c r="C97" s="211" t="str">
        <f>IF(Supuestos!B56="","",Supuestos!B56)</f>
        <v>Originación voz internacional Mundial Centroamérica</v>
      </c>
      <c r="D97" s="94">
        <f>INDEX('Informacion del AEP'!$F$54:$N$72,MATCH('Pagos Mayoristas'!$C97,'Informacion del AEP'!$C$54:$C$72,0),MATCH('Pagos Mayoristas'!C$88,'Informacion del AEP'!$F$53:$N$53,0))*INDEX('Hoja Auxiliar'!$D$40:$D$58,MATCH('Pagos Mayoristas'!$C97,'Hoja Auxiliar'!$C$40:$C$58,0))</f>
        <v>9707.6923076923067</v>
      </c>
      <c r="E97" s="211"/>
      <c r="F97" s="287">
        <f>IF(C97="","",('Precio Mayorista'!$D$100*INDEX('Informacion del AEP'!$D$54:$N$72,MATCH(C97,'Informacion del AEP'!$C$54:$C$72,0),MATCH($C$88,'Informacion del AEP'!$D$53:$N$53,0))*INDEX('Informacion del AEP'!$F$133:$F$151,MATCH(C97,'Informacion del AEP'!$C$133:$C$151,0))))</f>
        <v>0</v>
      </c>
      <c r="G97" s="211"/>
      <c r="H97" s="211"/>
      <c r="I97" s="211"/>
      <c r="N97" s="246">
        <f>INDEX('Precio Mayorista'!$D$76:$D$94,MATCH('Pagos Mayoristas'!C97,'Precio Mayorista'!$G$76:$G$94,0))*INDEX('Informacion del AEP'!$F$54:$N$72,MATCH('Pagos Mayoristas'!C97,'Informacion del AEP'!$C$54:$C$72,0),MATCH('Pagos Mayoristas'!$C$88,'Informacion del AEP'!$F$53:$N$53,0))</f>
        <v>750000</v>
      </c>
    </row>
    <row r="98" spans="3:14" x14ac:dyDescent="0.2">
      <c r="C98" s="211" t="str">
        <f>IF(Supuestos!B57="","",Supuestos!B57)</f>
        <v>Originación voz internacional Mundial LATAM y Caribe</v>
      </c>
      <c r="D98" s="94">
        <f>INDEX('Informacion del AEP'!$F$54:$N$72,MATCH('Pagos Mayoristas'!$C98,'Informacion del AEP'!$C$54:$C$72,0),MATCH('Pagos Mayoristas'!C$88,'Informacion del AEP'!$F$53:$N$53,0))*INDEX('Hoja Auxiliar'!$D$40:$D$58,MATCH('Pagos Mayoristas'!$C98,'Hoja Auxiliar'!$C$40:$C$58,0))</f>
        <v>647.17948717948707</v>
      </c>
      <c r="E98" s="211"/>
      <c r="F98" s="287">
        <f>IF(C98="","",('Precio Mayorista'!$D$100*INDEX('Informacion del AEP'!$D$54:$N$72,MATCH(C98,'Informacion del AEP'!$C$54:$C$72,0),MATCH($C$88,'Informacion del AEP'!$D$53:$N$53,0))*INDEX('Informacion del AEP'!$F$133:$F$151,MATCH(C98,'Informacion del AEP'!$C$133:$C$151,0))))</f>
        <v>0</v>
      </c>
      <c r="G98" s="211"/>
      <c r="H98" s="211"/>
      <c r="I98" s="211"/>
      <c r="N98" s="246">
        <f>INDEX('Precio Mayorista'!$D$76:$D$94,MATCH('Pagos Mayoristas'!C98,'Precio Mayorista'!$G$76:$G$94,0))*INDEX('Informacion del AEP'!$F$54:$N$72,MATCH('Pagos Mayoristas'!C98,'Informacion del AEP'!$C$54:$C$72,0),MATCH('Pagos Mayoristas'!$C$88,'Informacion del AEP'!$F$53:$N$53,0))</f>
        <v>100000</v>
      </c>
    </row>
    <row r="99" spans="3:14" x14ac:dyDescent="0.2">
      <c r="C99" s="211" t="str">
        <f>IF(Supuestos!B58="","",Supuestos!B58)</f>
        <v>Originación voz internacional Europa</v>
      </c>
      <c r="D99" s="94">
        <f>INDEX('Informacion del AEP'!$F$54:$N$72,MATCH('Pagos Mayoristas'!$C99,'Informacion del AEP'!$C$54:$C$72,0),MATCH('Pagos Mayoristas'!C$88,'Informacion del AEP'!$F$53:$N$53,0))*INDEX('Hoja Auxiliar'!$D$40:$D$58,MATCH('Pagos Mayoristas'!$C99,'Hoja Auxiliar'!$C$40:$C$58,0))</f>
        <v>0</v>
      </c>
      <c r="E99" s="211"/>
      <c r="F99" s="287">
        <f>IF(C99="","",('Precio Mayorista'!$D$100*INDEX('Informacion del AEP'!$D$54:$N$72,MATCH(C99,'Informacion del AEP'!$C$54:$C$72,0),MATCH($C$88,'Informacion del AEP'!$D$53:$N$53,0))*INDEX('Informacion del AEP'!$F$133:$F$151,MATCH(C99,'Informacion del AEP'!$C$133:$C$151,0))))</f>
        <v>0</v>
      </c>
      <c r="G99" s="211"/>
      <c r="H99" s="211"/>
      <c r="I99" s="211"/>
      <c r="N99" s="246">
        <f>INDEX('Precio Mayorista'!$D$76:$D$94,MATCH('Pagos Mayoristas'!C99,'Precio Mayorista'!$G$76:$G$94,0))*INDEX('Informacion del AEP'!$F$54:$N$72,MATCH('Pagos Mayoristas'!C99,'Informacion del AEP'!$C$54:$C$72,0),MATCH('Pagos Mayoristas'!$C$88,'Informacion del AEP'!$F$53:$N$53,0))</f>
        <v>0</v>
      </c>
    </row>
    <row r="100" spans="3:14" x14ac:dyDescent="0.2">
      <c r="C100" s="211" t="str">
        <f>IF(Supuestos!B59="","",Supuestos!B59)</f>
        <v>Originación voz internacional Mundial Otros geográficos</v>
      </c>
      <c r="D100" s="94">
        <f>INDEX('Informacion del AEP'!$F$54:$N$72,MATCH('Pagos Mayoristas'!$C100,'Informacion del AEP'!$C$54:$C$72,0),MATCH('Pagos Mayoristas'!C$88,'Informacion del AEP'!$F$53:$N$53,0))*INDEX('Hoja Auxiliar'!$D$40:$D$58,MATCH('Pagos Mayoristas'!$C100,'Hoja Auxiliar'!$C$40:$C$58,0))</f>
        <v>32358.974358974356</v>
      </c>
      <c r="E100" s="211"/>
      <c r="F100" s="287">
        <f>IF(C100="","",('Precio Mayorista'!$D$100*INDEX('Informacion del AEP'!$D$54:$N$72,MATCH(C100,'Informacion del AEP'!$C$54:$C$72,0),MATCH($C$88,'Informacion del AEP'!$D$53:$N$53,0))*INDEX('Informacion del AEP'!$F$133:$F$151,MATCH(C100,'Informacion del AEP'!$C$133:$C$151,0))))</f>
        <v>0</v>
      </c>
      <c r="G100" s="211"/>
      <c r="H100" s="211"/>
      <c r="I100" s="211"/>
      <c r="N100" s="246">
        <f>INDEX('Precio Mayorista'!$D$76:$D$94,MATCH('Pagos Mayoristas'!C100,'Precio Mayorista'!$G$76:$G$94,0))*INDEX('Informacion del AEP'!$F$54:$N$72,MATCH('Pagos Mayoristas'!C100,'Informacion del AEP'!$C$54:$C$72,0),MATCH('Pagos Mayoristas'!$C$88,'Informacion del AEP'!$F$53:$N$53,0))</f>
        <v>5000000</v>
      </c>
    </row>
    <row r="101" spans="3:14" x14ac:dyDescent="0.2">
      <c r="C101" s="211" t="str">
        <f>IF(Supuestos!B60="","",Supuestos!B60)</f>
        <v>Originación voz internacional Cuba</v>
      </c>
      <c r="D101" s="94">
        <f>INDEX('Informacion del AEP'!$F$54:$N$72,MATCH('Pagos Mayoristas'!$C101,'Informacion del AEP'!$C$54:$C$72,0),MATCH('Pagos Mayoristas'!C$88,'Informacion del AEP'!$F$53:$N$53,0))*INDEX('Hoja Auxiliar'!$D$40:$D$58,MATCH('Pagos Mayoristas'!$C101,'Hoja Auxiliar'!$C$40:$C$58,0))</f>
        <v>1617.9487179487178</v>
      </c>
      <c r="E101" s="211"/>
      <c r="F101" s="287">
        <f>IF(C101="","",('Precio Mayorista'!$D$100*INDEX('Informacion del AEP'!$D$54:$N$72,MATCH(C101,'Informacion del AEP'!$C$54:$C$72,0),MATCH($C$88,'Informacion del AEP'!$D$53:$N$53,0))*INDEX('Informacion del AEP'!$F$133:$F$151,MATCH(C101,'Informacion del AEP'!$C$133:$C$151,0))))</f>
        <v>0</v>
      </c>
      <c r="G101" s="211"/>
      <c r="H101" s="211"/>
      <c r="I101" s="211"/>
      <c r="N101" s="246">
        <f>INDEX('Precio Mayorista'!$D$76:$D$94,MATCH('Pagos Mayoristas'!C101,'Precio Mayorista'!$G$76:$G$94,0))*INDEX('Informacion del AEP'!$F$54:$N$72,MATCH('Pagos Mayoristas'!C101,'Informacion del AEP'!$C$54:$C$72,0),MATCH('Pagos Mayoristas'!$C$88,'Informacion del AEP'!$F$53:$N$53,0))</f>
        <v>750000</v>
      </c>
    </row>
    <row r="102" spans="3:14" x14ac:dyDescent="0.2">
      <c r="C102" s="211" t="str">
        <f>IF(Supuestos!B61="","",Supuestos!B61)</f>
        <v>Originación voz Mundial destinos no geográficos</v>
      </c>
      <c r="D102" s="94">
        <f>INDEX('Informacion del AEP'!$F$54:$N$72,MATCH('Pagos Mayoristas'!$C102,'Informacion del AEP'!$C$54:$C$72,0),MATCH('Pagos Mayoristas'!C$88,'Informacion del AEP'!$F$53:$N$53,0))*INDEX('Hoja Auxiliar'!$D$40:$D$58,MATCH('Pagos Mayoristas'!$C102,'Hoja Auxiliar'!$C$40:$C$58,0))</f>
        <v>0</v>
      </c>
      <c r="E102" s="211"/>
      <c r="F102" s="287">
        <f>IF(C102="","",('Precio Mayorista'!$D$100*INDEX('Informacion del AEP'!$D$54:$N$72,MATCH(C102,'Informacion del AEP'!$C$54:$C$72,0),MATCH($C$88,'Informacion del AEP'!$D$53:$N$53,0))*INDEX('Informacion del AEP'!$F$133:$F$151,MATCH(C102,'Informacion del AEP'!$C$133:$C$151,0))))</f>
        <v>0</v>
      </c>
      <c r="G102" s="211"/>
      <c r="H102" s="211"/>
      <c r="I102" s="211"/>
      <c r="N102" s="246">
        <f>INDEX('Precio Mayorista'!$D$76:$D$94,MATCH('Pagos Mayoristas'!C102,'Precio Mayorista'!$G$76:$G$94,0))*INDEX('Informacion del AEP'!$F$54:$N$72,MATCH('Pagos Mayoristas'!C102,'Informacion del AEP'!$C$54:$C$72,0),MATCH('Pagos Mayoristas'!$C$88,'Informacion del AEP'!$F$53:$N$53,0))</f>
        <v>0</v>
      </c>
    </row>
    <row r="103" spans="3:14" x14ac:dyDescent="0.2">
      <c r="C103" s="211" t="str">
        <f>IF(Supuestos!B62="","",Supuestos!B62)</f>
        <v>Originación SMS on-net</v>
      </c>
      <c r="D103" s="94">
        <f>INDEX('Informacion del AEP'!$F$54:$N$72,MATCH('Pagos Mayoristas'!$C103,'Informacion del AEP'!$C$54:$C$72,0),MATCH('Pagos Mayoristas'!C$88,'Informacion del AEP'!$F$53:$N$53,0))*INDEX('Hoja Auxiliar'!$D$40:$D$58,MATCH('Pagos Mayoristas'!$C103,'Hoja Auxiliar'!$C$40:$C$58,0))</f>
        <v>3244444.444444444</v>
      </c>
      <c r="E103" s="211"/>
      <c r="F103" s="287">
        <f>IF(C103="","",('Precio Mayorista'!$D$100*INDEX('Informacion del AEP'!$D$54:$N$72,MATCH(C103,'Informacion del AEP'!$C$54:$C$72,0),MATCH($C$88,'Informacion del AEP'!$D$53:$N$53,0))*INDEX('Informacion del AEP'!$F$133:$F$151,MATCH(C103,'Informacion del AEP'!$C$133:$C$151,0))))</f>
        <v>0</v>
      </c>
      <c r="G103" s="211"/>
      <c r="H103" s="211"/>
      <c r="I103" s="211"/>
      <c r="N103" s="246">
        <f>INDEX('Precio Mayorista'!$D$76:$D$94,MATCH('Pagos Mayoristas'!C103,'Precio Mayorista'!$G$76:$G$94,0))*INDEX('Informacion del AEP'!$F$54:$N$72,MATCH('Pagos Mayoristas'!C103,'Informacion del AEP'!$C$54:$C$72,0),MATCH('Pagos Mayoristas'!$C$88,'Informacion del AEP'!$F$53:$N$53,0))</f>
        <v>0</v>
      </c>
    </row>
    <row r="104" spans="3:14" x14ac:dyDescent="0.2">
      <c r="C104" s="211" t="str">
        <f>IF(Supuestos!B63="","",Supuestos!B63)</f>
        <v>Originación SMS - off-net nacional</v>
      </c>
      <c r="D104" s="94">
        <f>INDEX('Informacion del AEP'!$F$54:$N$72,MATCH('Pagos Mayoristas'!$C104,'Informacion del AEP'!$C$54:$C$72,0),MATCH('Pagos Mayoristas'!C$88,'Informacion del AEP'!$F$53:$N$53,0))*INDEX('Hoja Auxiliar'!$D$40:$D$58,MATCH('Pagos Mayoristas'!$C104,'Hoja Auxiliar'!$C$40:$C$58,0))</f>
        <v>811111.11111111101</v>
      </c>
      <c r="E104" s="211"/>
      <c r="F104" s="287">
        <f>IF(C104="","",('Precio Mayorista'!$D$100*INDEX('Informacion del AEP'!$D$54:$N$72,MATCH(C104,'Informacion del AEP'!$C$54:$C$72,0),MATCH($C$88,'Informacion del AEP'!$D$53:$N$53,0))*INDEX('Informacion del AEP'!$F$133:$F$151,MATCH(C104,'Informacion del AEP'!$C$133:$C$151,0))))</f>
        <v>0</v>
      </c>
      <c r="G104" s="211"/>
      <c r="H104" s="211"/>
      <c r="I104" s="211"/>
      <c r="N104" s="246">
        <f>INDEX('Precio Mayorista'!$D$76:$D$94,MATCH('Pagos Mayoristas'!C104,'Precio Mayorista'!$G$76:$G$94,0))*INDEX('Informacion del AEP'!$F$54:$N$72,MATCH('Pagos Mayoristas'!C104,'Informacion del AEP'!$C$54:$C$72,0),MATCH('Pagos Mayoristas'!$C$88,'Informacion del AEP'!$F$53:$N$53,0))</f>
        <v>812800</v>
      </c>
    </row>
    <row r="105" spans="3:14" x14ac:dyDescent="0.2">
      <c r="C105" s="211" t="str">
        <f>IF(Supuestos!B64="","",Supuestos!B64)</f>
        <v>Originación SMS internacional (USA-Canadá)</v>
      </c>
      <c r="D105" s="94">
        <f>INDEX('Informacion del AEP'!$F$54:$N$72,MATCH('Pagos Mayoristas'!$C105,'Informacion del AEP'!$C$54:$C$72,0),MATCH('Pagos Mayoristas'!C$88,'Informacion del AEP'!$F$53:$N$53,0))*INDEX('Hoja Auxiliar'!$D$40:$D$58,MATCH('Pagos Mayoristas'!$C105,'Hoja Auxiliar'!$C$40:$C$58,0))</f>
        <v>162222.22222222222</v>
      </c>
      <c r="E105" s="211"/>
      <c r="F105" s="287">
        <f>IF(C105="","",('Precio Mayorista'!$D$100*INDEX('Informacion del AEP'!$D$54:$N$72,MATCH(C105,'Informacion del AEP'!$C$54:$C$72,0),MATCH($C$88,'Informacion del AEP'!$D$53:$N$53,0))*INDEX('Informacion del AEP'!$F$133:$F$151,MATCH(C105,'Informacion del AEP'!$C$133:$C$151,0))))</f>
        <v>0</v>
      </c>
      <c r="G105" s="211"/>
      <c r="H105" s="211"/>
      <c r="I105" s="211"/>
      <c r="N105" s="246">
        <f>INDEX('Precio Mayorista'!$D$76:$D$94,MATCH('Pagos Mayoristas'!C105,'Precio Mayorista'!$G$76:$G$94,0))*INDEX('Informacion del AEP'!$F$54:$N$72,MATCH('Pagos Mayoristas'!C105,'Informacion del AEP'!$C$54:$C$72,0),MATCH('Pagos Mayoristas'!$C$88,'Informacion del AEP'!$F$53:$N$53,0))</f>
        <v>5000000</v>
      </c>
    </row>
    <row r="106" spans="3:14" x14ac:dyDescent="0.2">
      <c r="C106" s="211" t="str">
        <f>IF(Supuestos!B65="","",Supuestos!B65)</f>
        <v>Originación SMS internacional (Resto del Mundo)</v>
      </c>
      <c r="D106" s="94">
        <f>INDEX('Informacion del AEP'!$F$54:$N$72,MATCH('Pagos Mayoristas'!$C106,'Informacion del AEP'!$C$54:$C$72,0),MATCH('Pagos Mayoristas'!C$88,'Informacion del AEP'!$F$53:$N$53,0))*INDEX('Hoja Auxiliar'!$D$40:$D$58,MATCH('Pagos Mayoristas'!$C106,'Hoja Auxiliar'!$C$40:$C$58,0))</f>
        <v>16222.222222222221</v>
      </c>
      <c r="E106" s="211"/>
      <c r="F106" s="287">
        <f>IF(C106="","",('Precio Mayorista'!$D$100*INDEX('Informacion del AEP'!$D$54:$N$72,MATCH(C106,'Informacion del AEP'!$C$54:$C$72,0),MATCH($C$88,'Informacion del AEP'!$D$53:$N$53,0))*INDEX('Informacion del AEP'!$F$133:$F$151,MATCH(C106,'Informacion del AEP'!$C$133:$C$151,0))))</f>
        <v>0</v>
      </c>
      <c r="G106" s="211"/>
      <c r="H106" s="211"/>
      <c r="I106" s="211"/>
      <c r="N106" s="246">
        <f>INDEX('Precio Mayorista'!$D$76:$D$94,MATCH('Pagos Mayoristas'!C106,'Precio Mayorista'!$G$76:$G$94,0))*INDEX('Informacion del AEP'!$F$54:$N$72,MATCH('Pagos Mayoristas'!C106,'Informacion del AEP'!$C$54:$C$72,0),MATCH('Pagos Mayoristas'!$C$88,'Informacion del AEP'!$F$53:$N$53,0))</f>
        <v>750000</v>
      </c>
    </row>
    <row r="107" spans="3:14" x14ac:dyDescent="0.2">
      <c r="C107" s="211" t="str">
        <f>IF(Supuestos!B66="","",Supuestos!B66)</f>
        <v>Otros servicios (incluyendo marcaciones especiales)</v>
      </c>
      <c r="D107" s="94">
        <f>INDEX('Informacion del AEP'!$F$54:$N$72,MATCH('Pagos Mayoristas'!$C107,'Informacion del AEP'!$C$54:$C$72,0),MATCH('Pagos Mayoristas'!C$88,'Informacion del AEP'!$F$53:$N$53,0))*INDEX('Hoja Auxiliar'!$D$40:$D$58,MATCH('Pagos Mayoristas'!$C107,'Hoja Auxiliar'!$C$40:$C$58,0))</f>
        <v>16179487.179487178</v>
      </c>
      <c r="E107" s="211"/>
      <c r="F107" s="287">
        <f>IF(C107="","",('Precio Mayorista'!$D$100*INDEX('Informacion del AEP'!$D$54:$N$72,MATCH(C107,'Informacion del AEP'!$C$54:$C$72,0),MATCH($C$88,'Informacion del AEP'!$D$53:$N$53,0))*INDEX('Informacion del AEP'!$F$133:$F$151,MATCH(C107,'Informacion del AEP'!$C$133:$C$151,0))))</f>
        <v>0</v>
      </c>
      <c r="G107" s="211"/>
      <c r="H107" s="211"/>
      <c r="I107" s="211"/>
      <c r="N107" s="246">
        <f>INDEX('Precio Mayorista'!$D$76:$D$94,MATCH('Pagos Mayoristas'!C107,'Precio Mayorista'!$G$76:$G$94,0))*INDEX('Informacion del AEP'!$F$54:$N$72,MATCH('Pagos Mayoristas'!C107,'Informacion del AEP'!$C$54:$C$72,0),MATCH('Pagos Mayoristas'!$C$88,'Informacion del AEP'!$F$53:$N$53,0))</f>
        <v>490000000</v>
      </c>
    </row>
    <row r="108" spans="3:14" x14ac:dyDescent="0.2">
      <c r="C108" s="211"/>
      <c r="D108" s="94"/>
      <c r="E108" s="211"/>
      <c r="F108" s="94"/>
      <c r="G108" s="211"/>
      <c r="H108" s="211"/>
      <c r="I108" s="211"/>
    </row>
    <row r="109" spans="3:14" x14ac:dyDescent="0.2">
      <c r="C109" s="76"/>
      <c r="D109" s="94"/>
      <c r="E109" s="211"/>
      <c r="F109" s="94"/>
      <c r="G109" s="211"/>
      <c r="H109" s="211"/>
      <c r="I109" s="211"/>
    </row>
    <row r="110" spans="3:14" x14ac:dyDescent="0.2">
      <c r="E110" s="211"/>
      <c r="F110" s="94"/>
      <c r="G110" s="211"/>
      <c r="H110" s="211"/>
      <c r="I110" s="211"/>
    </row>
    <row r="111" spans="3:14" x14ac:dyDescent="0.2">
      <c r="E111" s="211"/>
      <c r="F111" s="94"/>
      <c r="G111" s="211"/>
      <c r="H111" s="211"/>
      <c r="I111" s="211"/>
    </row>
    <row r="112" spans="3:14" x14ac:dyDescent="0.2">
      <c r="E112" s="211"/>
      <c r="F112" s="211"/>
      <c r="G112" s="211"/>
      <c r="H112" s="211"/>
      <c r="I112" s="211"/>
    </row>
    <row r="113" spans="3:15" x14ac:dyDescent="0.2">
      <c r="C113" s="211"/>
      <c r="D113" s="94"/>
      <c r="E113" s="211"/>
      <c r="F113" s="211"/>
      <c r="G113" s="211"/>
      <c r="H113" s="211"/>
      <c r="I113" s="211"/>
    </row>
    <row r="114" spans="3:15" x14ac:dyDescent="0.2">
      <c r="C114" s="89" t="str">
        <f>Supuestos!$B$79</f>
        <v>Telcel Prepago 2</v>
      </c>
      <c r="D114" s="93">
        <f>SUM(D115:D133)</f>
        <v>845956929.13286376</v>
      </c>
      <c r="E114" s="90"/>
      <c r="F114" s="93">
        <f>SUM(F115:F133)</f>
        <v>0</v>
      </c>
      <c r="G114" s="90"/>
      <c r="H114" s="93"/>
      <c r="I114" s="93">
        <f>INDEX('Informacion del AEP'!$H$29:$H$48,MATCH('Pagos Mayoristas'!C114,'Informacion del AEP'!$C$29:$C$48,0))*'Hoja Auxiliar'!$D$61</f>
        <v>800000</v>
      </c>
      <c r="J114" s="5"/>
      <c r="K114" s="93"/>
      <c r="L114" s="241">
        <f>$L$10*(INDEX('Informacion del AEP'!$F$12:$N$12,MATCH('Pagos Mayoristas'!C114,'Informacion del AEP'!$F$11:$N$11,0))/INDEX('Informacion del AEP'!$F$12:$N$12,MATCH('Pagos Mayoristas'!$C$10,'Informacion del AEP'!$F$11:$N$11,0)))</f>
        <v>134510.86956521741</v>
      </c>
      <c r="M114" s="241"/>
      <c r="N114" s="93">
        <f>SUM(N115:N133)</f>
        <v>226904706.80129871</v>
      </c>
      <c r="O114" s="241">
        <f>SUM(D114:N114)</f>
        <v>1073796146.8037276</v>
      </c>
    </row>
    <row r="115" spans="3:15" x14ac:dyDescent="0.2">
      <c r="C115" s="211" t="str">
        <f>IF(Supuestos!B48="","",Supuestos!B48)</f>
        <v>Datos</v>
      </c>
      <c r="D115" s="94">
        <f>INDEX('Informacion del AEP'!$F$54:$N$72,MATCH('Pagos Mayoristas'!$C115,'Informacion del AEP'!$C$54:$C$72,0),MATCH('Pagos Mayoristas'!C$114,'Informacion del AEP'!$F$53:$N$53,0))*INDEX('Hoja Auxiliar'!$D$40:$D$58,MATCH('Pagos Mayoristas'!$C115,'Hoja Auxiliar'!$C$40:$C$58,0))</f>
        <v>769276977.90806758</v>
      </c>
      <c r="E115" s="211"/>
      <c r="F115" s="287">
        <f>IF(C115="","",('Precio Mayorista'!$D$100*INDEX('Informacion del AEP'!$D$54:$N$72,MATCH(C115,'Informacion del AEP'!$C$54:$C$72,0),MATCH($C$114,'Informacion del AEP'!$D$53:$N$53,0))*INDEX('Informacion del AEP'!$F$133:$F$151,MATCH(C115,'Informacion del AEP'!$C$133:$C$151,0))))</f>
        <v>0</v>
      </c>
      <c r="G115" s="211"/>
      <c r="H115" s="211"/>
      <c r="I115" s="211"/>
      <c r="N115" s="246">
        <f>INDEX('Precio Mayorista'!$D$76:$D$94,MATCH('Pagos Mayoristas'!C115,'Precio Mayorista'!$G$76:$G$94,0))*INDEX('Informacion del AEP'!$F$54:$N$72,MATCH('Pagos Mayoristas'!C115,'Informacion del AEP'!$C$54:$C$72,0),MATCH('Pagos Mayoristas'!$C$114,'Informacion del AEP'!$F$53:$N$53,0))</f>
        <v>0</v>
      </c>
    </row>
    <row r="116" spans="3:15" x14ac:dyDescent="0.2">
      <c r="C116" s="211" t="str">
        <f>IF(Supuestos!B49="","",Supuestos!B49)</f>
        <v>Originación voz on-net local</v>
      </c>
      <c r="D116" s="94">
        <f>INDEX('Informacion del AEP'!$F$54:$N$72,MATCH('Pagos Mayoristas'!$C116,'Informacion del AEP'!$C$54:$C$72,0),MATCH('Pagos Mayoristas'!C$114,'Informacion del AEP'!$F$53:$N$53,0))*INDEX('Hoja Auxiliar'!$D$40:$D$58,MATCH('Pagos Mayoristas'!$C116,'Hoja Auxiliar'!$C$40:$C$58,0))</f>
        <v>33588780.371699937</v>
      </c>
      <c r="E116" s="211"/>
      <c r="F116" s="287">
        <f>IF(C116="","",('Precio Mayorista'!$D$100*INDEX('Informacion del AEP'!$D$54:$N$72,MATCH(C116,'Informacion del AEP'!$C$54:$C$72,0),MATCH($C$114,'Informacion del AEP'!$D$53:$N$53,0))*INDEX('Informacion del AEP'!$F$133:$F$151,MATCH(C116,'Informacion del AEP'!$C$133:$C$151,0))))</f>
        <v>0</v>
      </c>
      <c r="G116" s="211"/>
      <c r="H116" s="211"/>
      <c r="I116" s="211"/>
      <c r="N116" s="246">
        <f>INDEX('Precio Mayorista'!$D$76:$D$94,MATCH('Pagos Mayoristas'!C116,'Precio Mayorista'!$G$76:$G$94,0))*INDEX('Informacion del AEP'!$F$54:$N$72,MATCH('Pagos Mayoristas'!C116,'Informacion del AEP'!$C$54:$C$72,0),MATCH('Pagos Mayoristas'!$C$114,'Informacion del AEP'!$F$53:$N$53,0))</f>
        <v>0</v>
      </c>
    </row>
    <row r="117" spans="3:15" x14ac:dyDescent="0.2">
      <c r="C117" s="211" t="str">
        <f>IF(Supuestos!B50="","",Supuestos!B50)</f>
        <v>Originación voz off-net móvil local</v>
      </c>
      <c r="D117" s="94">
        <f>INDEX('Informacion del AEP'!$F$54:$N$72,MATCH('Pagos Mayoristas'!$C117,'Informacion del AEP'!$C$54:$C$72,0),MATCH('Pagos Mayoristas'!C$114,'Informacion del AEP'!$F$53:$N$53,0))*INDEX('Hoja Auxiliar'!$D$40:$D$58,MATCH('Pagos Mayoristas'!$C117,'Hoja Auxiliar'!$C$40:$C$58,0))</f>
        <v>5117385.2669572597</v>
      </c>
      <c r="E117" s="211"/>
      <c r="F117" s="287">
        <f>IF(C117="","",('Precio Mayorista'!$D$100*INDEX('Informacion del AEP'!$D$54:$N$72,MATCH(C117,'Informacion del AEP'!$C$54:$C$72,0),MATCH($C$114,'Informacion del AEP'!$D$53:$N$53,0))*INDEX('Informacion del AEP'!$F$133:$F$151,MATCH(C117,'Informacion del AEP'!$C$133:$C$151,0))))</f>
        <v>0</v>
      </c>
      <c r="G117" s="211"/>
      <c r="H117" s="211"/>
      <c r="I117" s="211"/>
      <c r="N117" s="246">
        <f>INDEX('Precio Mayorista'!$D$76:$D$94,MATCH('Pagos Mayoristas'!C117,'Precio Mayorista'!$G$76:$G$94,0))*INDEX('Informacion del AEP'!$F$54:$N$72,MATCH('Pagos Mayoristas'!C117,'Informacion del AEP'!$C$54:$C$72,0),MATCH('Pagos Mayoristas'!$C$114,'Informacion del AEP'!$F$53:$N$53,0))</f>
        <v>10811214.382880321</v>
      </c>
    </row>
    <row r="118" spans="3:15" x14ac:dyDescent="0.2">
      <c r="C118" s="211" t="str">
        <f>IF(Supuestos!B51="","",Supuestos!B51)</f>
        <v>Originación voz off-net fijo local</v>
      </c>
      <c r="D118" s="94">
        <f>INDEX('Informacion del AEP'!$F$54:$N$72,MATCH('Pagos Mayoristas'!$C118,'Informacion del AEP'!$C$54:$C$72,0),MATCH('Pagos Mayoristas'!C$114,'Informacion del AEP'!$F$53:$N$53,0))*INDEX('Hoja Auxiliar'!$D$40:$D$58,MATCH('Pagos Mayoristas'!$C118,'Hoja Auxiliar'!$C$40:$C$58,0))</f>
        <v>2580113.3495769142</v>
      </c>
      <c r="E118" s="211"/>
      <c r="F118" s="287">
        <f>IF(C118="","",('Precio Mayorista'!$D$100*INDEX('Informacion del AEP'!$D$54:$N$72,MATCH(C118,'Informacion del AEP'!$C$54:$C$72,0),MATCH($C$114,'Informacion del AEP'!$D$53:$N$53,0))*INDEX('Informacion del AEP'!$F$133:$F$151,MATCH(C118,'Informacion del AEP'!$C$133:$C$151,0))))</f>
        <v>0</v>
      </c>
      <c r="G118" s="211"/>
      <c r="H118" s="211"/>
      <c r="I118" s="211"/>
      <c r="N118" s="246">
        <f>INDEX('Precio Mayorista'!$D$76:$D$94,MATCH('Pagos Mayoristas'!C118,'Precio Mayorista'!$G$76:$G$94,0))*INDEX('Informacion del AEP'!$F$54:$N$72,MATCH('Pagos Mayoristas'!C118,'Informacion del AEP'!$C$54:$C$72,0),MATCH('Pagos Mayoristas'!$C$114,'Informacion del AEP'!$F$53:$N$53,0))</f>
        <v>280663.99415999907</v>
      </c>
    </row>
    <row r="119" spans="3:15" x14ac:dyDescent="0.2">
      <c r="C119" s="211" t="str">
        <f>IF(Supuestos!B52="","",Supuestos!B52)</f>
        <v>Originación voz on-net LDN</v>
      </c>
      <c r="D119" s="94">
        <f>INDEX('Informacion del AEP'!$F$54:$N$72,MATCH('Pagos Mayoristas'!$C119,'Informacion del AEP'!$C$54:$C$72,0),MATCH('Pagos Mayoristas'!C$114,'Informacion del AEP'!$F$53:$N$53,0))*INDEX('Hoja Auxiliar'!$D$40:$D$58,MATCH('Pagos Mayoristas'!$C119,'Hoja Auxiliar'!$C$40:$C$58,0))</f>
        <v>18903273.550064083</v>
      </c>
      <c r="E119" s="211"/>
      <c r="F119" s="287">
        <f>IF(C119="","",('Precio Mayorista'!$D$100*INDEX('Informacion del AEP'!$D$54:$N$72,MATCH(C119,'Informacion del AEP'!$C$54:$C$72,0),MATCH($C$114,'Informacion del AEP'!$D$53:$N$53,0))*INDEX('Informacion del AEP'!$F$133:$F$151,MATCH(C119,'Informacion del AEP'!$C$133:$C$151,0))))</f>
        <v>0</v>
      </c>
      <c r="G119" s="211"/>
      <c r="H119" s="211"/>
      <c r="I119" s="211"/>
      <c r="N119" s="246">
        <f>INDEX('Precio Mayorista'!$D$76:$D$94,MATCH('Pagos Mayoristas'!C119,'Precio Mayorista'!$G$76:$G$94,0))*INDEX('Informacion del AEP'!$F$54:$N$72,MATCH('Pagos Mayoristas'!C119,'Informacion del AEP'!$C$54:$C$72,0),MATCH('Pagos Mayoristas'!$C$114,'Informacion del AEP'!$F$53:$N$53,0))</f>
        <v>0</v>
      </c>
    </row>
    <row r="120" spans="3:15" x14ac:dyDescent="0.2">
      <c r="C120" s="211" t="str">
        <f>IF(Supuestos!B53="","",Supuestos!B53)</f>
        <v>Originación voz off-net móvil LDN</v>
      </c>
      <c r="D120" s="94">
        <f>INDEX('Informacion del AEP'!$F$54:$N$72,MATCH('Pagos Mayoristas'!$C120,'Informacion del AEP'!$C$54:$C$72,0),MATCH('Pagos Mayoristas'!C$114,'Informacion del AEP'!$F$53:$N$53,0))*INDEX('Hoja Auxiliar'!$D$40:$D$58,MATCH('Pagos Mayoristas'!$C120,'Hoja Auxiliar'!$C$40:$C$58,0))</f>
        <v>3612494.8398264851</v>
      </c>
      <c r="E120" s="211"/>
      <c r="F120" s="287">
        <f>IF(C120="","",('Precio Mayorista'!$D$100*INDEX('Informacion del AEP'!$D$54:$N$72,MATCH(C120,'Informacion del AEP'!$C$54:$C$72,0),MATCH($C$114,'Informacion del AEP'!$D$53:$N$53,0))*INDEX('Informacion del AEP'!$F$133:$F$151,MATCH(C120,'Informacion del AEP'!$C$133:$C$151,0))))</f>
        <v>0</v>
      </c>
      <c r="G120" s="211"/>
      <c r="H120" s="211"/>
      <c r="I120" s="211"/>
      <c r="N120" s="246">
        <f>INDEX('Precio Mayorista'!$D$76:$D$94,MATCH('Pagos Mayoristas'!C120,'Precio Mayorista'!$G$76:$G$94,0))*INDEX('Informacion del AEP'!$F$54:$N$72,MATCH('Pagos Mayoristas'!C120,'Informacion del AEP'!$C$54:$C$72,0),MATCH('Pagos Mayoristas'!$C$114,'Informacion del AEP'!$F$53:$N$53,0))</f>
        <v>7631916.3269946603</v>
      </c>
    </row>
    <row r="121" spans="3:15" x14ac:dyDescent="0.2">
      <c r="C121" s="211" t="str">
        <f>IF(Supuestos!B54="","",Supuestos!B54)</f>
        <v>Originación voz off-net fijo LDN</v>
      </c>
      <c r="D121" s="94">
        <f>INDEX('Informacion del AEP'!$F$54:$N$72,MATCH('Pagos Mayoristas'!$C121,'Informacion del AEP'!$C$54:$C$72,0),MATCH('Pagos Mayoristas'!C$114,'Informacion del AEP'!$F$53:$N$53,0))*INDEX('Hoja Auxiliar'!$D$40:$D$58,MATCH('Pagos Mayoristas'!$C121,'Hoja Auxiliar'!$C$40:$C$58,0))</f>
        <v>1895964.9654512794</v>
      </c>
      <c r="E121" s="211"/>
      <c r="F121" s="287">
        <f>IF(C121="","",('Precio Mayorista'!$D$100*INDEX('Informacion del AEP'!$D$54:$N$72,MATCH(C121,'Informacion del AEP'!$C$54:$C$72,0),MATCH($C$114,'Informacion del AEP'!$D$53:$N$53,0))*INDEX('Informacion del AEP'!$F$133:$F$151,MATCH(C121,'Informacion del AEP'!$C$133:$C$151,0))))</f>
        <v>0</v>
      </c>
      <c r="G121" s="211"/>
      <c r="H121" s="211"/>
      <c r="I121" s="211"/>
      <c r="N121" s="246">
        <f>INDEX('Precio Mayorista'!$D$76:$D$94,MATCH('Pagos Mayoristas'!C121,'Precio Mayorista'!$G$76:$G$94,0))*INDEX('Informacion del AEP'!$F$54:$N$72,MATCH('Pagos Mayoristas'!C121,'Informacion del AEP'!$C$54:$C$72,0),MATCH('Pagos Mayoristas'!$C$114,'Informacion del AEP'!$F$53:$N$53,0))</f>
        <v>206242.52809599973</v>
      </c>
    </row>
    <row r="122" spans="3:15" x14ac:dyDescent="0.2">
      <c r="C122" s="211" t="str">
        <f>IF(Supuestos!B55="","",Supuestos!B55)</f>
        <v>Originación voz internacional USA-Canadá</v>
      </c>
      <c r="D122" s="94">
        <f>INDEX('Informacion del AEP'!$F$54:$N$72,MATCH('Pagos Mayoristas'!$C122,'Informacion del AEP'!$C$54:$C$72,0),MATCH('Pagos Mayoristas'!C$114,'Informacion del AEP'!$F$53:$N$53,0))*INDEX('Hoja Auxiliar'!$D$40:$D$58,MATCH('Pagos Mayoristas'!$C122,'Hoja Auxiliar'!$C$40:$C$58,0))</f>
        <v>2270435.8438307638</v>
      </c>
      <c r="E122" s="211"/>
      <c r="F122" s="287">
        <f>IF(C122="","",('Precio Mayorista'!$D$100*INDEX('Informacion del AEP'!$D$54:$N$72,MATCH(C122,'Informacion del AEP'!$C$54:$C$72,0),MATCH($C$114,'Informacion del AEP'!$D$53:$N$53,0))*INDEX('Informacion del AEP'!$F$133:$F$151,MATCH(C122,'Informacion del AEP'!$C$133:$C$151,0))))</f>
        <v>0</v>
      </c>
      <c r="G122" s="211"/>
      <c r="H122" s="211"/>
      <c r="I122" s="211"/>
      <c r="N122" s="246">
        <f>INDEX('Precio Mayorista'!$D$76:$D$94,MATCH('Pagos Mayoristas'!C122,'Precio Mayorista'!$G$76:$G$94,0))*INDEX('Informacion del AEP'!$F$54:$N$72,MATCH('Pagos Mayoristas'!C122,'Informacion del AEP'!$C$54:$C$72,0),MATCH('Pagos Mayoristas'!$C$114,'Informacion del AEP'!$F$53:$N$53,0))</f>
        <v>6314762.1329999855</v>
      </c>
    </row>
    <row r="123" spans="3:15" x14ac:dyDescent="0.2">
      <c r="C123" s="211" t="str">
        <f>IF(Supuestos!B56="","",Supuestos!B56)</f>
        <v>Originación voz internacional Mundial Centroamérica</v>
      </c>
      <c r="D123" s="94">
        <f>INDEX('Informacion del AEP'!$F$54:$N$72,MATCH('Pagos Mayoristas'!$C123,'Informacion del AEP'!$C$54:$C$72,0),MATCH('Pagos Mayoristas'!C$114,'Informacion del AEP'!$F$53:$N$53,0))*INDEX('Hoja Auxiliar'!$D$40:$D$58,MATCH('Pagos Mayoristas'!$C123,'Hoja Auxiliar'!$C$40:$C$58,0))</f>
        <v>941.39159658118706</v>
      </c>
      <c r="E123" s="211"/>
      <c r="F123" s="287">
        <f>IF(C123="","",('Precio Mayorista'!$D$100*INDEX('Informacion del AEP'!$D$54:$N$72,MATCH(C123,'Informacion del AEP'!$C$54:$C$72,0),MATCH($C$114,'Informacion del AEP'!$D$53:$N$53,0))*INDEX('Informacion del AEP'!$F$133:$F$151,MATCH(C123,'Informacion del AEP'!$C$133:$C$151,0))))</f>
        <v>0</v>
      </c>
      <c r="G123" s="211"/>
      <c r="H123" s="211"/>
      <c r="I123" s="211"/>
      <c r="N123" s="246">
        <f>INDEX('Precio Mayorista'!$D$76:$D$94,MATCH('Pagos Mayoristas'!C123,'Precio Mayorista'!$G$76:$G$94,0))*INDEX('Informacion del AEP'!$F$54:$N$72,MATCH('Pagos Mayoristas'!C123,'Informacion del AEP'!$C$54:$C$72,0),MATCH('Pagos Mayoristas'!$C$114,'Informacion del AEP'!$F$53:$N$53,0))</f>
        <v>72730.333333332601</v>
      </c>
    </row>
    <row r="124" spans="3:15" x14ac:dyDescent="0.2">
      <c r="C124" s="211" t="str">
        <f>IF(Supuestos!B57="","",Supuestos!B57)</f>
        <v>Originación voz internacional Mundial LATAM y Caribe</v>
      </c>
      <c r="D124" s="94">
        <f>INDEX('Informacion del AEP'!$F$54:$N$72,MATCH('Pagos Mayoristas'!$C124,'Informacion del AEP'!$C$54:$C$72,0),MATCH('Pagos Mayoristas'!C$114,'Informacion del AEP'!$F$53:$N$53,0))*INDEX('Hoja Auxiliar'!$D$40:$D$58,MATCH('Pagos Mayoristas'!$C124,'Hoja Auxiliar'!$C$40:$C$58,0))</f>
        <v>836.31229914528433</v>
      </c>
      <c r="E124" s="211"/>
      <c r="F124" s="287">
        <f>IF(C124="","",('Precio Mayorista'!$D$100*INDEX('Informacion del AEP'!$D$54:$N$72,MATCH(C124,'Informacion del AEP'!$C$54:$C$72,0),MATCH($C$114,'Informacion del AEP'!$D$53:$N$53,0))*INDEX('Informacion del AEP'!$F$133:$F$151,MATCH(C124,'Informacion del AEP'!$C$133:$C$151,0))))</f>
        <v>0</v>
      </c>
      <c r="G124" s="211"/>
      <c r="H124" s="211"/>
      <c r="I124" s="211"/>
      <c r="N124" s="246">
        <f>INDEX('Precio Mayorista'!$D$76:$D$94,MATCH('Pagos Mayoristas'!C124,'Precio Mayorista'!$G$76:$G$94,0))*INDEX('Informacion del AEP'!$F$54:$N$72,MATCH('Pagos Mayoristas'!C124,'Informacion del AEP'!$C$54:$C$72,0),MATCH('Pagos Mayoristas'!$C$114,'Informacion del AEP'!$F$53:$N$53,0))</f>
        <v>129224.16666666439</v>
      </c>
    </row>
    <row r="125" spans="3:15" x14ac:dyDescent="0.2">
      <c r="C125" s="211" t="str">
        <f>IF(Supuestos!B58="","",Supuestos!B58)</f>
        <v>Originación voz internacional Europa</v>
      </c>
      <c r="D125" s="94">
        <f>INDEX('Informacion del AEP'!$F$54:$N$72,MATCH('Pagos Mayoristas'!$C125,'Informacion del AEP'!$C$54:$C$72,0),MATCH('Pagos Mayoristas'!C$114,'Informacion del AEP'!$F$53:$N$53,0))*INDEX('Hoja Auxiliar'!$D$40:$D$58,MATCH('Pagos Mayoristas'!$C125,'Hoja Auxiliar'!$C$40:$C$58,0))</f>
        <v>0</v>
      </c>
      <c r="E125" s="211"/>
      <c r="F125" s="287">
        <f>IF(C125="","",('Precio Mayorista'!$D$100*INDEX('Informacion del AEP'!$D$54:$N$72,MATCH(C125,'Informacion del AEP'!$C$54:$C$72,0),MATCH($C$114,'Informacion del AEP'!$D$53:$N$53,0))*INDEX('Informacion del AEP'!$F$133:$F$151,MATCH(C125,'Informacion del AEP'!$C$133:$C$151,0))))</f>
        <v>0</v>
      </c>
      <c r="G125" s="211"/>
      <c r="H125" s="211"/>
      <c r="I125" s="211"/>
      <c r="N125" s="246">
        <f>INDEX('Precio Mayorista'!$D$76:$D$94,MATCH('Pagos Mayoristas'!C125,'Precio Mayorista'!$G$76:$G$94,0))*INDEX('Informacion del AEP'!$F$54:$N$72,MATCH('Pagos Mayoristas'!C125,'Informacion del AEP'!$C$54:$C$72,0),MATCH('Pagos Mayoristas'!$C$114,'Informacion del AEP'!$F$53:$N$53,0))</f>
        <v>0</v>
      </c>
    </row>
    <row r="126" spans="3:15" x14ac:dyDescent="0.2">
      <c r="C126" s="211" t="str">
        <f>IF(Supuestos!B59="","",Supuestos!B59)</f>
        <v>Originación voz internacional Mundial Otros geográficos</v>
      </c>
      <c r="D126" s="94">
        <f>INDEX('Informacion del AEP'!$F$54:$N$72,MATCH('Pagos Mayoristas'!$C126,'Informacion del AEP'!$C$54:$C$72,0),MATCH('Pagos Mayoristas'!C$114,'Informacion del AEP'!$F$53:$N$53,0))*INDEX('Hoja Auxiliar'!$D$40:$D$58,MATCH('Pagos Mayoristas'!$C126,'Hoja Auxiliar'!$C$40:$C$58,0))</f>
        <v>7996.1986487177965</v>
      </c>
      <c r="E126" s="211"/>
      <c r="F126" s="287">
        <f>IF(C126="","",('Precio Mayorista'!$D$100*INDEX('Informacion del AEP'!$D$54:$N$72,MATCH(C126,'Informacion del AEP'!$C$54:$C$72,0),MATCH($C$114,'Informacion del AEP'!$D$53:$N$53,0))*INDEX('Informacion del AEP'!$F$133:$F$151,MATCH(C126,'Informacion del AEP'!$C$133:$C$151,0))))</f>
        <v>0</v>
      </c>
      <c r="G126" s="211"/>
      <c r="H126" s="211"/>
      <c r="I126" s="211"/>
      <c r="N126" s="246">
        <f>INDEX('Precio Mayorista'!$D$76:$D$94,MATCH('Pagos Mayoristas'!C126,'Precio Mayorista'!$G$76:$G$94,0))*INDEX('Informacion del AEP'!$F$54:$N$72,MATCH('Pagos Mayoristas'!C126,'Informacion del AEP'!$C$54:$C$72,0),MATCH('Pagos Mayoristas'!$C$114,'Informacion del AEP'!$F$53:$N$53,0))</f>
        <v>1235545.7499999765</v>
      </c>
    </row>
    <row r="127" spans="3:15" x14ac:dyDescent="0.2">
      <c r="C127" s="211" t="str">
        <f>IF(Supuestos!B60="","",Supuestos!B60)</f>
        <v>Originación voz internacional Cuba</v>
      </c>
      <c r="D127" s="94">
        <f>INDEX('Informacion del AEP'!$F$54:$N$72,MATCH('Pagos Mayoristas'!$C127,'Informacion del AEP'!$C$54:$C$72,0),MATCH('Pagos Mayoristas'!C$114,'Informacion del AEP'!$F$53:$N$53,0))*INDEX('Hoja Auxiliar'!$D$40:$D$58,MATCH('Pagos Mayoristas'!$C127,'Hoja Auxiliar'!$C$40:$C$58,0))</f>
        <v>259.85766495726278</v>
      </c>
      <c r="E127" s="211"/>
      <c r="F127" s="287">
        <f>IF(C127="","",('Precio Mayorista'!$D$100*INDEX('Informacion del AEP'!$D$54:$N$72,MATCH(C127,'Informacion del AEP'!$C$54:$C$72,0),MATCH($C$114,'Informacion del AEP'!$D$53:$N$53,0))*INDEX('Informacion del AEP'!$F$133:$F$151,MATCH(C127,'Informacion del AEP'!$C$133:$C$151,0))))</f>
        <v>0</v>
      </c>
      <c r="G127" s="211"/>
      <c r="H127" s="211"/>
      <c r="I127" s="211"/>
      <c r="N127" s="246">
        <f>INDEX('Precio Mayorista'!$D$76:$D$94,MATCH('Pagos Mayoristas'!C127,'Precio Mayorista'!$G$76:$G$94,0))*INDEX('Informacion del AEP'!$F$54:$N$72,MATCH('Pagos Mayoristas'!C127,'Informacion del AEP'!$C$54:$C$72,0),MATCH('Pagos Mayoristas'!$C$114,'Informacion del AEP'!$F$53:$N$53,0))</f>
        <v>120456.999999999</v>
      </c>
    </row>
    <row r="128" spans="3:15" x14ac:dyDescent="0.2">
      <c r="C128" s="211" t="str">
        <f>IF(Supuestos!B61="","",Supuestos!B61)</f>
        <v>Originación voz Mundial destinos no geográficos</v>
      </c>
      <c r="D128" s="94">
        <f>INDEX('Informacion del AEP'!$F$54:$N$72,MATCH('Pagos Mayoristas'!$C128,'Informacion del AEP'!$C$54:$C$72,0),MATCH('Pagos Mayoristas'!C$114,'Informacion del AEP'!$F$53:$N$53,0))*INDEX('Hoja Auxiliar'!$D$40:$D$58,MATCH('Pagos Mayoristas'!$C128,'Hoja Auxiliar'!$C$40:$C$58,0))</f>
        <v>0</v>
      </c>
      <c r="E128" s="211"/>
      <c r="F128" s="287">
        <f>IF(C128="","",('Precio Mayorista'!$D$100*INDEX('Informacion del AEP'!$D$54:$N$72,MATCH(C128,'Informacion del AEP'!$C$54:$C$72,0),MATCH($C$114,'Informacion del AEP'!$D$53:$N$53,0))*INDEX('Informacion del AEP'!$F$133:$F$151,MATCH(C128,'Informacion del AEP'!$C$133:$C$151,0))))</f>
        <v>0</v>
      </c>
      <c r="G128" s="211"/>
      <c r="H128" s="211"/>
      <c r="I128" s="211"/>
      <c r="N128" s="246">
        <f>INDEX('Precio Mayorista'!$D$76:$D$94,MATCH('Pagos Mayoristas'!C128,'Precio Mayorista'!$G$76:$G$94,0))*INDEX('Informacion del AEP'!$F$54:$N$72,MATCH('Pagos Mayoristas'!C128,'Informacion del AEP'!$C$54:$C$72,0),MATCH('Pagos Mayoristas'!$C$114,'Informacion del AEP'!$F$53:$N$53,0))</f>
        <v>0</v>
      </c>
    </row>
    <row r="129" spans="3:15" x14ac:dyDescent="0.2">
      <c r="C129" s="211" t="str">
        <f>IF(Supuestos!B62="","",Supuestos!B62)</f>
        <v>Originación SMS on-net</v>
      </c>
      <c r="D129" s="94">
        <f>INDEX('Informacion del AEP'!$F$54:$N$72,MATCH('Pagos Mayoristas'!$C129,'Informacion del AEP'!$C$54:$C$72,0),MATCH('Pagos Mayoristas'!C$114,'Informacion del AEP'!$F$53:$N$53,0))*INDEX('Hoja Auxiliar'!$D$40:$D$58,MATCH('Pagos Mayoristas'!$C129,'Hoja Auxiliar'!$C$40:$C$58,0))</f>
        <v>1721058.5606666666</v>
      </c>
      <c r="E129" s="211"/>
      <c r="F129" s="287">
        <f>IF(C129="","",('Precio Mayorista'!$D$100*INDEX('Informacion del AEP'!$D$54:$N$72,MATCH(C129,'Informacion del AEP'!$C$54:$C$72,0),MATCH($C$114,'Informacion del AEP'!$D$53:$N$53,0))*INDEX('Informacion del AEP'!$F$133:$F$151,MATCH(C129,'Informacion del AEP'!$C$133:$C$151,0))))</f>
        <v>0</v>
      </c>
      <c r="G129" s="211"/>
      <c r="H129" s="211"/>
      <c r="I129" s="211"/>
      <c r="N129" s="246">
        <f>INDEX('Precio Mayorista'!$D$76:$D$94,MATCH('Pagos Mayoristas'!C129,'Precio Mayorista'!$G$76:$G$94,0))*INDEX('Informacion del AEP'!$F$54:$N$72,MATCH('Pagos Mayoristas'!C129,'Informacion del AEP'!$C$54:$C$72,0),MATCH('Pagos Mayoristas'!$C$114,'Informacion del AEP'!$F$53:$N$53,0))</f>
        <v>0</v>
      </c>
    </row>
    <row r="130" spans="3:15" x14ac:dyDescent="0.2">
      <c r="C130" s="211" t="str">
        <f>IF(Supuestos!B63="","",Supuestos!B63)</f>
        <v>Originación SMS - off-net nacional</v>
      </c>
      <c r="D130" s="94">
        <f>INDEX('Informacion del AEP'!$F$54:$N$72,MATCH('Pagos Mayoristas'!$C130,'Informacion del AEP'!$C$54:$C$72,0),MATCH('Pagos Mayoristas'!C$114,'Informacion del AEP'!$F$53:$N$53,0))*INDEX('Hoja Auxiliar'!$D$40:$D$58,MATCH('Pagos Mayoristas'!$C130,'Hoja Auxiliar'!$C$40:$C$58,0))</f>
        <v>390781.62088888884</v>
      </c>
      <c r="E130" s="211"/>
      <c r="F130" s="287">
        <f>IF(C130="","",('Precio Mayorista'!$D$100*INDEX('Informacion del AEP'!$D$54:$N$72,MATCH(C130,'Informacion del AEP'!$C$54:$C$72,0),MATCH($C$114,'Informacion del AEP'!$D$53:$N$53,0))*INDEX('Informacion del AEP'!$F$133:$F$151,MATCH(C130,'Informacion del AEP'!$C$133:$C$151,0))))</f>
        <v>0</v>
      </c>
      <c r="G130" s="211"/>
      <c r="H130" s="211"/>
      <c r="I130" s="211"/>
      <c r="N130" s="246">
        <f>INDEX('Precio Mayorista'!$D$76:$D$94,MATCH('Pagos Mayoristas'!C130,'Precio Mayorista'!$G$76:$G$94,0))*INDEX('Informacion del AEP'!$F$54:$N$72,MATCH('Pagos Mayoristas'!C130,'Informacion del AEP'!$C$54:$C$72,0),MATCH('Pagos Mayoristas'!$C$114,'Informacion del AEP'!$F$53:$N$53,0))</f>
        <v>391595.30316800001</v>
      </c>
    </row>
    <row r="131" spans="3:15" x14ac:dyDescent="0.2">
      <c r="C131" s="211" t="str">
        <f>IF(Supuestos!B64="","",Supuestos!B64)</f>
        <v>Originación SMS internacional (USA-Canadá)</v>
      </c>
      <c r="D131" s="94">
        <f>INDEX('Informacion del AEP'!$F$54:$N$72,MATCH('Pagos Mayoristas'!$C131,'Informacion del AEP'!$C$54:$C$72,0),MATCH('Pagos Mayoristas'!C$114,'Informacion del AEP'!$F$53:$N$53,0))*INDEX('Hoja Auxiliar'!$D$40:$D$58,MATCH('Pagos Mayoristas'!$C131,'Hoja Auxiliar'!$C$40:$C$58,0))</f>
        <v>91525.729111111112</v>
      </c>
      <c r="E131" s="211"/>
      <c r="F131" s="287">
        <f>IF(C131="","",('Precio Mayorista'!$D$100*INDEX('Informacion del AEP'!$D$54:$N$72,MATCH(C131,'Informacion del AEP'!$C$54:$C$72,0),MATCH($C$114,'Informacion del AEP'!$D$53:$N$53,0))*INDEX('Informacion del AEP'!$F$133:$F$151,MATCH(C131,'Informacion del AEP'!$C$133:$C$151,0))))</f>
        <v>0</v>
      </c>
      <c r="G131" s="211"/>
      <c r="H131" s="211"/>
      <c r="I131" s="211"/>
      <c r="N131" s="246">
        <f>INDEX('Precio Mayorista'!$D$76:$D$94,MATCH('Pagos Mayoristas'!C131,'Precio Mayorista'!$G$76:$G$94,0))*INDEX('Informacion del AEP'!$F$54:$N$72,MATCH('Pagos Mayoristas'!C131,'Informacion del AEP'!$C$54:$C$72,0),MATCH('Pagos Mayoristas'!$C$114,'Informacion del AEP'!$F$53:$N$53,0))</f>
        <v>2820998.5</v>
      </c>
    </row>
    <row r="132" spans="3:15" x14ac:dyDescent="0.2">
      <c r="C132" s="211" t="str">
        <f>IF(Supuestos!B65="","",Supuestos!B65)</f>
        <v>Originación SMS internacional (Resto del Mundo)</v>
      </c>
      <c r="D132" s="94">
        <f>INDEX('Informacion del AEP'!$F$54:$N$72,MATCH('Pagos Mayoristas'!$C132,'Informacion del AEP'!$C$54:$C$72,0),MATCH('Pagos Mayoristas'!C$114,'Informacion del AEP'!$F$53:$N$53,0))*INDEX('Hoja Auxiliar'!$D$40:$D$58,MATCH('Pagos Mayoristas'!$C132,'Hoja Auxiliar'!$C$40:$C$58,0))</f>
        <v>5806.3064444444444</v>
      </c>
      <c r="E132" s="211"/>
      <c r="F132" s="287">
        <f>IF(C132="","",('Precio Mayorista'!$D$100*INDEX('Informacion del AEP'!$D$54:$N$72,MATCH(C132,'Informacion del AEP'!$C$54:$C$72,0),MATCH($C$114,'Informacion del AEP'!$D$53:$N$53,0))*INDEX('Informacion del AEP'!$F$133:$F$151,MATCH(C132,'Informacion del AEP'!$C$133:$C$151,0))))</f>
        <v>0</v>
      </c>
      <c r="G132" s="211"/>
      <c r="H132" s="211"/>
      <c r="I132" s="211"/>
      <c r="N132" s="246">
        <f>INDEX('Precio Mayorista'!$D$76:$D$94,MATCH('Pagos Mayoristas'!C132,'Precio Mayorista'!$G$76:$G$94,0))*INDEX('Informacion del AEP'!$F$54:$N$72,MATCH('Pagos Mayoristas'!C132,'Informacion del AEP'!$C$54:$C$72,0),MATCH('Pagos Mayoristas'!$C$114,'Informacion del AEP'!$F$53:$N$53,0))</f>
        <v>268442.25</v>
      </c>
    </row>
    <row r="133" spans="3:15" x14ac:dyDescent="0.2">
      <c r="C133" s="211" t="str">
        <f>IF(Supuestos!B66="","",Supuestos!B66)</f>
        <v>Otros servicios (incluyendo marcaciones especiales)</v>
      </c>
      <c r="D133" s="94">
        <f>INDEX('Informacion del AEP'!$F$54:$N$72,MATCH('Pagos Mayoristas'!$C133,'Informacion del AEP'!$C$54:$C$72,0),MATCH('Pagos Mayoristas'!C$114,'Informacion del AEP'!$F$53:$N$53,0))*INDEX('Hoja Auxiliar'!$D$40:$D$58,MATCH('Pagos Mayoristas'!$C133,'Hoja Auxiliar'!$C$40:$C$58,0))</f>
        <v>6492297.0600692229</v>
      </c>
      <c r="E133" s="211"/>
      <c r="F133" s="287">
        <f>IF(C133="","",('Precio Mayorista'!$D$100*INDEX('Informacion del AEP'!$D$54:$N$72,MATCH(C133,'Informacion del AEP'!$C$54:$C$72,0),MATCH($C$114,'Informacion del AEP'!$D$53:$N$53,0))*INDEX('Informacion del AEP'!$F$133:$F$151,MATCH(C133,'Informacion del AEP'!$C$133:$C$151,0))))</f>
        <v>0</v>
      </c>
      <c r="G133" s="211"/>
      <c r="H133" s="211"/>
      <c r="I133" s="211"/>
      <c r="N133" s="246">
        <f>INDEX('Precio Mayorista'!$D$76:$D$94,MATCH('Pagos Mayoristas'!C133,'Precio Mayorista'!$G$76:$G$94,0))*INDEX('Informacion del AEP'!$F$54:$N$72,MATCH('Pagos Mayoristas'!C133,'Informacion del AEP'!$C$54:$C$72,0),MATCH('Pagos Mayoristas'!$C$114,'Informacion del AEP'!$F$53:$N$53,0))</f>
        <v>196620914.13299978</v>
      </c>
    </row>
    <row r="134" spans="3:15" x14ac:dyDescent="0.2">
      <c r="C134" s="211"/>
      <c r="D134" s="94"/>
      <c r="E134" s="211"/>
      <c r="F134" s="94"/>
      <c r="G134" s="211"/>
      <c r="H134" s="211"/>
      <c r="I134" s="211"/>
    </row>
    <row r="135" spans="3:15" x14ac:dyDescent="0.2">
      <c r="C135" s="76"/>
      <c r="D135" s="94"/>
      <c r="E135" s="211"/>
      <c r="F135" s="94"/>
      <c r="G135" s="211"/>
      <c r="H135" s="211"/>
      <c r="I135" s="211"/>
    </row>
    <row r="136" spans="3:15" x14ac:dyDescent="0.2">
      <c r="E136" s="211"/>
      <c r="F136" s="94"/>
      <c r="G136" s="211"/>
      <c r="H136" s="211"/>
      <c r="I136" s="211"/>
    </row>
    <row r="137" spans="3:15" x14ac:dyDescent="0.2">
      <c r="E137" s="211"/>
      <c r="F137" s="94"/>
      <c r="G137" s="211"/>
      <c r="H137" s="211"/>
      <c r="I137" s="211"/>
    </row>
    <row r="138" spans="3:15" x14ac:dyDescent="0.2">
      <c r="E138" s="211"/>
      <c r="F138" s="211"/>
      <c r="G138" s="211"/>
      <c r="H138" s="211"/>
      <c r="I138" s="211"/>
    </row>
    <row r="139" spans="3:15" x14ac:dyDescent="0.2">
      <c r="C139" s="211"/>
      <c r="D139" s="94"/>
      <c r="E139" s="211"/>
      <c r="F139" s="211"/>
      <c r="G139" s="211"/>
      <c r="H139" s="211"/>
      <c r="I139" s="211"/>
    </row>
    <row r="140" spans="3:15" x14ac:dyDescent="0.2">
      <c r="C140" s="89" t="str">
        <f>Supuestos!$B$80</f>
        <v>Telcel Prepago 3</v>
      </c>
      <c r="D140" s="93">
        <f>SUM(D141:D159)</f>
        <v>279866408.71794868</v>
      </c>
      <c r="E140" s="90"/>
      <c r="F140" s="93">
        <f>SUM(F141:F159)</f>
        <v>0</v>
      </c>
      <c r="G140" s="90"/>
      <c r="H140" s="93"/>
      <c r="I140" s="93">
        <f>INDEX('Informacion del AEP'!$H$29:$H$48,MATCH('Pagos Mayoristas'!C140,'Informacion del AEP'!$C$29:$C$48,0))*'Hoja Auxiliar'!$D$61</f>
        <v>266666.66666666669</v>
      </c>
      <c r="J140" s="5"/>
      <c r="K140" s="93"/>
      <c r="L140" s="241">
        <f>$L$10*(INDEX('Informacion del AEP'!$F$12:$N$12,MATCH('Pagos Mayoristas'!C140,'Informacion del AEP'!$F$11:$N$11,0))/INDEX('Informacion del AEP'!$F$12:$N$12,MATCH('Pagos Mayoristas'!$C$10,'Informacion del AEP'!$F$11:$N$11,0)))</f>
        <v>134510.86956521741</v>
      </c>
      <c r="M140" s="241"/>
      <c r="N140" s="93">
        <f>SUM(N141:N159)</f>
        <v>539317850</v>
      </c>
      <c r="O140" s="241">
        <f>SUM(D140:N140)</f>
        <v>819585436.25418055</v>
      </c>
    </row>
    <row r="141" spans="3:15" x14ac:dyDescent="0.2">
      <c r="C141" s="211" t="str">
        <f>IF(Supuestos!B48="","",Supuestos!B48)</f>
        <v>Datos</v>
      </c>
      <c r="D141" s="94">
        <f>INDEX('Informacion del AEP'!$F$54:$N$72,MATCH('Pagos Mayoristas'!$C141,'Informacion del AEP'!$C$54:$C$72,0),MATCH('Pagos Mayoristas'!C$140,'Informacion del AEP'!$F$53:$N$53,0))*INDEX('Hoja Auxiliar'!$D$40:$D$58,MATCH('Pagos Mayoristas'!$C141,'Hoja Auxiliar'!$C$40:$C$58,0))</f>
        <v>158125000</v>
      </c>
      <c r="E141" s="211"/>
      <c r="F141" s="287">
        <f>IF(C141="","",('Precio Mayorista'!$D$100*INDEX('Informacion del AEP'!$D$54:$N$72,MATCH(C141,'Informacion del AEP'!$C$54:$C$72,0),MATCH($C$140,'Informacion del AEP'!$D$53:$N$53,0))*INDEX('Informacion del AEP'!$F$133:$F$151,MATCH(C141,'Informacion del AEP'!$C$133:$C$151,0))))</f>
        <v>0</v>
      </c>
      <c r="G141" s="211"/>
      <c r="H141" s="211"/>
      <c r="I141" s="211"/>
      <c r="N141" s="246">
        <f>INDEX('Precio Mayorista'!$D$76:$D$94,MATCH('Pagos Mayoristas'!C141,'Precio Mayorista'!$G$76:$G$94,0))*INDEX('Informacion del AEP'!$F$54:$N$72,MATCH('Pagos Mayoristas'!C141,'Informacion del AEP'!$C$54:$C$72,0),MATCH('Pagos Mayoristas'!$C$140,'Informacion del AEP'!$F$53:$N$53,0))</f>
        <v>0</v>
      </c>
    </row>
    <row r="142" spans="3:15" x14ac:dyDescent="0.2">
      <c r="C142" s="211" t="str">
        <f>IF(Supuestos!B49="","",Supuestos!B49)</f>
        <v>Originación voz on-net local</v>
      </c>
      <c r="D142" s="94">
        <f>INDEX('Informacion del AEP'!$F$54:$N$72,MATCH('Pagos Mayoristas'!$C142,'Informacion del AEP'!$C$54:$C$72,0),MATCH('Pagos Mayoristas'!C$140,'Informacion del AEP'!$F$53:$N$53,0))*INDEX('Hoja Auxiliar'!$D$40:$D$58,MATCH('Pagos Mayoristas'!$C142,'Hoja Auxiliar'!$C$40:$C$58,0))</f>
        <v>32358974.358974356</v>
      </c>
      <c r="E142" s="211"/>
      <c r="F142" s="287">
        <f>IF(C142="","",('Precio Mayorista'!$D$100*INDEX('Informacion del AEP'!$D$54:$N$72,MATCH(C142,'Informacion del AEP'!$C$54:$C$72,0),MATCH($C$140,'Informacion del AEP'!$D$53:$N$53,0))*INDEX('Informacion del AEP'!$F$133:$F$151,MATCH(C142,'Informacion del AEP'!$C$133:$C$151,0))))</f>
        <v>0</v>
      </c>
      <c r="G142" s="211"/>
      <c r="H142" s="211"/>
      <c r="I142" s="211"/>
      <c r="N142" s="246">
        <f>INDEX('Precio Mayorista'!$D$76:$D$94,MATCH('Pagos Mayoristas'!C142,'Precio Mayorista'!$G$76:$G$94,0))*INDEX('Informacion del AEP'!$F$54:$N$72,MATCH('Pagos Mayoristas'!C142,'Informacion del AEP'!$C$54:$C$72,0),MATCH('Pagos Mayoristas'!$C$140,'Informacion del AEP'!$F$53:$N$53,0))</f>
        <v>0</v>
      </c>
    </row>
    <row r="143" spans="3:15" x14ac:dyDescent="0.2">
      <c r="C143" s="211" t="str">
        <f>IF(Supuestos!B50="","",Supuestos!B50)</f>
        <v>Originación voz off-net móvil local</v>
      </c>
      <c r="D143" s="94">
        <f>INDEX('Informacion del AEP'!$F$54:$N$72,MATCH('Pagos Mayoristas'!$C143,'Informacion del AEP'!$C$54:$C$72,0),MATCH('Pagos Mayoristas'!C$140,'Informacion del AEP'!$F$53:$N$53,0))*INDEX('Hoja Auxiliar'!$D$40:$D$58,MATCH('Pagos Mayoristas'!$C143,'Hoja Auxiliar'!$C$40:$C$58,0))</f>
        <v>6471794.8717948711</v>
      </c>
      <c r="E143" s="211"/>
      <c r="F143" s="287">
        <f>IF(C143="","",('Precio Mayorista'!$D$100*INDEX('Informacion del AEP'!$D$54:$N$72,MATCH(C143,'Informacion del AEP'!$C$54:$C$72,0),MATCH($C$140,'Informacion del AEP'!$D$53:$N$53,0))*INDEX('Informacion del AEP'!$F$133:$F$151,MATCH(C143,'Informacion del AEP'!$C$133:$C$151,0))))</f>
        <v>0</v>
      </c>
      <c r="G143" s="211"/>
      <c r="H143" s="211"/>
      <c r="I143" s="211"/>
      <c r="N143" s="246">
        <f>INDEX('Precio Mayorista'!$D$76:$D$94,MATCH('Pagos Mayoristas'!C143,'Precio Mayorista'!$G$76:$G$94,0))*INDEX('Informacion del AEP'!$F$54:$N$72,MATCH('Pagos Mayoristas'!C143,'Informacion del AEP'!$C$54:$C$72,0),MATCH('Pagos Mayoristas'!$C$140,'Informacion del AEP'!$F$53:$N$53,0))</f>
        <v>13672599.999999998</v>
      </c>
    </row>
    <row r="144" spans="3:15" x14ac:dyDescent="0.2">
      <c r="C144" s="211" t="str">
        <f>IF(Supuestos!B51="","",Supuestos!B51)</f>
        <v>Originación voz off-net fijo local</v>
      </c>
      <c r="D144" s="94">
        <f>INDEX('Informacion del AEP'!$F$54:$N$72,MATCH('Pagos Mayoristas'!$C144,'Informacion del AEP'!$C$54:$C$72,0),MATCH('Pagos Mayoristas'!C$140,'Informacion del AEP'!$F$53:$N$53,0))*INDEX('Hoja Auxiliar'!$D$40:$D$58,MATCH('Pagos Mayoristas'!$C144,'Hoja Auxiliar'!$C$40:$C$58,0))</f>
        <v>3235897.4358974355</v>
      </c>
      <c r="E144" s="211"/>
      <c r="F144" s="287">
        <f>IF(C144="","",('Precio Mayorista'!$D$100*INDEX('Informacion del AEP'!$D$54:$N$72,MATCH(C144,'Informacion del AEP'!$C$54:$C$72,0),MATCH($C$140,'Informacion del AEP'!$D$53:$N$53,0))*INDEX('Informacion del AEP'!$F$133:$F$151,MATCH(C144,'Informacion del AEP'!$C$133:$C$151,0))))</f>
        <v>0</v>
      </c>
      <c r="G144" s="211"/>
      <c r="H144" s="211"/>
      <c r="I144" s="211"/>
      <c r="N144" s="246">
        <f>INDEX('Precio Mayorista'!$D$76:$D$94,MATCH('Pagos Mayoristas'!C144,'Precio Mayorista'!$G$76:$G$94,0))*INDEX('Informacion del AEP'!$F$54:$N$72,MATCH('Pagos Mayoristas'!C144,'Informacion del AEP'!$C$54:$C$72,0),MATCH('Pagos Mayoristas'!$C$140,'Informacion del AEP'!$F$53:$N$53,0))</f>
        <v>352000</v>
      </c>
    </row>
    <row r="145" spans="1:14" x14ac:dyDescent="0.2">
      <c r="C145" s="211" t="str">
        <f>IF(Supuestos!B52="","",Supuestos!B52)</f>
        <v>Originación voz on-net LDN</v>
      </c>
      <c r="D145" s="94">
        <f>INDEX('Informacion del AEP'!$F$54:$N$72,MATCH('Pagos Mayoristas'!$C145,'Informacion del AEP'!$C$54:$C$72,0),MATCH('Pagos Mayoristas'!C$140,'Informacion del AEP'!$F$53:$N$53,0))*INDEX('Hoja Auxiliar'!$D$40:$D$58,MATCH('Pagos Mayoristas'!$C145,'Hoja Auxiliar'!$C$40:$C$58,0))</f>
        <v>48538461.538461536</v>
      </c>
      <c r="E145" s="211"/>
      <c r="F145" s="287">
        <f>IF(C145="","",('Precio Mayorista'!$D$100*INDEX('Informacion del AEP'!$D$54:$N$72,MATCH(C145,'Informacion del AEP'!$C$54:$C$72,0),MATCH($C$140,'Informacion del AEP'!$D$53:$N$53,0))*INDEX('Informacion del AEP'!$F$133:$F$151,MATCH(C145,'Informacion del AEP'!$C$133:$C$151,0))))</f>
        <v>0</v>
      </c>
      <c r="G145" s="211"/>
      <c r="H145" s="211"/>
      <c r="I145" s="211"/>
      <c r="N145" s="246">
        <f>INDEX('Precio Mayorista'!$D$76:$D$94,MATCH('Pagos Mayoristas'!C145,'Precio Mayorista'!$G$76:$G$94,0))*INDEX('Informacion del AEP'!$F$54:$N$72,MATCH('Pagos Mayoristas'!C145,'Informacion del AEP'!$C$54:$C$72,0),MATCH('Pagos Mayoristas'!$C$140,'Informacion del AEP'!$F$53:$N$53,0))</f>
        <v>0</v>
      </c>
    </row>
    <row r="146" spans="1:14" x14ac:dyDescent="0.2">
      <c r="C146" s="211" t="str">
        <f>IF(Supuestos!B53="","",Supuestos!B53)</f>
        <v>Originación voz off-net móvil LDN</v>
      </c>
      <c r="D146" s="94">
        <f>INDEX('Informacion del AEP'!$F$54:$N$72,MATCH('Pagos Mayoristas'!$C146,'Informacion del AEP'!$C$54:$C$72,0),MATCH('Pagos Mayoristas'!C$140,'Informacion del AEP'!$F$53:$N$53,0))*INDEX('Hoja Auxiliar'!$D$40:$D$58,MATCH('Pagos Mayoristas'!$C146,'Hoja Auxiliar'!$C$40:$C$58,0))</f>
        <v>4853846.1538461531</v>
      </c>
      <c r="E146" s="211"/>
      <c r="F146" s="287">
        <f>IF(C146="","",('Precio Mayorista'!$D$100*INDEX('Informacion del AEP'!$D$54:$N$72,MATCH(C146,'Informacion del AEP'!$C$54:$C$72,0),MATCH($C$140,'Informacion del AEP'!$D$53:$N$53,0))*INDEX('Informacion del AEP'!$F$133:$F$151,MATCH(C146,'Informacion del AEP'!$C$133:$C$151,0))))</f>
        <v>0</v>
      </c>
      <c r="G146" s="211"/>
      <c r="H146" s="211"/>
      <c r="I146" s="211"/>
      <c r="N146" s="246">
        <f>INDEX('Precio Mayorista'!$D$76:$D$94,MATCH('Pagos Mayoristas'!C146,'Precio Mayorista'!$G$76:$G$94,0))*INDEX('Informacion del AEP'!$F$54:$N$72,MATCH('Pagos Mayoristas'!C146,'Informacion del AEP'!$C$54:$C$72,0),MATCH('Pagos Mayoristas'!$C$140,'Informacion del AEP'!$F$53:$N$53,0))</f>
        <v>10254449.999999998</v>
      </c>
    </row>
    <row r="147" spans="1:14" x14ac:dyDescent="0.2">
      <c r="C147" s="211" t="str">
        <f>IF(Supuestos!B54="","",Supuestos!B54)</f>
        <v>Originación voz off-net fijo LDN</v>
      </c>
      <c r="D147" s="94">
        <f>INDEX('Informacion del AEP'!$F$54:$N$72,MATCH('Pagos Mayoristas'!$C147,'Informacion del AEP'!$C$54:$C$72,0),MATCH('Pagos Mayoristas'!C$140,'Informacion del AEP'!$F$53:$N$53,0))*INDEX('Hoja Auxiliar'!$D$40:$D$58,MATCH('Pagos Mayoristas'!$C147,'Hoja Auxiliar'!$C$40:$C$58,0))</f>
        <v>1617948.7179487178</v>
      </c>
      <c r="E147" s="211"/>
      <c r="F147" s="287">
        <f>IF(C147="","",('Precio Mayorista'!$D$100*INDEX('Informacion del AEP'!$D$54:$N$72,MATCH(C147,'Informacion del AEP'!$C$54:$C$72,0),MATCH($C$140,'Informacion del AEP'!$D$53:$N$53,0))*INDEX('Informacion del AEP'!$F$133:$F$151,MATCH(C147,'Informacion del AEP'!$C$133:$C$151,0))))</f>
        <v>0</v>
      </c>
      <c r="G147" s="211"/>
      <c r="H147" s="211"/>
      <c r="I147" s="211"/>
      <c r="N147" s="246">
        <f>INDEX('Precio Mayorista'!$D$76:$D$94,MATCH('Pagos Mayoristas'!C147,'Precio Mayorista'!$G$76:$G$94,0))*INDEX('Informacion del AEP'!$F$54:$N$72,MATCH('Pagos Mayoristas'!C147,'Informacion del AEP'!$C$54:$C$72,0),MATCH('Pagos Mayoristas'!$C$140,'Informacion del AEP'!$F$53:$N$53,0))</f>
        <v>176000</v>
      </c>
    </row>
    <row r="148" spans="1:14" x14ac:dyDescent="0.2">
      <c r="C148" s="211" t="str">
        <f>IF(Supuestos!B55="","",Supuestos!B55)</f>
        <v>Originación voz internacional USA-Canadá</v>
      </c>
      <c r="D148" s="94">
        <f>INDEX('Informacion del AEP'!$F$54:$N$72,MATCH('Pagos Mayoristas'!$C148,'Informacion del AEP'!$C$54:$C$72,0),MATCH('Pagos Mayoristas'!C$140,'Informacion del AEP'!$F$53:$N$53,0))*INDEX('Hoja Auxiliar'!$D$40:$D$58,MATCH('Pagos Mayoristas'!$C148,'Hoja Auxiliar'!$C$40:$C$58,0))</f>
        <v>4206666.666666666</v>
      </c>
      <c r="E148" s="211"/>
      <c r="F148" s="287">
        <f>IF(C148="","",('Precio Mayorista'!$D$100*INDEX('Informacion del AEP'!$D$54:$N$72,MATCH(C148,'Informacion del AEP'!$C$54:$C$72,0),MATCH($C$140,'Informacion del AEP'!$D$53:$N$53,0))*INDEX('Informacion del AEP'!$F$133:$F$151,MATCH(C148,'Informacion del AEP'!$C$133:$C$151,0))))</f>
        <v>0</v>
      </c>
      <c r="G148" s="211"/>
      <c r="H148" s="211"/>
      <c r="I148" s="211"/>
      <c r="N148" s="246">
        <f>INDEX('Precio Mayorista'!$D$76:$D$94,MATCH('Pagos Mayoristas'!C148,'Precio Mayorista'!$G$76:$G$94,0))*INDEX('Informacion del AEP'!$F$54:$N$72,MATCH('Pagos Mayoristas'!C148,'Informacion del AEP'!$C$54:$C$72,0),MATCH('Pagos Mayoristas'!$C$140,'Informacion del AEP'!$F$53:$N$53,0))</f>
        <v>11700000</v>
      </c>
    </row>
    <row r="149" spans="1:14" x14ac:dyDescent="0.2">
      <c r="C149" s="211" t="str">
        <f>IF(Supuestos!B56="","",Supuestos!B56)</f>
        <v>Originación voz internacional Mundial Centroamérica</v>
      </c>
      <c r="D149" s="94">
        <f>INDEX('Informacion del AEP'!$F$54:$N$72,MATCH('Pagos Mayoristas'!$C149,'Informacion del AEP'!$C$54:$C$72,0),MATCH('Pagos Mayoristas'!C$140,'Informacion del AEP'!$F$53:$N$53,0))*INDEX('Hoja Auxiliar'!$D$40:$D$58,MATCH('Pagos Mayoristas'!$C149,'Hoja Auxiliar'!$C$40:$C$58,0))</f>
        <v>9707.6923076923067</v>
      </c>
      <c r="E149" s="211"/>
      <c r="F149" s="287">
        <f>IF(C149="","",('Precio Mayorista'!$D$100*INDEX('Informacion del AEP'!$D$54:$N$72,MATCH(C149,'Informacion del AEP'!$C$54:$C$72,0),MATCH($C$140,'Informacion del AEP'!$D$53:$N$53,0))*INDEX('Informacion del AEP'!$F$133:$F$151,MATCH(C149,'Informacion del AEP'!$C$133:$C$151,0))))</f>
        <v>0</v>
      </c>
      <c r="G149" s="211"/>
      <c r="H149" s="211"/>
      <c r="I149" s="211"/>
      <c r="N149" s="246">
        <f>INDEX('Precio Mayorista'!$D$76:$D$94,MATCH('Pagos Mayoristas'!C149,'Precio Mayorista'!$G$76:$G$94,0))*INDEX('Informacion del AEP'!$F$54:$N$72,MATCH('Pagos Mayoristas'!C149,'Informacion del AEP'!$C$54:$C$72,0),MATCH('Pagos Mayoristas'!$C$140,'Informacion del AEP'!$F$53:$N$53,0))</f>
        <v>750000</v>
      </c>
    </row>
    <row r="150" spans="1:14" x14ac:dyDescent="0.2">
      <c r="A150" s="6" t="s">
        <v>241</v>
      </c>
      <c r="C150" s="211" t="str">
        <f>IF(Supuestos!B57="","",Supuestos!B57)</f>
        <v>Originación voz internacional Mundial LATAM y Caribe</v>
      </c>
      <c r="D150" s="94">
        <f>INDEX('Informacion del AEP'!$F$54:$N$72,MATCH('Pagos Mayoristas'!$C150,'Informacion del AEP'!$C$54:$C$72,0),MATCH('Pagos Mayoristas'!C$140,'Informacion del AEP'!$F$53:$N$53,0))*INDEX('Hoja Auxiliar'!$D$40:$D$58,MATCH('Pagos Mayoristas'!$C150,'Hoja Auxiliar'!$C$40:$C$58,0))</f>
        <v>647.17948717948707</v>
      </c>
      <c r="E150" s="211"/>
      <c r="F150" s="287">
        <f>IF(C150="","",('Precio Mayorista'!$D$100*INDEX('Informacion del AEP'!$D$54:$N$72,MATCH(C150,'Informacion del AEP'!$C$54:$C$72,0),MATCH($C$140,'Informacion del AEP'!$D$53:$N$53,0))*INDEX('Informacion del AEP'!$F$133:$F$151,MATCH(C150,'Informacion del AEP'!$C$133:$C$151,0))))</f>
        <v>0</v>
      </c>
      <c r="G150" s="211"/>
      <c r="H150" s="211"/>
      <c r="I150" s="211"/>
      <c r="N150" s="246">
        <f>INDEX('Precio Mayorista'!$D$76:$D$94,MATCH('Pagos Mayoristas'!C150,'Precio Mayorista'!$G$76:$G$94,0))*INDEX('Informacion del AEP'!$F$54:$N$72,MATCH('Pagos Mayoristas'!C150,'Informacion del AEP'!$C$54:$C$72,0),MATCH('Pagos Mayoristas'!$C$140,'Informacion del AEP'!$F$53:$N$53,0))</f>
        <v>100000</v>
      </c>
    </row>
    <row r="151" spans="1:14" x14ac:dyDescent="0.2">
      <c r="C151" s="211" t="str">
        <f>IF(Supuestos!B58="","",Supuestos!B58)</f>
        <v>Originación voz internacional Europa</v>
      </c>
      <c r="D151" s="94">
        <f>INDEX('Informacion del AEP'!$F$54:$N$72,MATCH('Pagos Mayoristas'!$C151,'Informacion del AEP'!$C$54:$C$72,0),MATCH('Pagos Mayoristas'!C$140,'Informacion del AEP'!$F$53:$N$53,0))*INDEX('Hoja Auxiliar'!$D$40:$D$58,MATCH('Pagos Mayoristas'!$C151,'Hoja Auxiliar'!$C$40:$C$58,0))</f>
        <v>0</v>
      </c>
      <c r="E151" s="211"/>
      <c r="F151" s="287">
        <f>IF(C151="","",('Precio Mayorista'!$D$100*INDEX('Informacion del AEP'!$D$54:$N$72,MATCH(C151,'Informacion del AEP'!$C$54:$C$72,0),MATCH($C$140,'Informacion del AEP'!$D$53:$N$53,0))*INDEX('Informacion del AEP'!$F$133:$F$151,MATCH(C151,'Informacion del AEP'!$C$133:$C$151,0))))</f>
        <v>0</v>
      </c>
      <c r="G151" s="211"/>
      <c r="H151" s="211"/>
      <c r="I151" s="211"/>
      <c r="N151" s="246">
        <f>INDEX('Precio Mayorista'!$D$76:$D$94,MATCH('Pagos Mayoristas'!C151,'Precio Mayorista'!$G$76:$G$94,0))*INDEX('Informacion del AEP'!$F$54:$N$72,MATCH('Pagos Mayoristas'!C151,'Informacion del AEP'!$C$54:$C$72,0),MATCH('Pagos Mayoristas'!$C$140,'Informacion del AEP'!$F$53:$N$53,0))</f>
        <v>0</v>
      </c>
    </row>
    <row r="152" spans="1:14" x14ac:dyDescent="0.2">
      <c r="C152" s="211" t="str">
        <f>IF(Supuestos!B59="","",Supuestos!B59)</f>
        <v>Originación voz internacional Mundial Otros geográficos</v>
      </c>
      <c r="D152" s="94">
        <f>INDEX('Informacion del AEP'!$F$54:$N$72,MATCH('Pagos Mayoristas'!$C152,'Informacion del AEP'!$C$54:$C$72,0),MATCH('Pagos Mayoristas'!C$140,'Informacion del AEP'!$F$53:$N$53,0))*INDEX('Hoja Auxiliar'!$D$40:$D$58,MATCH('Pagos Mayoristas'!$C152,'Hoja Auxiliar'!$C$40:$C$58,0))</f>
        <v>32358.974358974356</v>
      </c>
      <c r="E152" s="211"/>
      <c r="F152" s="287">
        <f>IF(C152="","",('Precio Mayorista'!$D$100*INDEX('Informacion del AEP'!$D$54:$N$72,MATCH(C152,'Informacion del AEP'!$C$54:$C$72,0),MATCH($C$140,'Informacion del AEP'!$D$53:$N$53,0))*INDEX('Informacion del AEP'!$F$133:$F$151,MATCH(C152,'Informacion del AEP'!$C$133:$C$151,0))))</f>
        <v>0</v>
      </c>
      <c r="G152" s="211"/>
      <c r="H152" s="211"/>
      <c r="I152" s="211"/>
      <c r="N152" s="246">
        <f>INDEX('Precio Mayorista'!$D$76:$D$94,MATCH('Pagos Mayoristas'!C152,'Precio Mayorista'!$G$76:$G$94,0))*INDEX('Informacion del AEP'!$F$54:$N$72,MATCH('Pagos Mayoristas'!C152,'Informacion del AEP'!$C$54:$C$72,0),MATCH('Pagos Mayoristas'!$C$140,'Informacion del AEP'!$F$53:$N$53,0))</f>
        <v>5000000</v>
      </c>
    </row>
    <row r="153" spans="1:14" x14ac:dyDescent="0.2">
      <c r="C153" s="211" t="str">
        <f>IF(Supuestos!B60="","",Supuestos!B60)</f>
        <v>Originación voz internacional Cuba</v>
      </c>
      <c r="D153" s="94">
        <f>INDEX('Informacion del AEP'!$F$54:$N$72,MATCH('Pagos Mayoristas'!$C153,'Informacion del AEP'!$C$54:$C$72,0),MATCH('Pagos Mayoristas'!C$140,'Informacion del AEP'!$F$53:$N$53,0))*INDEX('Hoja Auxiliar'!$D$40:$D$58,MATCH('Pagos Mayoristas'!$C153,'Hoja Auxiliar'!$C$40:$C$58,0))</f>
        <v>1617.9487179487178</v>
      </c>
      <c r="E153" s="211"/>
      <c r="F153" s="287">
        <f>IF(C153="","",('Precio Mayorista'!$D$100*INDEX('Informacion del AEP'!$D$54:$N$72,MATCH(C153,'Informacion del AEP'!$C$54:$C$72,0),MATCH($C$140,'Informacion del AEP'!$D$53:$N$53,0))*INDEX('Informacion del AEP'!$F$133:$F$151,MATCH(C153,'Informacion del AEP'!$C$133:$C$151,0))))</f>
        <v>0</v>
      </c>
      <c r="G153" s="211"/>
      <c r="H153" s="211"/>
      <c r="I153" s="211"/>
      <c r="N153" s="246">
        <f>INDEX('Precio Mayorista'!$D$76:$D$94,MATCH('Pagos Mayoristas'!C153,'Precio Mayorista'!$G$76:$G$94,0))*INDEX('Informacion del AEP'!$F$54:$N$72,MATCH('Pagos Mayoristas'!C153,'Informacion del AEP'!$C$54:$C$72,0),MATCH('Pagos Mayoristas'!$C$140,'Informacion del AEP'!$F$53:$N$53,0))</f>
        <v>750000</v>
      </c>
    </row>
    <row r="154" spans="1:14" x14ac:dyDescent="0.2">
      <c r="C154" s="211" t="str">
        <f>IF(Supuestos!B61="","",Supuestos!B61)</f>
        <v>Originación voz Mundial destinos no geográficos</v>
      </c>
      <c r="D154" s="94">
        <f>INDEX('Informacion del AEP'!$F$54:$N$72,MATCH('Pagos Mayoristas'!$C154,'Informacion del AEP'!$C$54:$C$72,0),MATCH('Pagos Mayoristas'!C$140,'Informacion del AEP'!$F$53:$N$53,0))*INDEX('Hoja Auxiliar'!$D$40:$D$58,MATCH('Pagos Mayoristas'!$C154,'Hoja Auxiliar'!$C$40:$C$58,0))</f>
        <v>0</v>
      </c>
      <c r="E154" s="211"/>
      <c r="F154" s="287">
        <f>IF(C154="","",('Precio Mayorista'!$D$100*INDEX('Informacion del AEP'!$D$54:$N$72,MATCH(C154,'Informacion del AEP'!$C$54:$C$72,0),MATCH($C$140,'Informacion del AEP'!$D$53:$N$53,0))*INDEX('Informacion del AEP'!$F$133:$F$151,MATCH(C154,'Informacion del AEP'!$C$133:$C$151,0))))</f>
        <v>0</v>
      </c>
      <c r="G154" s="211"/>
      <c r="H154" s="211"/>
      <c r="I154" s="211"/>
      <c r="N154" s="246">
        <f>INDEX('Precio Mayorista'!$D$76:$D$94,MATCH('Pagos Mayoristas'!C154,'Precio Mayorista'!$G$76:$G$94,0))*INDEX('Informacion del AEP'!$F$54:$N$72,MATCH('Pagos Mayoristas'!C154,'Informacion del AEP'!$C$54:$C$72,0),MATCH('Pagos Mayoristas'!$C$140,'Informacion del AEP'!$F$53:$N$53,0))</f>
        <v>0</v>
      </c>
    </row>
    <row r="155" spans="1:14" x14ac:dyDescent="0.2">
      <c r="C155" s="211" t="str">
        <f>IF(Supuestos!B62="","",Supuestos!B62)</f>
        <v>Originación SMS on-net</v>
      </c>
      <c r="D155" s="94">
        <f>INDEX('Informacion del AEP'!$F$54:$N$72,MATCH('Pagos Mayoristas'!$C155,'Informacion del AEP'!$C$54:$C$72,0),MATCH('Pagos Mayoristas'!C$140,'Informacion del AEP'!$F$53:$N$53,0))*INDEX('Hoja Auxiliar'!$D$40:$D$58,MATCH('Pagos Mayoristas'!$C155,'Hoja Auxiliar'!$C$40:$C$58,0))</f>
        <v>3244444.444444444</v>
      </c>
      <c r="E155" s="211"/>
      <c r="F155" s="287">
        <f>IF(C155="","",('Precio Mayorista'!$D$100*INDEX('Informacion del AEP'!$D$54:$N$72,MATCH(C155,'Informacion del AEP'!$C$54:$C$72,0),MATCH($C$140,'Informacion del AEP'!$D$53:$N$53,0))*INDEX('Informacion del AEP'!$F$133:$F$151,MATCH(C155,'Informacion del AEP'!$C$133:$C$151,0))))</f>
        <v>0</v>
      </c>
      <c r="G155" s="211"/>
      <c r="H155" s="211"/>
      <c r="I155" s="211"/>
      <c r="N155" s="246">
        <f>INDEX('Precio Mayorista'!$D$76:$D$94,MATCH('Pagos Mayoristas'!C155,'Precio Mayorista'!$G$76:$G$94,0))*INDEX('Informacion del AEP'!$F$54:$N$72,MATCH('Pagos Mayoristas'!C155,'Informacion del AEP'!$C$54:$C$72,0),MATCH('Pagos Mayoristas'!$C$140,'Informacion del AEP'!$F$53:$N$53,0))</f>
        <v>0</v>
      </c>
    </row>
    <row r="156" spans="1:14" x14ac:dyDescent="0.2">
      <c r="C156" s="211" t="str">
        <f>IF(Supuestos!B63="","",Supuestos!B63)</f>
        <v>Originación SMS - off-net nacional</v>
      </c>
      <c r="D156" s="94">
        <f>INDEX('Informacion del AEP'!$F$54:$N$72,MATCH('Pagos Mayoristas'!$C156,'Informacion del AEP'!$C$54:$C$72,0),MATCH('Pagos Mayoristas'!C$140,'Informacion del AEP'!$F$53:$N$53,0))*INDEX('Hoja Auxiliar'!$D$40:$D$58,MATCH('Pagos Mayoristas'!$C156,'Hoja Auxiliar'!$C$40:$C$58,0))</f>
        <v>811111.11111111101</v>
      </c>
      <c r="E156" s="211"/>
      <c r="F156" s="287">
        <f>IF(C156="","",('Precio Mayorista'!$D$100*INDEX('Informacion del AEP'!$D$54:$N$72,MATCH(C156,'Informacion del AEP'!$C$54:$C$72,0),MATCH($C$140,'Informacion del AEP'!$D$53:$N$53,0))*INDEX('Informacion del AEP'!$F$133:$F$151,MATCH(C156,'Informacion del AEP'!$C$133:$C$151,0))))</f>
        <v>0</v>
      </c>
      <c r="G156" s="211"/>
      <c r="H156" s="211"/>
      <c r="I156" s="211"/>
      <c r="N156" s="246">
        <f>INDEX('Precio Mayorista'!$D$76:$D$94,MATCH('Pagos Mayoristas'!C156,'Precio Mayorista'!$G$76:$G$94,0))*INDEX('Informacion del AEP'!$F$54:$N$72,MATCH('Pagos Mayoristas'!C156,'Informacion del AEP'!$C$54:$C$72,0),MATCH('Pagos Mayoristas'!$C$140,'Informacion del AEP'!$F$53:$N$53,0))</f>
        <v>812800</v>
      </c>
    </row>
    <row r="157" spans="1:14" x14ac:dyDescent="0.2">
      <c r="C157" s="211" t="str">
        <f>IF(Supuestos!B64="","",Supuestos!B64)</f>
        <v>Originación SMS internacional (USA-Canadá)</v>
      </c>
      <c r="D157" s="94">
        <f>INDEX('Informacion del AEP'!$F$54:$N$72,MATCH('Pagos Mayoristas'!$C157,'Informacion del AEP'!$C$54:$C$72,0),MATCH('Pagos Mayoristas'!C$140,'Informacion del AEP'!$F$53:$N$53,0))*INDEX('Hoja Auxiliar'!$D$40:$D$58,MATCH('Pagos Mayoristas'!$C157,'Hoja Auxiliar'!$C$40:$C$58,0))</f>
        <v>162222.22222222222</v>
      </c>
      <c r="E157" s="211"/>
      <c r="F157" s="287">
        <f>IF(C157="","",('Precio Mayorista'!$D$100*INDEX('Informacion del AEP'!$D$54:$N$72,MATCH(C157,'Informacion del AEP'!$C$54:$C$72,0),MATCH($C$140,'Informacion del AEP'!$D$53:$N$53,0))*INDEX('Informacion del AEP'!$F$133:$F$151,MATCH(C157,'Informacion del AEP'!$C$133:$C$151,0))))</f>
        <v>0</v>
      </c>
      <c r="G157" s="211"/>
      <c r="H157" s="211"/>
      <c r="I157" s="211"/>
      <c r="N157" s="246">
        <f>INDEX('Precio Mayorista'!$D$76:$D$94,MATCH('Pagos Mayoristas'!C157,'Precio Mayorista'!$G$76:$G$94,0))*INDEX('Informacion del AEP'!$F$54:$N$72,MATCH('Pagos Mayoristas'!C157,'Informacion del AEP'!$C$54:$C$72,0),MATCH('Pagos Mayoristas'!$C$140,'Informacion del AEP'!$F$53:$N$53,0))</f>
        <v>5000000</v>
      </c>
    </row>
    <row r="158" spans="1:14" x14ac:dyDescent="0.2">
      <c r="C158" s="211" t="str">
        <f>IF(Supuestos!B65="","",Supuestos!B65)</f>
        <v>Originación SMS internacional (Resto del Mundo)</v>
      </c>
      <c r="D158" s="94">
        <f>INDEX('Informacion del AEP'!$F$54:$N$72,MATCH('Pagos Mayoristas'!$C158,'Informacion del AEP'!$C$54:$C$72,0),MATCH('Pagos Mayoristas'!C$140,'Informacion del AEP'!$F$53:$N$53,0))*INDEX('Hoja Auxiliar'!$D$40:$D$58,MATCH('Pagos Mayoristas'!$C158,'Hoja Auxiliar'!$C$40:$C$58,0))</f>
        <v>16222.222222222221</v>
      </c>
      <c r="E158" s="211"/>
      <c r="F158" s="287">
        <f>IF(C158="","",('Precio Mayorista'!$D$100*INDEX('Informacion del AEP'!$D$54:$N$72,MATCH(C158,'Informacion del AEP'!$C$54:$C$72,0),MATCH($C$140,'Informacion del AEP'!$D$53:$N$53,0))*INDEX('Informacion del AEP'!$F$133:$F$151,MATCH(C158,'Informacion del AEP'!$C$133:$C$151,0))))</f>
        <v>0</v>
      </c>
      <c r="G158" s="211"/>
      <c r="H158" s="211"/>
      <c r="I158" s="211"/>
      <c r="N158" s="246">
        <f>INDEX('Precio Mayorista'!$D$76:$D$94,MATCH('Pagos Mayoristas'!C158,'Precio Mayorista'!$G$76:$G$94,0))*INDEX('Informacion del AEP'!$F$54:$N$72,MATCH('Pagos Mayoristas'!C158,'Informacion del AEP'!$C$54:$C$72,0),MATCH('Pagos Mayoristas'!$C$140,'Informacion del AEP'!$F$53:$N$53,0))</f>
        <v>750000</v>
      </c>
    </row>
    <row r="159" spans="1:14" x14ac:dyDescent="0.2">
      <c r="C159" s="211" t="str">
        <f>IF(Supuestos!B66="","",Supuestos!B66)</f>
        <v>Otros servicios (incluyendo marcaciones especiales)</v>
      </c>
      <c r="D159" s="94">
        <f>INDEX('Informacion del AEP'!$F$54:$N$72,MATCH('Pagos Mayoristas'!$C159,'Informacion del AEP'!$C$54:$C$72,0),MATCH('Pagos Mayoristas'!C$140,'Informacion del AEP'!$F$53:$N$53,0))*INDEX('Hoja Auxiliar'!$D$40:$D$58,MATCH('Pagos Mayoristas'!$C159,'Hoja Auxiliar'!$C$40:$C$58,0))</f>
        <v>16179487.179487178</v>
      </c>
      <c r="E159" s="211"/>
      <c r="F159" s="287">
        <f>IF(C159="","",('Precio Mayorista'!$D$100*INDEX('Informacion del AEP'!$D$54:$N$72,MATCH(C159,'Informacion del AEP'!$C$54:$C$72,0),MATCH($C$140,'Informacion del AEP'!$D$53:$N$53,0))*INDEX('Informacion del AEP'!$F$133:$F$151,MATCH(C159,'Informacion del AEP'!$C$133:$C$151,0))))</f>
        <v>0</v>
      </c>
      <c r="G159" s="211"/>
      <c r="H159" s="211"/>
      <c r="I159" s="211"/>
      <c r="N159" s="246">
        <f>INDEX('Precio Mayorista'!$D$76:$D$94,MATCH('Pagos Mayoristas'!C159,'Precio Mayorista'!$G$76:$G$94,0))*INDEX('Informacion del AEP'!$F$54:$N$72,MATCH('Pagos Mayoristas'!C159,'Informacion del AEP'!$C$54:$C$72,0),MATCH('Pagos Mayoristas'!$C$140,'Informacion del AEP'!$F$53:$N$53,0))</f>
        <v>490000000</v>
      </c>
    </row>
    <row r="160" spans="1:14" x14ac:dyDescent="0.2">
      <c r="C160" s="211"/>
      <c r="D160" s="94"/>
      <c r="E160" s="211"/>
      <c r="F160" s="94"/>
      <c r="G160" s="211"/>
      <c r="H160" s="211"/>
      <c r="I160" s="211"/>
      <c r="N160" s="246"/>
    </row>
    <row r="161" spans="3:15" x14ac:dyDescent="0.2">
      <c r="C161" s="76"/>
      <c r="D161" s="94"/>
      <c r="E161" s="211"/>
      <c r="F161" s="94"/>
      <c r="G161" s="211"/>
      <c r="H161" s="211"/>
      <c r="I161" s="211"/>
    </row>
    <row r="162" spans="3:15" x14ac:dyDescent="0.2">
      <c r="E162" s="211"/>
      <c r="F162" s="94"/>
      <c r="G162" s="211"/>
      <c r="H162" s="211"/>
      <c r="I162" s="211"/>
    </row>
    <row r="163" spans="3:15" x14ac:dyDescent="0.2">
      <c r="E163" s="211"/>
      <c r="F163" s="94"/>
      <c r="G163" s="211"/>
      <c r="H163" s="211"/>
      <c r="I163" s="211"/>
    </row>
    <row r="164" spans="3:15" x14ac:dyDescent="0.2">
      <c r="E164" s="211"/>
      <c r="F164" s="211"/>
      <c r="G164" s="211"/>
      <c r="H164" s="211"/>
      <c r="I164" s="211"/>
    </row>
    <row r="165" spans="3:15" x14ac:dyDescent="0.2">
      <c r="C165" s="211"/>
      <c r="D165" s="94"/>
      <c r="E165" s="211"/>
      <c r="F165" s="211"/>
      <c r="G165" s="211"/>
      <c r="H165" s="211"/>
      <c r="I165" s="211"/>
    </row>
    <row r="166" spans="3:15" x14ac:dyDescent="0.2">
      <c r="C166" s="89" t="str">
        <f>Supuestos!$B$81</f>
        <v>Telcel Pospago 1</v>
      </c>
      <c r="D166" s="93">
        <f>SUM(D167:D185)</f>
        <v>653021620.34188032</v>
      </c>
      <c r="E166" s="90"/>
      <c r="F166" s="93">
        <f>SUM(F167:F185)</f>
        <v>0</v>
      </c>
      <c r="G166" s="90"/>
      <c r="H166" s="93"/>
      <c r="I166" s="93">
        <f>INDEX('Informacion del AEP'!$H$29:$H$48,MATCH('Pagos Mayoristas'!C166,'Informacion del AEP'!$C$29:$C$48,0))*'Hoja Auxiliar'!$D$61</f>
        <v>800000</v>
      </c>
      <c r="J166" s="5"/>
      <c r="K166" s="93"/>
      <c r="L166" s="241">
        <f>$L$10*(INDEX('Informacion del AEP'!$F$12:$N$12,MATCH('Pagos Mayoristas'!C166,'Informacion del AEP'!$F$11:$N$11,0))/INDEX('Informacion del AEP'!$F$12:$N$12,MATCH('Pagos Mayoristas'!$C$10,'Informacion del AEP'!$F$11:$N$11,0)))</f>
        <v>73822.463768115937</v>
      </c>
      <c r="M166" s="241"/>
      <c r="N166" s="93">
        <f>SUM(N167:N185)</f>
        <v>1258408316.6666667</v>
      </c>
      <c r="O166" s="241">
        <f>SUM(D166:N166)</f>
        <v>1912303759.4723153</v>
      </c>
    </row>
    <row r="167" spans="3:15" x14ac:dyDescent="0.2">
      <c r="C167" s="211" t="str">
        <f>IF(Supuestos!B48="","",Supuestos!B48)</f>
        <v>Datos</v>
      </c>
      <c r="D167" s="94">
        <f>INDEX('Informacion del AEP'!$F$54:$N$72,MATCH('Pagos Mayoristas'!$C167,'Informacion del AEP'!$C$54:$C$72,0),MATCH('Pagos Mayoristas'!C$166,'Informacion del AEP'!$F$53:$N$53,0))*INDEX('Hoja Auxiliar'!$D$40:$D$58,MATCH('Pagos Mayoristas'!$C167,'Hoja Auxiliar'!$C$40:$C$58,0))</f>
        <v>368958333.33333331</v>
      </c>
      <c r="E167" s="211"/>
      <c r="F167" s="287">
        <f>IF(C167="","",('Precio Mayorista'!$D$100*INDEX('Informacion del AEP'!$D$54:$N$72,MATCH(C167,'Informacion del AEP'!$C$54:$C$72,0),MATCH($C$166,'Informacion del AEP'!$D$53:$N$53,0))*INDEX('Informacion del AEP'!$F$133:$F$151,MATCH(C167,'Informacion del AEP'!$C$133:$C$151,0))))</f>
        <v>0</v>
      </c>
      <c r="G167" s="211"/>
      <c r="H167" s="211"/>
      <c r="I167" s="211"/>
      <c r="N167" s="246">
        <f>INDEX('Precio Mayorista'!$D$76:$D$94,MATCH('Pagos Mayoristas'!C167,'Precio Mayorista'!$G$76:$G$94,0))*INDEX('Informacion del AEP'!$F$54:$N$72,MATCH('Pagos Mayoristas'!C167,'Informacion del AEP'!$C$54:$C$72,0),MATCH('Pagos Mayoristas'!$C$166,'Informacion del AEP'!$F$53:$N$53,0))</f>
        <v>0</v>
      </c>
    </row>
    <row r="168" spans="3:15" x14ac:dyDescent="0.2">
      <c r="C168" s="211" t="str">
        <f>IF(Supuestos!B49="","",Supuestos!B49)</f>
        <v>Originación voz on-net local</v>
      </c>
      <c r="D168" s="94">
        <f>INDEX('Informacion del AEP'!$F$54:$N$72,MATCH('Pagos Mayoristas'!$C168,'Informacion del AEP'!$C$54:$C$72,0),MATCH('Pagos Mayoristas'!C$166,'Informacion del AEP'!$F$53:$N$53,0))*INDEX('Hoja Auxiliar'!$D$40:$D$58,MATCH('Pagos Mayoristas'!$C168,'Hoja Auxiliar'!$C$40:$C$58,0))</f>
        <v>75504273.504273504</v>
      </c>
      <c r="E168" s="211"/>
      <c r="F168" s="287">
        <f>IF(C168="","",('Precio Mayorista'!$D$100*INDEX('Informacion del AEP'!$D$54:$N$72,MATCH(C168,'Informacion del AEP'!$C$54:$C$72,0),MATCH($C$166,'Informacion del AEP'!$D$53:$N$53,0))*INDEX('Informacion del AEP'!$F$133:$F$151,MATCH(C168,'Informacion del AEP'!$C$133:$C$151,0))))</f>
        <v>0</v>
      </c>
      <c r="G168" s="211"/>
      <c r="H168" s="211"/>
      <c r="I168" s="211"/>
      <c r="N168" s="246">
        <f>INDEX('Precio Mayorista'!$D$76:$D$94,MATCH('Pagos Mayoristas'!C168,'Precio Mayorista'!$G$76:$G$94,0))*INDEX('Informacion del AEP'!$F$54:$N$72,MATCH('Pagos Mayoristas'!C168,'Informacion del AEP'!$C$54:$C$72,0),MATCH('Pagos Mayoristas'!$C$166,'Informacion del AEP'!$F$53:$N$53,0))</f>
        <v>0</v>
      </c>
    </row>
    <row r="169" spans="3:15" x14ac:dyDescent="0.2">
      <c r="C169" s="211" t="str">
        <f>IF(Supuestos!B50="","",Supuestos!B50)</f>
        <v>Originación voz off-net móvil local</v>
      </c>
      <c r="D169" s="94">
        <f>INDEX('Informacion del AEP'!$F$54:$N$72,MATCH('Pagos Mayoristas'!$C169,'Informacion del AEP'!$C$54:$C$72,0),MATCH('Pagos Mayoristas'!C$166,'Informacion del AEP'!$F$53:$N$53,0))*INDEX('Hoja Auxiliar'!$D$40:$D$58,MATCH('Pagos Mayoristas'!$C169,'Hoja Auxiliar'!$C$40:$C$58,0))</f>
        <v>15100854.7008547</v>
      </c>
      <c r="E169" s="211"/>
      <c r="F169" s="287">
        <f>IF(C169="","",('Precio Mayorista'!$D$100*INDEX('Informacion del AEP'!$D$54:$N$72,MATCH(C169,'Informacion del AEP'!$C$54:$C$72,0),MATCH($C$166,'Informacion del AEP'!$D$53:$N$53,0))*INDEX('Informacion del AEP'!$F$133:$F$151,MATCH(C169,'Informacion del AEP'!$C$133:$C$151,0))))</f>
        <v>0</v>
      </c>
      <c r="G169" s="211"/>
      <c r="H169" s="211"/>
      <c r="I169" s="211"/>
      <c r="N169" s="246">
        <f>INDEX('Precio Mayorista'!$D$76:$D$94,MATCH('Pagos Mayoristas'!C169,'Precio Mayorista'!$G$76:$G$94,0))*INDEX('Informacion del AEP'!$F$54:$N$72,MATCH('Pagos Mayoristas'!C169,'Informacion del AEP'!$C$54:$C$72,0),MATCH('Pagos Mayoristas'!$C$166,'Informacion del AEP'!$F$53:$N$53,0))</f>
        <v>31902733.333333332</v>
      </c>
    </row>
    <row r="170" spans="3:15" x14ac:dyDescent="0.2">
      <c r="C170" s="211" t="str">
        <f>IF(Supuestos!B51="","",Supuestos!B51)</f>
        <v>Originación voz off-net fijo local</v>
      </c>
      <c r="D170" s="94">
        <f>INDEX('Informacion del AEP'!$F$54:$N$72,MATCH('Pagos Mayoristas'!$C170,'Informacion del AEP'!$C$54:$C$72,0),MATCH('Pagos Mayoristas'!C$166,'Informacion del AEP'!$F$53:$N$53,0))*INDEX('Hoja Auxiliar'!$D$40:$D$58,MATCH('Pagos Mayoristas'!$C170,'Hoja Auxiliar'!$C$40:$C$58,0))</f>
        <v>7550427.35042735</v>
      </c>
      <c r="E170" s="211"/>
      <c r="F170" s="287">
        <f>IF(C170="","",('Precio Mayorista'!$D$100*INDEX('Informacion del AEP'!$D$54:$N$72,MATCH(C170,'Informacion del AEP'!$C$54:$C$72,0),MATCH($C$166,'Informacion del AEP'!$D$53:$N$53,0))*INDEX('Informacion del AEP'!$F$133:$F$151,MATCH(C170,'Informacion del AEP'!$C$133:$C$151,0))))</f>
        <v>0</v>
      </c>
      <c r="G170" s="211"/>
      <c r="H170" s="211"/>
      <c r="I170" s="211"/>
      <c r="N170" s="246">
        <f>INDEX('Precio Mayorista'!$D$76:$D$94,MATCH('Pagos Mayoristas'!C170,'Precio Mayorista'!$G$76:$G$94,0))*INDEX('Informacion del AEP'!$F$54:$N$72,MATCH('Pagos Mayoristas'!C170,'Informacion del AEP'!$C$54:$C$72,0),MATCH('Pagos Mayoristas'!$C$166,'Informacion del AEP'!$F$53:$N$53,0))</f>
        <v>821333.33333333337</v>
      </c>
    </row>
    <row r="171" spans="3:15" x14ac:dyDescent="0.2">
      <c r="C171" s="211" t="str">
        <f>IF(Supuestos!B52="","",Supuestos!B52)</f>
        <v>Originación voz on-net LDN</v>
      </c>
      <c r="D171" s="94">
        <f>INDEX('Informacion del AEP'!$F$54:$N$72,MATCH('Pagos Mayoristas'!$C171,'Informacion del AEP'!$C$54:$C$72,0),MATCH('Pagos Mayoristas'!C$166,'Informacion del AEP'!$F$53:$N$53,0))*INDEX('Hoja Auxiliar'!$D$40:$D$58,MATCH('Pagos Mayoristas'!$C171,'Hoja Auxiliar'!$C$40:$C$58,0))</f>
        <v>113256410.25641024</v>
      </c>
      <c r="E171" s="211"/>
      <c r="F171" s="287">
        <f>IF(C171="","",('Precio Mayorista'!$D$100*INDEX('Informacion del AEP'!$D$54:$N$72,MATCH(C171,'Informacion del AEP'!$C$54:$C$72,0),MATCH($C$166,'Informacion del AEP'!$D$53:$N$53,0))*INDEX('Informacion del AEP'!$F$133:$F$151,MATCH(C171,'Informacion del AEP'!$C$133:$C$151,0))))</f>
        <v>0</v>
      </c>
      <c r="G171" s="211"/>
      <c r="H171" s="211"/>
      <c r="I171" s="211"/>
      <c r="N171" s="246">
        <f>INDEX('Precio Mayorista'!$D$76:$D$94,MATCH('Pagos Mayoristas'!C171,'Precio Mayorista'!$G$76:$G$94,0))*INDEX('Informacion del AEP'!$F$54:$N$72,MATCH('Pagos Mayoristas'!C171,'Informacion del AEP'!$C$54:$C$72,0),MATCH('Pagos Mayoristas'!$C$166,'Informacion del AEP'!$F$53:$N$53,0))</f>
        <v>0</v>
      </c>
    </row>
    <row r="172" spans="3:15" x14ac:dyDescent="0.2">
      <c r="C172" s="211" t="str">
        <f>IF(Supuestos!B53="","",Supuestos!B53)</f>
        <v>Originación voz off-net móvil LDN</v>
      </c>
      <c r="D172" s="94">
        <f>INDEX('Informacion del AEP'!$F$54:$N$72,MATCH('Pagos Mayoristas'!$C172,'Informacion del AEP'!$C$54:$C$72,0),MATCH('Pagos Mayoristas'!C$166,'Informacion del AEP'!$F$53:$N$53,0))*INDEX('Hoja Auxiliar'!$D$40:$D$58,MATCH('Pagos Mayoristas'!$C172,'Hoja Auxiliar'!$C$40:$C$58,0))</f>
        <v>11325641.025641022</v>
      </c>
      <c r="E172" s="211"/>
      <c r="F172" s="287">
        <f>IF(C172="","",('Precio Mayorista'!$D$100*INDEX('Informacion del AEP'!$D$54:$N$72,MATCH(C172,'Informacion del AEP'!$C$54:$C$72,0),MATCH($C$166,'Informacion del AEP'!$D$53:$N$53,0))*INDEX('Informacion del AEP'!$F$133:$F$151,MATCH(C172,'Informacion del AEP'!$C$133:$C$151,0))))</f>
        <v>0</v>
      </c>
      <c r="G172" s="211"/>
      <c r="H172" s="211"/>
      <c r="I172" s="211"/>
      <c r="N172" s="246">
        <f>INDEX('Precio Mayorista'!$D$76:$D$94,MATCH('Pagos Mayoristas'!C172,'Precio Mayorista'!$G$76:$G$94,0))*INDEX('Informacion del AEP'!$F$54:$N$72,MATCH('Pagos Mayoristas'!C172,'Informacion del AEP'!$C$54:$C$72,0),MATCH('Pagos Mayoristas'!$C$166,'Informacion del AEP'!$F$53:$N$53,0))</f>
        <v>23927049.999999993</v>
      </c>
    </row>
    <row r="173" spans="3:15" x14ac:dyDescent="0.2">
      <c r="C173" s="211" t="str">
        <f>IF(Supuestos!B54="","",Supuestos!B54)</f>
        <v>Originación voz off-net fijo LDN</v>
      </c>
      <c r="D173" s="94">
        <f>INDEX('Informacion del AEP'!$F$54:$N$72,MATCH('Pagos Mayoristas'!$C173,'Informacion del AEP'!$C$54:$C$72,0),MATCH('Pagos Mayoristas'!C$166,'Informacion del AEP'!$F$53:$N$53,0))*INDEX('Hoja Auxiliar'!$D$40:$D$58,MATCH('Pagos Mayoristas'!$C173,'Hoja Auxiliar'!$C$40:$C$58,0))</f>
        <v>3775213.675213675</v>
      </c>
      <c r="E173" s="211"/>
      <c r="F173" s="287">
        <f>IF(C173="","",('Precio Mayorista'!$D$100*INDEX('Informacion del AEP'!$D$54:$N$72,MATCH(C173,'Informacion del AEP'!$C$54:$C$72,0),MATCH($C$166,'Informacion del AEP'!$D$53:$N$53,0))*INDEX('Informacion del AEP'!$F$133:$F$151,MATCH(C173,'Informacion del AEP'!$C$133:$C$151,0))))</f>
        <v>0</v>
      </c>
      <c r="G173" s="211"/>
      <c r="H173" s="211"/>
      <c r="I173" s="211"/>
      <c r="N173" s="246">
        <f>INDEX('Precio Mayorista'!$D$76:$D$94,MATCH('Pagos Mayoristas'!C173,'Precio Mayorista'!$G$76:$G$94,0))*INDEX('Informacion del AEP'!$F$54:$N$72,MATCH('Pagos Mayoristas'!C173,'Informacion del AEP'!$C$54:$C$72,0),MATCH('Pagos Mayoristas'!$C$166,'Informacion del AEP'!$F$53:$N$53,0))</f>
        <v>410666.66666666669</v>
      </c>
    </row>
    <row r="174" spans="3:15" x14ac:dyDescent="0.2">
      <c r="C174" s="211" t="str">
        <f>IF(Supuestos!B55="","",Supuestos!B55)</f>
        <v>Originación voz internacional USA-Canadá</v>
      </c>
      <c r="D174" s="94">
        <f>INDEX('Informacion del AEP'!$F$54:$N$72,MATCH('Pagos Mayoristas'!$C174,'Informacion del AEP'!$C$54:$C$72,0),MATCH('Pagos Mayoristas'!C$166,'Informacion del AEP'!$F$53:$N$53,0))*INDEX('Hoja Auxiliar'!$D$40:$D$58,MATCH('Pagos Mayoristas'!$C174,'Hoja Auxiliar'!$C$40:$C$58,0))</f>
        <v>9815555.5555555541</v>
      </c>
      <c r="E174" s="211"/>
      <c r="F174" s="287">
        <f>IF(C174="","",('Precio Mayorista'!$D$100*INDEX('Informacion del AEP'!$D$54:$N$72,MATCH(C174,'Informacion del AEP'!$C$54:$C$72,0),MATCH($C$166,'Informacion del AEP'!$D$53:$N$53,0))*INDEX('Informacion del AEP'!$F$133:$F$151,MATCH(C174,'Informacion del AEP'!$C$133:$C$151,0))))</f>
        <v>0</v>
      </c>
      <c r="G174" s="211"/>
      <c r="H174" s="211"/>
      <c r="I174" s="211"/>
      <c r="N174" s="246">
        <f>INDEX('Precio Mayorista'!$D$76:$D$94,MATCH('Pagos Mayoristas'!C174,'Precio Mayorista'!$G$76:$G$94,0))*INDEX('Informacion del AEP'!$F$54:$N$72,MATCH('Pagos Mayoristas'!C174,'Informacion del AEP'!$C$54:$C$72,0),MATCH('Pagos Mayoristas'!$C$166,'Informacion del AEP'!$F$53:$N$53,0))</f>
        <v>27299999.999999996</v>
      </c>
    </row>
    <row r="175" spans="3:15" x14ac:dyDescent="0.2">
      <c r="C175" s="211" t="str">
        <f>IF(Supuestos!B56="","",Supuestos!B56)</f>
        <v>Originación voz internacional Mundial Centroamérica</v>
      </c>
      <c r="D175" s="94">
        <f>INDEX('Informacion del AEP'!$F$54:$N$72,MATCH('Pagos Mayoristas'!$C175,'Informacion del AEP'!$C$54:$C$72,0),MATCH('Pagos Mayoristas'!C$166,'Informacion del AEP'!$F$53:$N$53,0))*INDEX('Hoja Auxiliar'!$D$40:$D$58,MATCH('Pagos Mayoristas'!$C175,'Hoja Auxiliar'!$C$40:$C$58,0))</f>
        <v>22651.282051282051</v>
      </c>
      <c r="E175" s="211"/>
      <c r="F175" s="287">
        <f>IF(C175="","",('Precio Mayorista'!$D$100*INDEX('Informacion del AEP'!$D$54:$N$72,MATCH(C175,'Informacion del AEP'!$C$54:$C$72,0),MATCH($C$166,'Informacion del AEP'!$D$53:$N$53,0))*INDEX('Informacion del AEP'!$F$133:$F$151,MATCH(C175,'Informacion del AEP'!$C$133:$C$151,0))))</f>
        <v>0</v>
      </c>
      <c r="G175" s="211"/>
      <c r="H175" s="211"/>
      <c r="I175" s="211"/>
      <c r="N175" s="246">
        <f>INDEX('Precio Mayorista'!$D$76:$D$94,MATCH('Pagos Mayoristas'!C175,'Precio Mayorista'!$G$76:$G$94,0))*INDEX('Informacion del AEP'!$F$54:$N$72,MATCH('Pagos Mayoristas'!C175,'Informacion del AEP'!$C$54:$C$72,0),MATCH('Pagos Mayoristas'!$C$166,'Informacion del AEP'!$F$53:$N$53,0))</f>
        <v>1750000</v>
      </c>
    </row>
    <row r="176" spans="3:15" x14ac:dyDescent="0.2">
      <c r="C176" s="211" t="str">
        <f>IF(Supuestos!B57="","",Supuestos!B57)</f>
        <v>Originación voz internacional Mundial LATAM y Caribe</v>
      </c>
      <c r="D176" s="94">
        <f>INDEX('Informacion del AEP'!$F$54:$N$72,MATCH('Pagos Mayoristas'!$C176,'Informacion del AEP'!$C$54:$C$72,0),MATCH('Pagos Mayoristas'!C$166,'Informacion del AEP'!$F$53:$N$53,0))*INDEX('Hoja Auxiliar'!$D$40:$D$58,MATCH('Pagos Mayoristas'!$C176,'Hoja Auxiliar'!$C$40:$C$58,0))</f>
        <v>1510.0854700854698</v>
      </c>
      <c r="E176" s="211"/>
      <c r="F176" s="287">
        <f>IF(C176="","",('Precio Mayorista'!$D$100*INDEX('Informacion del AEP'!$D$54:$N$72,MATCH(C176,'Informacion del AEP'!$C$54:$C$72,0),MATCH($C$166,'Informacion del AEP'!$D$53:$N$53,0))*INDEX('Informacion del AEP'!$F$133:$F$151,MATCH(C176,'Informacion del AEP'!$C$133:$C$151,0))))</f>
        <v>0</v>
      </c>
      <c r="G176" s="211"/>
      <c r="H176" s="211"/>
      <c r="I176" s="211"/>
      <c r="N176" s="246">
        <f>INDEX('Precio Mayorista'!$D$76:$D$94,MATCH('Pagos Mayoristas'!C176,'Precio Mayorista'!$G$76:$G$94,0))*INDEX('Informacion del AEP'!$F$54:$N$72,MATCH('Pagos Mayoristas'!C176,'Informacion del AEP'!$C$54:$C$72,0),MATCH('Pagos Mayoristas'!$C$166,'Informacion del AEP'!$F$53:$N$53,0))</f>
        <v>233333.33333333331</v>
      </c>
    </row>
    <row r="177" spans="3:15" x14ac:dyDescent="0.2">
      <c r="C177" s="211" t="str">
        <f>IF(Supuestos!B58="","",Supuestos!B58)</f>
        <v>Originación voz internacional Europa</v>
      </c>
      <c r="D177" s="94">
        <f>INDEX('Informacion del AEP'!$F$54:$N$72,MATCH('Pagos Mayoristas'!$C177,'Informacion del AEP'!$C$54:$C$72,0),MATCH('Pagos Mayoristas'!C$166,'Informacion del AEP'!$F$53:$N$53,0))*INDEX('Hoja Auxiliar'!$D$40:$D$58,MATCH('Pagos Mayoristas'!$C177,'Hoja Auxiliar'!$C$40:$C$58,0))</f>
        <v>0</v>
      </c>
      <c r="E177" s="211"/>
      <c r="F177" s="287">
        <f>IF(C177="","",('Precio Mayorista'!$D$100*INDEX('Informacion del AEP'!$D$54:$N$72,MATCH(C177,'Informacion del AEP'!$C$54:$C$72,0),MATCH($C$166,'Informacion del AEP'!$D$53:$N$53,0))*INDEX('Informacion del AEP'!$F$133:$F$151,MATCH(C177,'Informacion del AEP'!$C$133:$C$151,0))))</f>
        <v>0</v>
      </c>
      <c r="G177" s="211"/>
      <c r="H177" s="211"/>
      <c r="I177" s="211"/>
      <c r="N177" s="246">
        <f>INDEX('Precio Mayorista'!$D$76:$D$94,MATCH('Pagos Mayoristas'!C177,'Precio Mayorista'!$G$76:$G$94,0))*INDEX('Informacion del AEP'!$F$54:$N$72,MATCH('Pagos Mayoristas'!C177,'Informacion del AEP'!$C$54:$C$72,0),MATCH('Pagos Mayoristas'!$C$166,'Informacion del AEP'!$F$53:$N$53,0))</f>
        <v>0</v>
      </c>
    </row>
    <row r="178" spans="3:15" x14ac:dyDescent="0.2">
      <c r="C178" s="211" t="str">
        <f>IF(Supuestos!B59="","",Supuestos!B59)</f>
        <v>Originación voz internacional Mundial Otros geográficos</v>
      </c>
      <c r="D178" s="94">
        <f>INDEX('Informacion del AEP'!$F$54:$N$72,MATCH('Pagos Mayoristas'!$C178,'Informacion del AEP'!$C$54:$C$72,0),MATCH('Pagos Mayoristas'!C$166,'Informacion del AEP'!$F$53:$N$53,0))*INDEX('Hoja Auxiliar'!$D$40:$D$58,MATCH('Pagos Mayoristas'!$C178,'Hoja Auxiliar'!$C$40:$C$58,0))</f>
        <v>75504.2735042735</v>
      </c>
      <c r="E178" s="211"/>
      <c r="F178" s="287">
        <f>IF(C178="","",('Precio Mayorista'!$D$100*INDEX('Informacion del AEP'!$D$54:$N$72,MATCH(C178,'Informacion del AEP'!$C$54:$C$72,0),MATCH($C$166,'Informacion del AEP'!$D$53:$N$53,0))*INDEX('Informacion del AEP'!$F$133:$F$151,MATCH(C178,'Informacion del AEP'!$C$133:$C$151,0))))</f>
        <v>0</v>
      </c>
      <c r="G178" s="211"/>
      <c r="H178" s="211"/>
      <c r="I178" s="211"/>
      <c r="N178" s="246">
        <f>INDEX('Precio Mayorista'!$D$76:$D$94,MATCH('Pagos Mayoristas'!C178,'Precio Mayorista'!$G$76:$G$94,0))*INDEX('Informacion del AEP'!$F$54:$N$72,MATCH('Pagos Mayoristas'!C178,'Informacion del AEP'!$C$54:$C$72,0),MATCH('Pagos Mayoristas'!$C$166,'Informacion del AEP'!$F$53:$N$53,0))</f>
        <v>11666666.666666668</v>
      </c>
    </row>
    <row r="179" spans="3:15" x14ac:dyDescent="0.2">
      <c r="C179" s="211" t="str">
        <f>IF(Supuestos!B60="","",Supuestos!B60)</f>
        <v>Originación voz internacional Cuba</v>
      </c>
      <c r="D179" s="94">
        <f>INDEX('Informacion del AEP'!$F$54:$N$72,MATCH('Pagos Mayoristas'!$C179,'Informacion del AEP'!$C$54:$C$72,0),MATCH('Pagos Mayoristas'!C$166,'Informacion del AEP'!$F$53:$N$53,0))*INDEX('Hoja Auxiliar'!$D$40:$D$58,MATCH('Pagos Mayoristas'!$C179,'Hoja Auxiliar'!$C$40:$C$58,0))</f>
        <v>3775.2136752136748</v>
      </c>
      <c r="E179" s="211"/>
      <c r="F179" s="287">
        <f>IF(C179="","",('Precio Mayorista'!$D$100*INDEX('Informacion del AEP'!$D$54:$N$72,MATCH(C179,'Informacion del AEP'!$C$54:$C$72,0),MATCH($C$166,'Informacion del AEP'!$D$53:$N$53,0))*INDEX('Informacion del AEP'!$F$133:$F$151,MATCH(C179,'Informacion del AEP'!$C$133:$C$151,0))))</f>
        <v>0</v>
      </c>
      <c r="G179" s="211"/>
      <c r="H179" s="211"/>
      <c r="I179" s="211"/>
      <c r="N179" s="246">
        <f>INDEX('Precio Mayorista'!$D$76:$D$94,MATCH('Pagos Mayoristas'!C179,'Precio Mayorista'!$G$76:$G$94,0))*INDEX('Informacion del AEP'!$F$54:$N$72,MATCH('Pagos Mayoristas'!C179,'Informacion del AEP'!$C$54:$C$72,0),MATCH('Pagos Mayoristas'!$C$166,'Informacion del AEP'!$F$53:$N$53,0))</f>
        <v>1750000</v>
      </c>
    </row>
    <row r="180" spans="3:15" x14ac:dyDescent="0.2">
      <c r="C180" s="211" t="str">
        <f>IF(Supuestos!B61="","",Supuestos!B61)</f>
        <v>Originación voz Mundial destinos no geográficos</v>
      </c>
      <c r="D180" s="94">
        <f>INDEX('Informacion del AEP'!$F$54:$N$72,MATCH('Pagos Mayoristas'!$C180,'Informacion del AEP'!$C$54:$C$72,0),MATCH('Pagos Mayoristas'!C$166,'Informacion del AEP'!$F$53:$N$53,0))*INDEX('Hoja Auxiliar'!$D$40:$D$58,MATCH('Pagos Mayoristas'!$C180,'Hoja Auxiliar'!$C$40:$C$58,0))</f>
        <v>0</v>
      </c>
      <c r="E180" s="211"/>
      <c r="F180" s="287">
        <f>IF(C180="","",('Precio Mayorista'!$D$100*INDEX('Informacion del AEP'!$D$54:$N$72,MATCH(C180,'Informacion del AEP'!$C$54:$C$72,0),MATCH($C$166,'Informacion del AEP'!$D$53:$N$53,0))*INDEX('Informacion del AEP'!$F$133:$F$151,MATCH(C180,'Informacion del AEP'!$C$133:$C$151,0))))</f>
        <v>0</v>
      </c>
      <c r="G180" s="211"/>
      <c r="H180" s="211"/>
      <c r="I180" s="211"/>
      <c r="N180" s="246">
        <f>INDEX('Precio Mayorista'!$D$76:$D$94,MATCH('Pagos Mayoristas'!C180,'Precio Mayorista'!$G$76:$G$94,0))*INDEX('Informacion del AEP'!$F$54:$N$72,MATCH('Pagos Mayoristas'!C180,'Informacion del AEP'!$C$54:$C$72,0),MATCH('Pagos Mayoristas'!$C$166,'Informacion del AEP'!$F$53:$N$53,0))</f>
        <v>0</v>
      </c>
    </row>
    <row r="181" spans="3:15" x14ac:dyDescent="0.2">
      <c r="C181" s="211" t="str">
        <f>IF(Supuestos!B62="","",Supuestos!B62)</f>
        <v>Originación SMS on-net</v>
      </c>
      <c r="D181" s="94">
        <f>INDEX('Informacion del AEP'!$F$54:$N$72,MATCH('Pagos Mayoristas'!$C181,'Informacion del AEP'!$C$54:$C$72,0),MATCH('Pagos Mayoristas'!C$166,'Informacion del AEP'!$F$53:$N$53,0))*INDEX('Hoja Auxiliar'!$D$40:$D$58,MATCH('Pagos Mayoristas'!$C181,'Hoja Auxiliar'!$C$40:$C$58,0))</f>
        <v>7570370.3703703703</v>
      </c>
      <c r="E181" s="211"/>
      <c r="F181" s="287">
        <f>IF(C181="","",('Precio Mayorista'!$D$100*INDEX('Informacion del AEP'!$D$54:$N$72,MATCH(C181,'Informacion del AEP'!$C$54:$C$72,0),MATCH($C$166,'Informacion del AEP'!$D$53:$N$53,0))*INDEX('Informacion del AEP'!$F$133:$F$151,MATCH(C181,'Informacion del AEP'!$C$133:$C$151,0))))</f>
        <v>0</v>
      </c>
      <c r="G181" s="211"/>
      <c r="H181" s="211"/>
      <c r="I181" s="211"/>
      <c r="N181" s="246">
        <f>INDEX('Precio Mayorista'!$D$76:$D$94,MATCH('Pagos Mayoristas'!C181,'Precio Mayorista'!$G$76:$G$94,0))*INDEX('Informacion del AEP'!$F$54:$N$72,MATCH('Pagos Mayoristas'!C181,'Informacion del AEP'!$C$54:$C$72,0),MATCH('Pagos Mayoristas'!$C$166,'Informacion del AEP'!$F$53:$N$53,0))</f>
        <v>0</v>
      </c>
    </row>
    <row r="182" spans="3:15" x14ac:dyDescent="0.2">
      <c r="C182" s="211" t="str">
        <f>IF(Supuestos!B63="","",Supuestos!B63)</f>
        <v>Originación SMS - off-net nacional</v>
      </c>
      <c r="D182" s="94">
        <f>INDEX('Informacion del AEP'!$F$54:$N$72,MATCH('Pagos Mayoristas'!$C182,'Informacion del AEP'!$C$54:$C$72,0),MATCH('Pagos Mayoristas'!C$166,'Informacion del AEP'!$F$53:$N$53,0))*INDEX('Hoja Auxiliar'!$D$40:$D$58,MATCH('Pagos Mayoristas'!$C182,'Hoja Auxiliar'!$C$40:$C$58,0))</f>
        <v>1892592.5925925926</v>
      </c>
      <c r="E182" s="211"/>
      <c r="F182" s="287">
        <f>IF(C182="","",('Precio Mayorista'!$D$100*INDEX('Informacion del AEP'!$D$54:$N$72,MATCH(C182,'Informacion del AEP'!$C$54:$C$72,0),MATCH($C$166,'Informacion del AEP'!$D$53:$N$53,0))*INDEX('Informacion del AEP'!$F$133:$F$151,MATCH(C182,'Informacion del AEP'!$C$133:$C$151,0))))</f>
        <v>0</v>
      </c>
      <c r="G182" s="211"/>
      <c r="H182" s="211"/>
      <c r="I182" s="211"/>
      <c r="N182" s="246">
        <f>INDEX('Precio Mayorista'!$D$76:$D$94,MATCH('Pagos Mayoristas'!C182,'Precio Mayorista'!$G$76:$G$94,0))*INDEX('Informacion del AEP'!$F$54:$N$72,MATCH('Pagos Mayoristas'!C182,'Informacion del AEP'!$C$54:$C$72,0),MATCH('Pagos Mayoristas'!$C$166,'Informacion del AEP'!$F$53:$N$53,0))</f>
        <v>1896533.3333333333</v>
      </c>
    </row>
    <row r="183" spans="3:15" x14ac:dyDescent="0.2">
      <c r="C183" s="211" t="str">
        <f>IF(Supuestos!B64="","",Supuestos!B64)</f>
        <v>Originación SMS internacional (USA-Canadá)</v>
      </c>
      <c r="D183" s="94">
        <f>INDEX('Informacion del AEP'!$F$54:$N$72,MATCH('Pagos Mayoristas'!$C183,'Informacion del AEP'!$C$54:$C$72,0),MATCH('Pagos Mayoristas'!C$166,'Informacion del AEP'!$F$53:$N$53,0))*INDEX('Hoja Auxiliar'!$D$40:$D$58,MATCH('Pagos Mayoristas'!$C183,'Hoja Auxiliar'!$C$40:$C$58,0))</f>
        <v>378518.51851851848</v>
      </c>
      <c r="E183" s="211"/>
      <c r="F183" s="287">
        <f>IF(C183="","",('Precio Mayorista'!$D$100*INDEX('Informacion del AEP'!$D$54:$N$72,MATCH(C183,'Informacion del AEP'!$C$54:$C$72,0),MATCH($C$166,'Informacion del AEP'!$D$53:$N$53,0))*INDEX('Informacion del AEP'!$F$133:$F$151,MATCH(C183,'Informacion del AEP'!$C$133:$C$151,0))))</f>
        <v>0</v>
      </c>
      <c r="G183" s="211"/>
      <c r="H183" s="211"/>
      <c r="I183" s="211"/>
      <c r="N183" s="246">
        <f>INDEX('Precio Mayorista'!$D$76:$D$94,MATCH('Pagos Mayoristas'!C183,'Precio Mayorista'!$G$76:$G$94,0))*INDEX('Informacion del AEP'!$F$54:$N$72,MATCH('Pagos Mayoristas'!C183,'Informacion del AEP'!$C$54:$C$72,0),MATCH('Pagos Mayoristas'!$C$166,'Informacion del AEP'!$F$53:$N$53,0))</f>
        <v>11666666.666666666</v>
      </c>
    </row>
    <row r="184" spans="3:15" x14ac:dyDescent="0.2">
      <c r="C184" s="211" t="str">
        <f>IF(Supuestos!B65="","",Supuestos!B65)</f>
        <v>Originación SMS internacional (Resto del Mundo)</v>
      </c>
      <c r="D184" s="94">
        <f>INDEX('Informacion del AEP'!$F$54:$N$72,MATCH('Pagos Mayoristas'!$C184,'Informacion del AEP'!$C$54:$C$72,0),MATCH('Pagos Mayoristas'!C$166,'Informacion del AEP'!$F$53:$N$53,0))*INDEX('Hoja Auxiliar'!$D$40:$D$58,MATCH('Pagos Mayoristas'!$C184,'Hoja Auxiliar'!$C$40:$C$58,0))</f>
        <v>37851.851851851854</v>
      </c>
      <c r="E184" s="211"/>
      <c r="F184" s="287">
        <f>IF(C184="","",('Precio Mayorista'!$D$100*INDEX('Informacion del AEP'!$D$54:$N$72,MATCH(C184,'Informacion del AEP'!$C$54:$C$72,0),MATCH($C$166,'Informacion del AEP'!$D$53:$N$53,0))*INDEX('Informacion del AEP'!$F$133:$F$151,MATCH(C184,'Informacion del AEP'!$C$133:$C$151,0))))</f>
        <v>0</v>
      </c>
      <c r="G184" s="211"/>
      <c r="H184" s="211"/>
      <c r="I184" s="211"/>
      <c r="N184" s="246">
        <f>INDEX('Precio Mayorista'!$D$76:$D$94,MATCH('Pagos Mayoristas'!C184,'Precio Mayorista'!$G$76:$G$94,0))*INDEX('Informacion del AEP'!$F$54:$N$72,MATCH('Pagos Mayoristas'!C184,'Informacion del AEP'!$C$54:$C$72,0),MATCH('Pagos Mayoristas'!$C$166,'Informacion del AEP'!$F$53:$N$53,0))</f>
        <v>1750000</v>
      </c>
    </row>
    <row r="185" spans="3:15" x14ac:dyDescent="0.2">
      <c r="C185" s="211" t="str">
        <f>IF(Supuestos!B66="","",Supuestos!B66)</f>
        <v>Otros servicios (incluyendo marcaciones especiales)</v>
      </c>
      <c r="D185" s="94">
        <f>INDEX('Informacion del AEP'!$F$54:$N$72,MATCH('Pagos Mayoristas'!$C185,'Informacion del AEP'!$C$54:$C$72,0),MATCH('Pagos Mayoristas'!C$166,'Informacion del AEP'!$F$53:$N$53,0))*INDEX('Hoja Auxiliar'!$D$40:$D$58,MATCH('Pagos Mayoristas'!$C185,'Hoja Auxiliar'!$C$40:$C$58,0))</f>
        <v>37752136.752136752</v>
      </c>
      <c r="E185" s="211"/>
      <c r="F185" s="287">
        <f>IF(C185="","",('Precio Mayorista'!$D$100*INDEX('Informacion del AEP'!$D$54:$N$72,MATCH(C185,'Informacion del AEP'!$C$54:$C$72,0),MATCH($C$166,'Informacion del AEP'!$D$53:$N$53,0))*INDEX('Informacion del AEP'!$F$133:$F$151,MATCH(C185,'Informacion del AEP'!$C$133:$C$151,0))))</f>
        <v>0</v>
      </c>
      <c r="G185" s="211"/>
      <c r="H185" s="211"/>
      <c r="I185" s="211"/>
      <c r="N185" s="246">
        <f>INDEX('Precio Mayorista'!$D$76:$D$94,MATCH('Pagos Mayoristas'!C185,'Precio Mayorista'!$G$76:$G$94,0))*INDEX('Informacion del AEP'!$F$54:$N$72,MATCH('Pagos Mayoristas'!C185,'Informacion del AEP'!$C$54:$C$72,0),MATCH('Pagos Mayoristas'!$C$166,'Informacion del AEP'!$F$53:$N$53,0))</f>
        <v>1143333333.3333335</v>
      </c>
    </row>
    <row r="186" spans="3:15" x14ac:dyDescent="0.2">
      <c r="C186" s="211"/>
      <c r="D186" s="94"/>
      <c r="E186" s="211"/>
      <c r="F186" s="94"/>
      <c r="G186" s="211"/>
      <c r="H186" s="211"/>
      <c r="I186" s="211"/>
      <c r="N186" s="246"/>
    </row>
    <row r="187" spans="3:15" x14ac:dyDescent="0.2">
      <c r="C187" s="76"/>
      <c r="D187" s="94"/>
      <c r="E187" s="211"/>
      <c r="F187" s="94"/>
      <c r="G187" s="211"/>
      <c r="H187" s="211"/>
      <c r="I187" s="211"/>
      <c r="N187" s="246"/>
    </row>
    <row r="188" spans="3:15" x14ac:dyDescent="0.2">
      <c r="D188" s="94"/>
      <c r="E188" s="211"/>
      <c r="F188" s="94"/>
      <c r="G188" s="211"/>
      <c r="H188" s="211"/>
      <c r="I188" s="211"/>
    </row>
    <row r="189" spans="3:15" x14ac:dyDescent="0.2">
      <c r="D189" s="94"/>
      <c r="E189" s="211"/>
      <c r="F189" s="211"/>
      <c r="G189" s="211"/>
      <c r="H189" s="211"/>
      <c r="I189" s="211"/>
    </row>
    <row r="190" spans="3:15" x14ac:dyDescent="0.2">
      <c r="D190" s="94"/>
      <c r="E190" s="211"/>
      <c r="F190" s="211"/>
      <c r="G190" s="211"/>
      <c r="H190" s="211"/>
      <c r="I190" s="211"/>
    </row>
    <row r="191" spans="3:15" x14ac:dyDescent="0.2">
      <c r="D191" s="94"/>
      <c r="E191" s="211"/>
      <c r="F191" s="211"/>
      <c r="G191" s="211"/>
      <c r="H191" s="211"/>
      <c r="I191" s="211"/>
    </row>
    <row r="192" spans="3:15" x14ac:dyDescent="0.2">
      <c r="C192" s="89" t="str">
        <f>Supuestos!$B$82</f>
        <v>Telcel Pospago 8</v>
      </c>
      <c r="D192" s="93">
        <f>SUM(D193:D211)</f>
        <v>653021620.34188032</v>
      </c>
      <c r="E192" s="90"/>
      <c r="F192" s="93">
        <f>SUM(F193:F211)</f>
        <v>0</v>
      </c>
      <c r="G192" s="90"/>
      <c r="H192" s="93"/>
      <c r="I192" s="93">
        <f>INDEX('Informacion del AEP'!$H$29:$H$48,MATCH('Pagos Mayoristas'!C192,'Informacion del AEP'!$C$29:$C$48,0))*'Hoja Auxiliar'!$D$61</f>
        <v>373333.33333333331</v>
      </c>
      <c r="J192" s="5"/>
      <c r="K192" s="93"/>
      <c r="L192" s="241">
        <f>$L$10*(INDEX('Informacion del AEP'!$F$12:$N$12,MATCH('Pagos Mayoristas'!C192,'Informacion del AEP'!$F$11:$N$11,0))/INDEX('Informacion del AEP'!$F$12:$N$12,MATCH('Pagos Mayoristas'!$C$10,'Informacion del AEP'!$F$11:$N$11,0)))</f>
        <v>73822.463768115937</v>
      </c>
      <c r="M192" s="241"/>
      <c r="N192" s="93">
        <f>SUM(N193:N211)</f>
        <v>1258408316.6666667</v>
      </c>
      <c r="O192" s="241">
        <f>SUM(D192:N192)</f>
        <v>1911877092.8056486</v>
      </c>
    </row>
    <row r="193" spans="3:14" x14ac:dyDescent="0.2">
      <c r="C193" s="211" t="str">
        <f>IF(Supuestos!B48="","",Supuestos!B48)</f>
        <v>Datos</v>
      </c>
      <c r="D193" s="94">
        <f>INDEX('Informacion del AEP'!$F$54:$N$72,MATCH('Pagos Mayoristas'!$C193,'Informacion del AEP'!$C$54:$C$72,0),MATCH('Pagos Mayoristas'!C$192,'Informacion del AEP'!$F$53:$N$53,0))*INDEX('Hoja Auxiliar'!$D$40:$D$58,MATCH('Pagos Mayoristas'!$C193,'Hoja Auxiliar'!$C$40:$C$58,0))</f>
        <v>368958333.33333331</v>
      </c>
      <c r="E193" s="211"/>
      <c r="F193" s="287">
        <f>IF(C193="","",('Precio Mayorista'!$D$100*INDEX('Informacion del AEP'!$D$54:$N$72,MATCH(C193,'Informacion del AEP'!$C$54:$C$72,0),MATCH($C$192,'Informacion del AEP'!$D$53:$N$53,0))*INDEX('Informacion del AEP'!$F$133:$F$151,MATCH(C193,'Informacion del AEP'!$C$133:$C$151,0))))</f>
        <v>0</v>
      </c>
      <c r="G193" s="211"/>
      <c r="H193" s="211"/>
      <c r="I193" s="211"/>
      <c r="N193" s="246">
        <f>INDEX('Precio Mayorista'!$D$76:$D$94,MATCH('Pagos Mayoristas'!C193,'Precio Mayorista'!$G$76:$G$94,0))*INDEX('Informacion del AEP'!$F$54:$N$72,MATCH('Pagos Mayoristas'!C193,'Informacion del AEP'!$C$54:$C$72,0),MATCH('Pagos Mayoristas'!$C$192,'Informacion del AEP'!$F$53:$N$53,0))</f>
        <v>0</v>
      </c>
    </row>
    <row r="194" spans="3:14" x14ac:dyDescent="0.2">
      <c r="C194" s="211" t="str">
        <f>IF(Supuestos!B49="","",Supuestos!B49)</f>
        <v>Originación voz on-net local</v>
      </c>
      <c r="D194" s="94">
        <f>INDEX('Informacion del AEP'!$F$54:$N$72,MATCH('Pagos Mayoristas'!$C194,'Informacion del AEP'!$C$54:$C$72,0),MATCH('Pagos Mayoristas'!C$192,'Informacion del AEP'!$F$53:$N$53,0))*INDEX('Hoja Auxiliar'!$D$40:$D$58,MATCH('Pagos Mayoristas'!$C194,'Hoja Auxiliar'!$C$40:$C$58,0))</f>
        <v>75504273.504273504</v>
      </c>
      <c r="E194" s="211"/>
      <c r="F194" s="287">
        <f>IF(C194="","",('Precio Mayorista'!$D$100*INDEX('Informacion del AEP'!$D$54:$N$72,MATCH(C194,'Informacion del AEP'!$C$54:$C$72,0),MATCH($C$192,'Informacion del AEP'!$D$53:$N$53,0))*INDEX('Informacion del AEP'!$F$133:$F$151,MATCH(C194,'Informacion del AEP'!$C$133:$C$151,0))))</f>
        <v>0</v>
      </c>
      <c r="G194" s="211"/>
      <c r="H194" s="211"/>
      <c r="I194" s="211"/>
      <c r="N194" s="246">
        <f>INDEX('Precio Mayorista'!$D$76:$D$94,MATCH('Pagos Mayoristas'!C194,'Precio Mayorista'!$G$76:$G$94,0))*INDEX('Informacion del AEP'!$F$54:$N$72,MATCH('Pagos Mayoristas'!C194,'Informacion del AEP'!$C$54:$C$72,0),MATCH('Pagos Mayoristas'!$C$192,'Informacion del AEP'!$F$53:$N$53,0))</f>
        <v>0</v>
      </c>
    </row>
    <row r="195" spans="3:14" x14ac:dyDescent="0.2">
      <c r="C195" s="211" t="str">
        <f>IF(Supuestos!B50="","",Supuestos!B50)</f>
        <v>Originación voz off-net móvil local</v>
      </c>
      <c r="D195" s="94">
        <f>INDEX('Informacion del AEP'!$F$54:$N$72,MATCH('Pagos Mayoristas'!$C195,'Informacion del AEP'!$C$54:$C$72,0),MATCH('Pagos Mayoristas'!C$192,'Informacion del AEP'!$F$53:$N$53,0))*INDEX('Hoja Auxiliar'!$D$40:$D$58,MATCH('Pagos Mayoristas'!$C195,'Hoja Auxiliar'!$C$40:$C$58,0))</f>
        <v>15100854.7008547</v>
      </c>
      <c r="E195" s="211"/>
      <c r="F195" s="287">
        <f>IF(C195="","",('Precio Mayorista'!$D$100*INDEX('Informacion del AEP'!$D$54:$N$72,MATCH(C195,'Informacion del AEP'!$C$54:$C$72,0),MATCH($C$192,'Informacion del AEP'!$D$53:$N$53,0))*INDEX('Informacion del AEP'!$F$133:$F$151,MATCH(C195,'Informacion del AEP'!$C$133:$C$151,0))))</f>
        <v>0</v>
      </c>
      <c r="G195" s="211"/>
      <c r="H195" s="211"/>
      <c r="I195" s="211"/>
      <c r="N195" s="246">
        <f>INDEX('Precio Mayorista'!$D$76:$D$94,MATCH('Pagos Mayoristas'!C195,'Precio Mayorista'!$G$76:$G$94,0))*INDEX('Informacion del AEP'!$F$54:$N$72,MATCH('Pagos Mayoristas'!C195,'Informacion del AEP'!$C$54:$C$72,0),MATCH('Pagos Mayoristas'!$C$192,'Informacion del AEP'!$F$53:$N$53,0))</f>
        <v>31902733.333333332</v>
      </c>
    </row>
    <row r="196" spans="3:14" x14ac:dyDescent="0.2">
      <c r="C196" s="211" t="str">
        <f>IF(Supuestos!B51="","",Supuestos!B51)</f>
        <v>Originación voz off-net fijo local</v>
      </c>
      <c r="D196" s="94">
        <f>INDEX('Informacion del AEP'!$F$54:$N$72,MATCH('Pagos Mayoristas'!$C196,'Informacion del AEP'!$C$54:$C$72,0),MATCH('Pagos Mayoristas'!C$192,'Informacion del AEP'!$F$53:$N$53,0))*INDEX('Hoja Auxiliar'!$D$40:$D$58,MATCH('Pagos Mayoristas'!$C196,'Hoja Auxiliar'!$C$40:$C$58,0))</f>
        <v>7550427.35042735</v>
      </c>
      <c r="E196" s="211"/>
      <c r="F196" s="287">
        <f>IF(C196="","",('Precio Mayorista'!$D$100*INDEX('Informacion del AEP'!$D$54:$N$72,MATCH(C196,'Informacion del AEP'!$C$54:$C$72,0),MATCH($C$192,'Informacion del AEP'!$D$53:$N$53,0))*INDEX('Informacion del AEP'!$F$133:$F$151,MATCH(C196,'Informacion del AEP'!$C$133:$C$151,0))))</f>
        <v>0</v>
      </c>
      <c r="G196" s="211"/>
      <c r="H196" s="211"/>
      <c r="I196" s="211"/>
      <c r="N196" s="246">
        <f>INDEX('Precio Mayorista'!$D$76:$D$94,MATCH('Pagos Mayoristas'!C196,'Precio Mayorista'!$G$76:$G$94,0))*INDEX('Informacion del AEP'!$F$54:$N$72,MATCH('Pagos Mayoristas'!C196,'Informacion del AEP'!$C$54:$C$72,0),MATCH('Pagos Mayoristas'!$C$192,'Informacion del AEP'!$F$53:$N$53,0))</f>
        <v>821333.33333333337</v>
      </c>
    </row>
    <row r="197" spans="3:14" x14ac:dyDescent="0.2">
      <c r="C197" s="211" t="str">
        <f>IF(Supuestos!B52="","",Supuestos!B52)</f>
        <v>Originación voz on-net LDN</v>
      </c>
      <c r="D197" s="94">
        <f>INDEX('Informacion del AEP'!$F$54:$N$72,MATCH('Pagos Mayoristas'!$C197,'Informacion del AEP'!$C$54:$C$72,0),MATCH('Pagos Mayoristas'!C$192,'Informacion del AEP'!$F$53:$N$53,0))*INDEX('Hoja Auxiliar'!$D$40:$D$58,MATCH('Pagos Mayoristas'!$C197,'Hoja Auxiliar'!$C$40:$C$58,0))</f>
        <v>113256410.25641024</v>
      </c>
      <c r="E197" s="211"/>
      <c r="F197" s="287">
        <f>IF(C197="","",('Precio Mayorista'!$D$100*INDEX('Informacion del AEP'!$D$54:$N$72,MATCH(C197,'Informacion del AEP'!$C$54:$C$72,0),MATCH($C$192,'Informacion del AEP'!$D$53:$N$53,0))*INDEX('Informacion del AEP'!$F$133:$F$151,MATCH(C197,'Informacion del AEP'!$C$133:$C$151,0))))</f>
        <v>0</v>
      </c>
      <c r="G197" s="211"/>
      <c r="H197" s="211"/>
      <c r="I197" s="211"/>
      <c r="N197" s="246">
        <f>INDEX('Precio Mayorista'!$D$76:$D$94,MATCH('Pagos Mayoristas'!C197,'Precio Mayorista'!$G$76:$G$94,0))*INDEX('Informacion del AEP'!$F$54:$N$72,MATCH('Pagos Mayoristas'!C197,'Informacion del AEP'!$C$54:$C$72,0),MATCH('Pagos Mayoristas'!$C$192,'Informacion del AEP'!$F$53:$N$53,0))</f>
        <v>0</v>
      </c>
    </row>
    <row r="198" spans="3:14" x14ac:dyDescent="0.2">
      <c r="C198" s="211" t="str">
        <f>IF(Supuestos!B53="","",Supuestos!B53)</f>
        <v>Originación voz off-net móvil LDN</v>
      </c>
      <c r="D198" s="94">
        <f>INDEX('Informacion del AEP'!$F$54:$N$72,MATCH('Pagos Mayoristas'!$C198,'Informacion del AEP'!$C$54:$C$72,0),MATCH('Pagos Mayoristas'!C$192,'Informacion del AEP'!$F$53:$N$53,0))*INDEX('Hoja Auxiliar'!$D$40:$D$58,MATCH('Pagos Mayoristas'!$C198,'Hoja Auxiliar'!$C$40:$C$58,0))</f>
        <v>11325641.025641022</v>
      </c>
      <c r="E198" s="211"/>
      <c r="F198" s="287">
        <f>IF(C198="","",('Precio Mayorista'!$D$100*INDEX('Informacion del AEP'!$D$54:$N$72,MATCH(C198,'Informacion del AEP'!$C$54:$C$72,0),MATCH($C$192,'Informacion del AEP'!$D$53:$N$53,0))*INDEX('Informacion del AEP'!$F$133:$F$151,MATCH(C198,'Informacion del AEP'!$C$133:$C$151,0))))</f>
        <v>0</v>
      </c>
      <c r="G198" s="211"/>
      <c r="H198" s="211"/>
      <c r="I198" s="211"/>
      <c r="N198" s="246">
        <f>INDEX('Precio Mayorista'!$D$76:$D$94,MATCH('Pagos Mayoristas'!C198,'Precio Mayorista'!$G$76:$G$94,0))*INDEX('Informacion del AEP'!$F$54:$N$72,MATCH('Pagos Mayoristas'!C198,'Informacion del AEP'!$C$54:$C$72,0),MATCH('Pagos Mayoristas'!$C$192,'Informacion del AEP'!$F$53:$N$53,0))</f>
        <v>23927049.999999993</v>
      </c>
    </row>
    <row r="199" spans="3:14" x14ac:dyDescent="0.2">
      <c r="C199" s="211" t="str">
        <f>IF(Supuestos!B54="","",Supuestos!B54)</f>
        <v>Originación voz off-net fijo LDN</v>
      </c>
      <c r="D199" s="94">
        <f>INDEX('Informacion del AEP'!$F$54:$N$72,MATCH('Pagos Mayoristas'!$C199,'Informacion del AEP'!$C$54:$C$72,0),MATCH('Pagos Mayoristas'!C$192,'Informacion del AEP'!$F$53:$N$53,0))*INDEX('Hoja Auxiliar'!$D$40:$D$58,MATCH('Pagos Mayoristas'!$C199,'Hoja Auxiliar'!$C$40:$C$58,0))</f>
        <v>3775213.675213675</v>
      </c>
      <c r="E199" s="211"/>
      <c r="F199" s="287">
        <f>IF(C199="","",('Precio Mayorista'!$D$100*INDEX('Informacion del AEP'!$D$54:$N$72,MATCH(C199,'Informacion del AEP'!$C$54:$C$72,0),MATCH($C$192,'Informacion del AEP'!$D$53:$N$53,0))*INDEX('Informacion del AEP'!$F$133:$F$151,MATCH(C199,'Informacion del AEP'!$C$133:$C$151,0))))</f>
        <v>0</v>
      </c>
      <c r="G199" s="211"/>
      <c r="H199" s="211"/>
      <c r="I199" s="211"/>
      <c r="N199" s="246">
        <f>INDEX('Precio Mayorista'!$D$76:$D$94,MATCH('Pagos Mayoristas'!C199,'Precio Mayorista'!$G$76:$G$94,0))*INDEX('Informacion del AEP'!$F$54:$N$72,MATCH('Pagos Mayoristas'!C199,'Informacion del AEP'!$C$54:$C$72,0),MATCH('Pagos Mayoristas'!$C$192,'Informacion del AEP'!$F$53:$N$53,0))</f>
        <v>410666.66666666669</v>
      </c>
    </row>
    <row r="200" spans="3:14" x14ac:dyDescent="0.2">
      <c r="C200" s="211" t="str">
        <f>IF(Supuestos!B55="","",Supuestos!B55)</f>
        <v>Originación voz internacional USA-Canadá</v>
      </c>
      <c r="D200" s="94">
        <f>INDEX('Informacion del AEP'!$F$54:$N$72,MATCH('Pagos Mayoristas'!$C200,'Informacion del AEP'!$C$54:$C$72,0),MATCH('Pagos Mayoristas'!C$192,'Informacion del AEP'!$F$53:$N$53,0))*INDEX('Hoja Auxiliar'!$D$40:$D$58,MATCH('Pagos Mayoristas'!$C200,'Hoja Auxiliar'!$C$40:$C$58,0))</f>
        <v>9815555.5555555541</v>
      </c>
      <c r="E200" s="211"/>
      <c r="F200" s="287">
        <f>IF(C200="","",('Precio Mayorista'!$D$100*INDEX('Informacion del AEP'!$D$54:$N$72,MATCH(C200,'Informacion del AEP'!$C$54:$C$72,0),MATCH($C$192,'Informacion del AEP'!$D$53:$N$53,0))*INDEX('Informacion del AEP'!$F$133:$F$151,MATCH(C200,'Informacion del AEP'!$C$133:$C$151,0))))</f>
        <v>0</v>
      </c>
      <c r="G200" s="211"/>
      <c r="H200" s="211"/>
      <c r="I200" s="211"/>
      <c r="N200" s="246">
        <f>INDEX('Precio Mayorista'!$D$76:$D$94,MATCH('Pagos Mayoristas'!C200,'Precio Mayorista'!$G$76:$G$94,0))*INDEX('Informacion del AEP'!$F$54:$N$72,MATCH('Pagos Mayoristas'!C200,'Informacion del AEP'!$C$54:$C$72,0),MATCH('Pagos Mayoristas'!$C$192,'Informacion del AEP'!$F$53:$N$53,0))</f>
        <v>27299999.999999996</v>
      </c>
    </row>
    <row r="201" spans="3:14" x14ac:dyDescent="0.2">
      <c r="C201" s="211" t="str">
        <f>IF(Supuestos!B56="","",Supuestos!B56)</f>
        <v>Originación voz internacional Mundial Centroamérica</v>
      </c>
      <c r="D201" s="94">
        <f>INDEX('Informacion del AEP'!$F$54:$N$72,MATCH('Pagos Mayoristas'!$C201,'Informacion del AEP'!$C$54:$C$72,0),MATCH('Pagos Mayoristas'!C$192,'Informacion del AEP'!$F$53:$N$53,0))*INDEX('Hoja Auxiliar'!$D$40:$D$58,MATCH('Pagos Mayoristas'!$C201,'Hoja Auxiliar'!$C$40:$C$58,0))</f>
        <v>22651.282051282051</v>
      </c>
      <c r="E201" s="211"/>
      <c r="F201" s="287">
        <f>IF(C201="","",('Precio Mayorista'!$D$100*INDEX('Informacion del AEP'!$D$54:$N$72,MATCH(C201,'Informacion del AEP'!$C$54:$C$72,0),MATCH($C$192,'Informacion del AEP'!$D$53:$N$53,0))*INDEX('Informacion del AEP'!$F$133:$F$151,MATCH(C201,'Informacion del AEP'!$C$133:$C$151,0))))</f>
        <v>0</v>
      </c>
      <c r="G201" s="211"/>
      <c r="H201" s="211"/>
      <c r="I201" s="211"/>
      <c r="N201" s="246">
        <f>INDEX('Precio Mayorista'!$D$76:$D$94,MATCH('Pagos Mayoristas'!C201,'Precio Mayorista'!$G$76:$G$94,0))*INDEX('Informacion del AEP'!$F$54:$N$72,MATCH('Pagos Mayoristas'!C201,'Informacion del AEP'!$C$54:$C$72,0),MATCH('Pagos Mayoristas'!$C$192,'Informacion del AEP'!$F$53:$N$53,0))</f>
        <v>1750000</v>
      </c>
    </row>
    <row r="202" spans="3:14" x14ac:dyDescent="0.2">
      <c r="C202" s="211" t="str">
        <f>IF(Supuestos!B57="","",Supuestos!B57)</f>
        <v>Originación voz internacional Mundial LATAM y Caribe</v>
      </c>
      <c r="D202" s="94">
        <f>INDEX('Informacion del AEP'!$F$54:$N$72,MATCH('Pagos Mayoristas'!$C202,'Informacion del AEP'!$C$54:$C$72,0),MATCH('Pagos Mayoristas'!C$192,'Informacion del AEP'!$F$53:$N$53,0))*INDEX('Hoja Auxiliar'!$D$40:$D$58,MATCH('Pagos Mayoristas'!$C202,'Hoja Auxiliar'!$C$40:$C$58,0))</f>
        <v>1510.0854700854698</v>
      </c>
      <c r="E202" s="211"/>
      <c r="F202" s="287">
        <f>IF(C202="","",('Precio Mayorista'!$D$100*INDEX('Informacion del AEP'!$D$54:$N$72,MATCH(C202,'Informacion del AEP'!$C$54:$C$72,0),MATCH($C$192,'Informacion del AEP'!$D$53:$N$53,0))*INDEX('Informacion del AEP'!$F$133:$F$151,MATCH(C202,'Informacion del AEP'!$C$133:$C$151,0))))</f>
        <v>0</v>
      </c>
      <c r="G202" s="211"/>
      <c r="H202" s="211"/>
      <c r="I202" s="211"/>
      <c r="N202" s="246">
        <f>INDEX('Precio Mayorista'!$D$76:$D$94,MATCH('Pagos Mayoristas'!C202,'Precio Mayorista'!$G$76:$G$94,0))*INDEX('Informacion del AEP'!$F$54:$N$72,MATCH('Pagos Mayoristas'!C202,'Informacion del AEP'!$C$54:$C$72,0),MATCH('Pagos Mayoristas'!$C$192,'Informacion del AEP'!$F$53:$N$53,0))</f>
        <v>233333.33333333331</v>
      </c>
    </row>
    <row r="203" spans="3:14" x14ac:dyDescent="0.2">
      <c r="C203" s="211" t="str">
        <f>IF(Supuestos!B58="","",Supuestos!B58)</f>
        <v>Originación voz internacional Europa</v>
      </c>
      <c r="D203" s="94">
        <f>INDEX('Informacion del AEP'!$F$54:$N$72,MATCH('Pagos Mayoristas'!$C203,'Informacion del AEP'!$C$54:$C$72,0),MATCH('Pagos Mayoristas'!C$192,'Informacion del AEP'!$F$53:$N$53,0))*INDEX('Hoja Auxiliar'!$D$40:$D$58,MATCH('Pagos Mayoristas'!$C203,'Hoja Auxiliar'!$C$40:$C$58,0))</f>
        <v>0</v>
      </c>
      <c r="E203" s="211"/>
      <c r="F203" s="287">
        <f>IF(C203="","",('Precio Mayorista'!$D$100*INDEX('Informacion del AEP'!$D$54:$N$72,MATCH(C203,'Informacion del AEP'!$C$54:$C$72,0),MATCH($C$192,'Informacion del AEP'!$D$53:$N$53,0))*INDEX('Informacion del AEP'!$F$133:$F$151,MATCH(C203,'Informacion del AEP'!$C$133:$C$151,0))))</f>
        <v>0</v>
      </c>
      <c r="G203" s="211"/>
      <c r="H203" s="211"/>
      <c r="I203" s="211"/>
      <c r="N203" s="246">
        <f>INDEX('Precio Mayorista'!$D$76:$D$94,MATCH('Pagos Mayoristas'!C203,'Precio Mayorista'!$G$76:$G$94,0))*INDEX('Informacion del AEP'!$F$54:$N$72,MATCH('Pagos Mayoristas'!C203,'Informacion del AEP'!$C$54:$C$72,0),MATCH('Pagos Mayoristas'!$C$192,'Informacion del AEP'!$F$53:$N$53,0))</f>
        <v>0</v>
      </c>
    </row>
    <row r="204" spans="3:14" x14ac:dyDescent="0.2">
      <c r="C204" s="211" t="str">
        <f>IF(Supuestos!B59="","",Supuestos!B59)</f>
        <v>Originación voz internacional Mundial Otros geográficos</v>
      </c>
      <c r="D204" s="94">
        <f>INDEX('Informacion del AEP'!$F$54:$N$72,MATCH('Pagos Mayoristas'!$C204,'Informacion del AEP'!$C$54:$C$72,0),MATCH('Pagos Mayoristas'!C$192,'Informacion del AEP'!$F$53:$N$53,0))*INDEX('Hoja Auxiliar'!$D$40:$D$58,MATCH('Pagos Mayoristas'!$C204,'Hoja Auxiliar'!$C$40:$C$58,0))</f>
        <v>75504.2735042735</v>
      </c>
      <c r="E204" s="211"/>
      <c r="F204" s="287">
        <f>IF(C204="","",('Precio Mayorista'!$D$100*INDEX('Informacion del AEP'!$D$54:$N$72,MATCH(C204,'Informacion del AEP'!$C$54:$C$72,0),MATCH($C$192,'Informacion del AEP'!$D$53:$N$53,0))*INDEX('Informacion del AEP'!$F$133:$F$151,MATCH(C204,'Informacion del AEP'!$C$133:$C$151,0))))</f>
        <v>0</v>
      </c>
      <c r="G204" s="211"/>
      <c r="H204" s="211"/>
      <c r="I204" s="211"/>
      <c r="N204" s="246">
        <f>INDEX('Precio Mayorista'!$D$76:$D$94,MATCH('Pagos Mayoristas'!C204,'Precio Mayorista'!$G$76:$G$94,0))*INDEX('Informacion del AEP'!$F$54:$N$72,MATCH('Pagos Mayoristas'!C204,'Informacion del AEP'!$C$54:$C$72,0),MATCH('Pagos Mayoristas'!$C$192,'Informacion del AEP'!$F$53:$N$53,0))</f>
        <v>11666666.666666668</v>
      </c>
    </row>
    <row r="205" spans="3:14" x14ac:dyDescent="0.2">
      <c r="C205" s="211" t="str">
        <f>IF(Supuestos!B60="","",Supuestos!B60)</f>
        <v>Originación voz internacional Cuba</v>
      </c>
      <c r="D205" s="94">
        <f>INDEX('Informacion del AEP'!$F$54:$N$72,MATCH('Pagos Mayoristas'!$C205,'Informacion del AEP'!$C$54:$C$72,0),MATCH('Pagos Mayoristas'!C$192,'Informacion del AEP'!$F$53:$N$53,0))*INDEX('Hoja Auxiliar'!$D$40:$D$58,MATCH('Pagos Mayoristas'!$C205,'Hoja Auxiliar'!$C$40:$C$58,0))</f>
        <v>3775.2136752136748</v>
      </c>
      <c r="E205" s="211"/>
      <c r="F205" s="287">
        <f>IF(C205="","",('Precio Mayorista'!$D$100*INDEX('Informacion del AEP'!$D$54:$N$72,MATCH(C205,'Informacion del AEP'!$C$54:$C$72,0),MATCH($C$192,'Informacion del AEP'!$D$53:$N$53,0))*INDEX('Informacion del AEP'!$F$133:$F$151,MATCH(C205,'Informacion del AEP'!$C$133:$C$151,0))))</f>
        <v>0</v>
      </c>
      <c r="G205" s="211"/>
      <c r="H205" s="211"/>
      <c r="I205" s="211"/>
      <c r="N205" s="246">
        <f>INDEX('Precio Mayorista'!$D$76:$D$94,MATCH('Pagos Mayoristas'!C205,'Precio Mayorista'!$G$76:$G$94,0))*INDEX('Informacion del AEP'!$F$54:$N$72,MATCH('Pagos Mayoristas'!C205,'Informacion del AEP'!$C$54:$C$72,0),MATCH('Pagos Mayoristas'!$C$192,'Informacion del AEP'!$F$53:$N$53,0))</f>
        <v>1750000</v>
      </c>
    </row>
    <row r="206" spans="3:14" x14ac:dyDescent="0.2">
      <c r="C206" s="211" t="str">
        <f>IF(Supuestos!B61="","",Supuestos!B61)</f>
        <v>Originación voz Mundial destinos no geográficos</v>
      </c>
      <c r="D206" s="94">
        <f>INDEX('Informacion del AEP'!$F$54:$N$72,MATCH('Pagos Mayoristas'!$C206,'Informacion del AEP'!$C$54:$C$72,0),MATCH('Pagos Mayoristas'!C$192,'Informacion del AEP'!$F$53:$N$53,0))*INDEX('Hoja Auxiliar'!$D$40:$D$58,MATCH('Pagos Mayoristas'!$C206,'Hoja Auxiliar'!$C$40:$C$58,0))</f>
        <v>0</v>
      </c>
      <c r="E206" s="211"/>
      <c r="F206" s="287">
        <f>IF(C206="","",('Precio Mayorista'!$D$100*INDEX('Informacion del AEP'!$D$54:$N$72,MATCH(C206,'Informacion del AEP'!$C$54:$C$72,0),MATCH($C$192,'Informacion del AEP'!$D$53:$N$53,0))*INDEX('Informacion del AEP'!$F$133:$F$151,MATCH(C206,'Informacion del AEP'!$C$133:$C$151,0))))</f>
        <v>0</v>
      </c>
      <c r="G206" s="211"/>
      <c r="H206" s="211"/>
      <c r="I206" s="211"/>
      <c r="N206" s="246">
        <f>INDEX('Precio Mayorista'!$D$76:$D$94,MATCH('Pagos Mayoristas'!C206,'Precio Mayorista'!$G$76:$G$94,0))*INDEX('Informacion del AEP'!$F$54:$N$72,MATCH('Pagos Mayoristas'!C206,'Informacion del AEP'!$C$54:$C$72,0),MATCH('Pagos Mayoristas'!$C$192,'Informacion del AEP'!$F$53:$N$53,0))</f>
        <v>0</v>
      </c>
    </row>
    <row r="207" spans="3:14" x14ac:dyDescent="0.2">
      <c r="C207" s="211" t="str">
        <f>IF(Supuestos!B62="","",Supuestos!B62)</f>
        <v>Originación SMS on-net</v>
      </c>
      <c r="D207" s="94">
        <f>INDEX('Informacion del AEP'!$F$54:$N$72,MATCH('Pagos Mayoristas'!$C207,'Informacion del AEP'!$C$54:$C$72,0),MATCH('Pagos Mayoristas'!C$192,'Informacion del AEP'!$F$53:$N$53,0))*INDEX('Hoja Auxiliar'!$D$40:$D$58,MATCH('Pagos Mayoristas'!$C207,'Hoja Auxiliar'!$C$40:$C$58,0))</f>
        <v>7570370.3703703703</v>
      </c>
      <c r="E207" s="211"/>
      <c r="F207" s="287">
        <f>IF(C207="","",('Precio Mayorista'!$D$100*INDEX('Informacion del AEP'!$D$54:$N$72,MATCH(C207,'Informacion del AEP'!$C$54:$C$72,0),MATCH($C$192,'Informacion del AEP'!$D$53:$N$53,0))*INDEX('Informacion del AEP'!$F$133:$F$151,MATCH(C207,'Informacion del AEP'!$C$133:$C$151,0))))</f>
        <v>0</v>
      </c>
      <c r="G207" s="211"/>
      <c r="H207" s="211"/>
      <c r="I207" s="211"/>
      <c r="N207" s="246">
        <f>INDEX('Precio Mayorista'!$D$76:$D$94,MATCH('Pagos Mayoristas'!C207,'Precio Mayorista'!$G$76:$G$94,0))*INDEX('Informacion del AEP'!$F$54:$N$72,MATCH('Pagos Mayoristas'!C207,'Informacion del AEP'!$C$54:$C$72,0),MATCH('Pagos Mayoristas'!$C$192,'Informacion del AEP'!$F$53:$N$53,0))</f>
        <v>0</v>
      </c>
    </row>
    <row r="208" spans="3:14" x14ac:dyDescent="0.2">
      <c r="C208" s="211" t="str">
        <f>IF(Supuestos!B63="","",Supuestos!B63)</f>
        <v>Originación SMS - off-net nacional</v>
      </c>
      <c r="D208" s="94">
        <f>INDEX('Informacion del AEP'!$F$54:$N$72,MATCH('Pagos Mayoristas'!$C208,'Informacion del AEP'!$C$54:$C$72,0),MATCH('Pagos Mayoristas'!C$192,'Informacion del AEP'!$F$53:$N$53,0))*INDEX('Hoja Auxiliar'!$D$40:$D$58,MATCH('Pagos Mayoristas'!$C208,'Hoja Auxiliar'!$C$40:$C$58,0))</f>
        <v>1892592.5925925926</v>
      </c>
      <c r="E208" s="211"/>
      <c r="F208" s="287">
        <f>IF(C208="","",('Precio Mayorista'!$D$100*INDEX('Informacion del AEP'!$D$54:$N$72,MATCH(C208,'Informacion del AEP'!$C$54:$C$72,0),MATCH($C$192,'Informacion del AEP'!$D$53:$N$53,0))*INDEX('Informacion del AEP'!$F$133:$F$151,MATCH(C208,'Informacion del AEP'!$C$133:$C$151,0))))</f>
        <v>0</v>
      </c>
      <c r="G208" s="211"/>
      <c r="H208" s="211"/>
      <c r="I208" s="211"/>
      <c r="N208" s="246">
        <f>INDEX('Precio Mayorista'!$D$76:$D$94,MATCH('Pagos Mayoristas'!C208,'Precio Mayorista'!$G$76:$G$94,0))*INDEX('Informacion del AEP'!$F$54:$N$72,MATCH('Pagos Mayoristas'!C208,'Informacion del AEP'!$C$54:$C$72,0),MATCH('Pagos Mayoristas'!$C$192,'Informacion del AEP'!$F$53:$N$53,0))</f>
        <v>1896533.3333333333</v>
      </c>
    </row>
    <row r="209" spans="3:15" x14ac:dyDescent="0.2">
      <c r="C209" s="211" t="str">
        <f>IF(Supuestos!B64="","",Supuestos!B64)</f>
        <v>Originación SMS internacional (USA-Canadá)</v>
      </c>
      <c r="D209" s="94">
        <f>INDEX('Informacion del AEP'!$F$54:$N$72,MATCH('Pagos Mayoristas'!$C209,'Informacion del AEP'!$C$54:$C$72,0),MATCH('Pagos Mayoristas'!C$192,'Informacion del AEP'!$F$53:$N$53,0))*INDEX('Hoja Auxiliar'!$D$40:$D$58,MATCH('Pagos Mayoristas'!$C209,'Hoja Auxiliar'!$C$40:$C$58,0))</f>
        <v>378518.51851851848</v>
      </c>
      <c r="E209" s="211"/>
      <c r="F209" s="287">
        <f>IF(C209="","",('Precio Mayorista'!$D$100*INDEX('Informacion del AEP'!$D$54:$N$72,MATCH(C209,'Informacion del AEP'!$C$54:$C$72,0),MATCH($C$192,'Informacion del AEP'!$D$53:$N$53,0))*INDEX('Informacion del AEP'!$F$133:$F$151,MATCH(C209,'Informacion del AEP'!$C$133:$C$151,0))))</f>
        <v>0</v>
      </c>
      <c r="G209" s="211"/>
      <c r="H209" s="211"/>
      <c r="I209" s="211"/>
      <c r="N209" s="246">
        <f>INDEX('Precio Mayorista'!$D$76:$D$94,MATCH('Pagos Mayoristas'!C209,'Precio Mayorista'!$G$76:$G$94,0))*INDEX('Informacion del AEP'!$F$54:$N$72,MATCH('Pagos Mayoristas'!C209,'Informacion del AEP'!$C$54:$C$72,0),MATCH('Pagos Mayoristas'!$C$192,'Informacion del AEP'!$F$53:$N$53,0))</f>
        <v>11666666.666666666</v>
      </c>
    </row>
    <row r="210" spans="3:15" x14ac:dyDescent="0.2">
      <c r="C210" s="211" t="str">
        <f>IF(Supuestos!B65="","",Supuestos!B65)</f>
        <v>Originación SMS internacional (Resto del Mundo)</v>
      </c>
      <c r="D210" s="94">
        <f>INDEX('Informacion del AEP'!$F$54:$N$72,MATCH('Pagos Mayoristas'!$C210,'Informacion del AEP'!$C$54:$C$72,0),MATCH('Pagos Mayoristas'!C$192,'Informacion del AEP'!$F$53:$N$53,0))*INDEX('Hoja Auxiliar'!$D$40:$D$58,MATCH('Pagos Mayoristas'!$C210,'Hoja Auxiliar'!$C$40:$C$58,0))</f>
        <v>37851.851851851854</v>
      </c>
      <c r="E210" s="211"/>
      <c r="F210" s="287">
        <f>IF(C210="","",('Precio Mayorista'!$D$100*INDEX('Informacion del AEP'!$D$54:$N$72,MATCH(C210,'Informacion del AEP'!$C$54:$C$72,0),MATCH($C$192,'Informacion del AEP'!$D$53:$N$53,0))*INDEX('Informacion del AEP'!$F$133:$F$151,MATCH(C210,'Informacion del AEP'!$C$133:$C$151,0))))</f>
        <v>0</v>
      </c>
      <c r="G210" s="211"/>
      <c r="H210" s="211"/>
      <c r="I210" s="211"/>
      <c r="N210" s="246">
        <f>INDEX('Precio Mayorista'!$D$76:$D$94,MATCH('Pagos Mayoristas'!C210,'Precio Mayorista'!$G$76:$G$94,0))*INDEX('Informacion del AEP'!$F$54:$N$72,MATCH('Pagos Mayoristas'!C210,'Informacion del AEP'!$C$54:$C$72,0),MATCH('Pagos Mayoristas'!$C$192,'Informacion del AEP'!$F$53:$N$53,0))</f>
        <v>1750000</v>
      </c>
    </row>
    <row r="211" spans="3:15" x14ac:dyDescent="0.2">
      <c r="C211" s="211" t="str">
        <f>IF(Supuestos!B66="","",Supuestos!B66)</f>
        <v>Otros servicios (incluyendo marcaciones especiales)</v>
      </c>
      <c r="D211" s="94">
        <f>INDEX('Informacion del AEP'!$F$54:$N$72,MATCH('Pagos Mayoristas'!$C211,'Informacion del AEP'!$C$54:$C$72,0),MATCH('Pagos Mayoristas'!C$192,'Informacion del AEP'!$F$53:$N$53,0))*INDEX('Hoja Auxiliar'!$D$40:$D$58,MATCH('Pagos Mayoristas'!$C211,'Hoja Auxiliar'!$C$40:$C$58,0))</f>
        <v>37752136.752136752</v>
      </c>
      <c r="E211" s="211"/>
      <c r="F211" s="287">
        <f>IF(C211="","",('Precio Mayorista'!$D$100*INDEX('Informacion del AEP'!$D$54:$N$72,MATCH(C211,'Informacion del AEP'!$C$54:$C$72,0),MATCH($C$192,'Informacion del AEP'!$D$53:$N$53,0))*INDEX('Informacion del AEP'!$F$133:$F$151,MATCH(C211,'Informacion del AEP'!$C$133:$C$151,0))))</f>
        <v>0</v>
      </c>
      <c r="G211" s="211"/>
      <c r="H211" s="211"/>
      <c r="I211" s="211"/>
      <c r="N211" s="246">
        <f>INDEX('Precio Mayorista'!$D$76:$D$94,MATCH('Pagos Mayoristas'!C211,'Precio Mayorista'!$G$76:$G$94,0))*INDEX('Informacion del AEP'!$F$54:$N$72,MATCH('Pagos Mayoristas'!C211,'Informacion del AEP'!$C$54:$C$72,0),MATCH('Pagos Mayoristas'!$C$192,'Informacion del AEP'!$F$53:$N$53,0))</f>
        <v>1143333333.3333335</v>
      </c>
    </row>
    <row r="212" spans="3:15" x14ac:dyDescent="0.2">
      <c r="C212" s="211"/>
      <c r="D212" s="94"/>
      <c r="E212" s="211"/>
      <c r="F212" s="94"/>
      <c r="G212" s="211"/>
      <c r="H212" s="211"/>
      <c r="I212" s="211"/>
    </row>
    <row r="213" spans="3:15" x14ac:dyDescent="0.2">
      <c r="C213" s="76"/>
      <c r="D213" s="94"/>
      <c r="E213" s="211"/>
      <c r="F213" s="94"/>
      <c r="G213" s="211"/>
      <c r="H213" s="211"/>
      <c r="I213" s="211"/>
    </row>
    <row r="214" spans="3:15" x14ac:dyDescent="0.2">
      <c r="D214" s="94"/>
      <c r="E214" s="211"/>
      <c r="F214" s="94"/>
      <c r="G214" s="211"/>
      <c r="H214" s="211"/>
      <c r="I214" s="211"/>
    </row>
    <row r="215" spans="3:15" x14ac:dyDescent="0.2">
      <c r="D215" s="94"/>
      <c r="E215" s="211"/>
      <c r="F215" s="94"/>
      <c r="G215" s="211"/>
      <c r="H215" s="211"/>
      <c r="I215" s="211"/>
    </row>
    <row r="216" spans="3:15" x14ac:dyDescent="0.2">
      <c r="D216" s="94"/>
      <c r="E216" s="211"/>
      <c r="F216" s="211"/>
      <c r="G216" s="211"/>
      <c r="H216" s="211"/>
      <c r="I216" s="211"/>
    </row>
    <row r="217" spans="3:15" x14ac:dyDescent="0.2">
      <c r="C217" s="211"/>
      <c r="D217" s="94"/>
      <c r="E217" s="211"/>
      <c r="F217" s="211"/>
      <c r="G217" s="211"/>
      <c r="H217" s="211"/>
      <c r="I217" s="211"/>
    </row>
    <row r="218" spans="3:15" x14ac:dyDescent="0.2">
      <c r="C218" s="89" t="str">
        <f>Supuestos!$B$83</f>
        <v>Telcel Pospago 4</v>
      </c>
      <c r="D218" s="93">
        <f>SUM(D219:D237)</f>
        <v>653021620.34188032</v>
      </c>
      <c r="E218" s="90"/>
      <c r="F218" s="93">
        <f>SUM(F219:F237)</f>
        <v>0</v>
      </c>
      <c r="G218" s="90"/>
      <c r="H218" s="93"/>
      <c r="I218" s="93">
        <f>INDEX('Informacion del AEP'!$H$29:$H$48,MATCH('Pagos Mayoristas'!C218,'Informacion del AEP'!$C$29:$C$48,0))*'Hoja Auxiliar'!$D$61</f>
        <v>800000</v>
      </c>
      <c r="J218" s="5"/>
      <c r="K218" s="93"/>
      <c r="L218" s="241">
        <f>$L$10*(INDEX('Informacion del AEP'!$F$12:$N$12,MATCH('Pagos Mayoristas'!C218,'Informacion del AEP'!$F$11:$N$11,0))/INDEX('Informacion del AEP'!$F$12:$N$12,MATCH('Pagos Mayoristas'!$C$10,'Informacion del AEP'!$F$11:$N$11,0)))</f>
        <v>73822.463768115937</v>
      </c>
      <c r="M218" s="241"/>
      <c r="N218" s="93">
        <f>SUM(N219:N237)</f>
        <v>1258408316.6666667</v>
      </c>
      <c r="O218" s="241">
        <f>SUM(D218:N218)</f>
        <v>1912303759.4723153</v>
      </c>
    </row>
    <row r="219" spans="3:15" x14ac:dyDescent="0.2">
      <c r="C219" s="211" t="str">
        <f>IF(Supuestos!B48="","",Supuestos!B48)</f>
        <v>Datos</v>
      </c>
      <c r="D219" s="94">
        <f>INDEX('Informacion del AEP'!$F$54:$N$72,MATCH('Pagos Mayoristas'!$C219,'Informacion del AEP'!$C$54:$C$72,0),MATCH('Pagos Mayoristas'!C$218,'Informacion del AEP'!$F$53:$N$53,0))*INDEX('Hoja Auxiliar'!$D$40:$D$58,MATCH('Pagos Mayoristas'!$C219,'Hoja Auxiliar'!$C$40:$C$58,0))</f>
        <v>368958333.33333331</v>
      </c>
      <c r="E219" s="211"/>
      <c r="F219" s="287">
        <f>IF(C219="","",('Precio Mayorista'!$D$100*INDEX('Informacion del AEP'!$D$54:$N$72,MATCH(C219,'Informacion del AEP'!$C$54:$C$72,0),MATCH($C$218,'Informacion del AEP'!$D$53:$N$53,0))*INDEX('Informacion del AEP'!$F$133:$F$151,MATCH(C219,'Informacion del AEP'!$C$133:$C$151,0))))</f>
        <v>0</v>
      </c>
      <c r="G219" s="211"/>
      <c r="H219" s="211"/>
      <c r="I219" s="211"/>
      <c r="N219" s="246">
        <f>INDEX('Precio Mayorista'!$D$76:$D$94,MATCH('Pagos Mayoristas'!C219,'Precio Mayorista'!$G$76:$G$94,0))*INDEX('Informacion del AEP'!$F$54:$N$72,MATCH('Pagos Mayoristas'!C219,'Informacion del AEP'!$C$54:$C$72,0),MATCH('Pagos Mayoristas'!$C$218,'Informacion del AEP'!$F$53:$N$53,0))</f>
        <v>0</v>
      </c>
    </row>
    <row r="220" spans="3:15" x14ac:dyDescent="0.2">
      <c r="C220" s="211" t="str">
        <f>IF(Supuestos!B49="","",Supuestos!B49)</f>
        <v>Originación voz on-net local</v>
      </c>
      <c r="D220" s="94">
        <f>INDEX('Informacion del AEP'!$F$54:$N$72,MATCH('Pagos Mayoristas'!$C220,'Informacion del AEP'!$C$54:$C$72,0),MATCH('Pagos Mayoristas'!C$218,'Informacion del AEP'!$F$53:$N$53,0))*INDEX('Hoja Auxiliar'!$D$40:$D$58,MATCH('Pagos Mayoristas'!$C220,'Hoja Auxiliar'!$C$40:$C$58,0))</f>
        <v>75504273.504273504</v>
      </c>
      <c r="E220" s="211"/>
      <c r="F220" s="287">
        <f>IF(C220="","",('Precio Mayorista'!$D$100*INDEX('Informacion del AEP'!$D$54:$N$72,MATCH(C220,'Informacion del AEP'!$C$54:$C$72,0),MATCH($C$218,'Informacion del AEP'!$D$53:$N$53,0))*INDEX('Informacion del AEP'!$F$133:$F$151,MATCH(C220,'Informacion del AEP'!$C$133:$C$151,0))))</f>
        <v>0</v>
      </c>
      <c r="G220" s="211"/>
      <c r="H220" s="211"/>
      <c r="I220" s="211"/>
      <c r="N220" s="246">
        <f>INDEX('Precio Mayorista'!$D$76:$D$94,MATCH('Pagos Mayoristas'!C220,'Precio Mayorista'!$G$76:$G$94,0))*INDEX('Informacion del AEP'!$F$54:$N$72,MATCH('Pagos Mayoristas'!C220,'Informacion del AEP'!$C$54:$C$72,0),MATCH('Pagos Mayoristas'!$C$218,'Informacion del AEP'!$F$53:$N$53,0))</f>
        <v>0</v>
      </c>
    </row>
    <row r="221" spans="3:15" x14ac:dyDescent="0.2">
      <c r="C221" s="211" t="str">
        <f>IF(Supuestos!B50="","",Supuestos!B50)</f>
        <v>Originación voz off-net móvil local</v>
      </c>
      <c r="D221" s="94">
        <f>INDEX('Informacion del AEP'!$F$54:$N$72,MATCH('Pagos Mayoristas'!$C221,'Informacion del AEP'!$C$54:$C$72,0),MATCH('Pagos Mayoristas'!C$218,'Informacion del AEP'!$F$53:$N$53,0))*INDEX('Hoja Auxiliar'!$D$40:$D$58,MATCH('Pagos Mayoristas'!$C221,'Hoja Auxiliar'!$C$40:$C$58,0))</f>
        <v>15100854.7008547</v>
      </c>
      <c r="E221" s="211"/>
      <c r="F221" s="287">
        <f>IF(C221="","",('Precio Mayorista'!$D$100*INDEX('Informacion del AEP'!$D$54:$N$72,MATCH(C221,'Informacion del AEP'!$C$54:$C$72,0),MATCH($C$218,'Informacion del AEP'!$D$53:$N$53,0))*INDEX('Informacion del AEP'!$F$133:$F$151,MATCH(C221,'Informacion del AEP'!$C$133:$C$151,0))))</f>
        <v>0</v>
      </c>
      <c r="G221" s="211"/>
      <c r="H221" s="211"/>
      <c r="I221" s="211"/>
      <c r="N221" s="246">
        <f>INDEX('Precio Mayorista'!$D$76:$D$94,MATCH('Pagos Mayoristas'!C221,'Precio Mayorista'!$G$76:$G$94,0))*INDEX('Informacion del AEP'!$F$54:$N$72,MATCH('Pagos Mayoristas'!C221,'Informacion del AEP'!$C$54:$C$72,0),MATCH('Pagos Mayoristas'!$C$218,'Informacion del AEP'!$F$53:$N$53,0))</f>
        <v>31902733.333333332</v>
      </c>
    </row>
    <row r="222" spans="3:15" x14ac:dyDescent="0.2">
      <c r="C222" s="211" t="str">
        <f>IF(Supuestos!B51="","",Supuestos!B51)</f>
        <v>Originación voz off-net fijo local</v>
      </c>
      <c r="D222" s="94">
        <f>INDEX('Informacion del AEP'!$F$54:$N$72,MATCH('Pagos Mayoristas'!$C222,'Informacion del AEP'!$C$54:$C$72,0),MATCH('Pagos Mayoristas'!C$218,'Informacion del AEP'!$F$53:$N$53,0))*INDEX('Hoja Auxiliar'!$D$40:$D$58,MATCH('Pagos Mayoristas'!$C222,'Hoja Auxiliar'!$C$40:$C$58,0))</f>
        <v>7550427.35042735</v>
      </c>
      <c r="E222" s="211"/>
      <c r="F222" s="287">
        <f>IF(C222="","",('Precio Mayorista'!$D$100*INDEX('Informacion del AEP'!$D$54:$N$72,MATCH(C222,'Informacion del AEP'!$C$54:$C$72,0),MATCH($C$218,'Informacion del AEP'!$D$53:$N$53,0))*INDEX('Informacion del AEP'!$F$133:$F$151,MATCH(C222,'Informacion del AEP'!$C$133:$C$151,0))))</f>
        <v>0</v>
      </c>
      <c r="G222" s="211"/>
      <c r="H222" s="211"/>
      <c r="I222" s="211"/>
      <c r="N222" s="246">
        <f>INDEX('Precio Mayorista'!$D$76:$D$94,MATCH('Pagos Mayoristas'!C222,'Precio Mayorista'!$G$76:$G$94,0))*INDEX('Informacion del AEP'!$F$54:$N$72,MATCH('Pagos Mayoristas'!C222,'Informacion del AEP'!$C$54:$C$72,0),MATCH('Pagos Mayoristas'!$C$218,'Informacion del AEP'!$F$53:$N$53,0))</f>
        <v>821333.33333333337</v>
      </c>
    </row>
    <row r="223" spans="3:15" x14ac:dyDescent="0.2">
      <c r="C223" s="211" t="str">
        <f>IF(Supuestos!B52="","",Supuestos!B52)</f>
        <v>Originación voz on-net LDN</v>
      </c>
      <c r="D223" s="94">
        <f>INDEX('Informacion del AEP'!$F$54:$N$72,MATCH('Pagos Mayoristas'!$C223,'Informacion del AEP'!$C$54:$C$72,0),MATCH('Pagos Mayoristas'!C$218,'Informacion del AEP'!$F$53:$N$53,0))*INDEX('Hoja Auxiliar'!$D$40:$D$58,MATCH('Pagos Mayoristas'!$C223,'Hoja Auxiliar'!$C$40:$C$58,0))</f>
        <v>113256410.25641024</v>
      </c>
      <c r="E223" s="211"/>
      <c r="F223" s="287">
        <f>IF(C223="","",('Precio Mayorista'!$D$100*INDEX('Informacion del AEP'!$D$54:$N$72,MATCH(C223,'Informacion del AEP'!$C$54:$C$72,0),MATCH($C$218,'Informacion del AEP'!$D$53:$N$53,0))*INDEX('Informacion del AEP'!$F$133:$F$151,MATCH(C223,'Informacion del AEP'!$C$133:$C$151,0))))</f>
        <v>0</v>
      </c>
      <c r="G223" s="211"/>
      <c r="H223" s="211"/>
      <c r="I223" s="211"/>
      <c r="N223" s="246">
        <f>INDEX('Precio Mayorista'!$D$76:$D$94,MATCH('Pagos Mayoristas'!C223,'Precio Mayorista'!$G$76:$G$94,0))*INDEX('Informacion del AEP'!$F$54:$N$72,MATCH('Pagos Mayoristas'!C223,'Informacion del AEP'!$C$54:$C$72,0),MATCH('Pagos Mayoristas'!$C$218,'Informacion del AEP'!$F$53:$N$53,0))</f>
        <v>0</v>
      </c>
    </row>
    <row r="224" spans="3:15" x14ac:dyDescent="0.2">
      <c r="C224" s="211" t="str">
        <f>IF(Supuestos!B53="","",Supuestos!B53)</f>
        <v>Originación voz off-net móvil LDN</v>
      </c>
      <c r="D224" s="94">
        <f>INDEX('Informacion del AEP'!$F$54:$N$72,MATCH('Pagos Mayoristas'!$C224,'Informacion del AEP'!$C$54:$C$72,0),MATCH('Pagos Mayoristas'!C$218,'Informacion del AEP'!$F$53:$N$53,0))*INDEX('Hoja Auxiliar'!$D$40:$D$58,MATCH('Pagos Mayoristas'!$C224,'Hoja Auxiliar'!$C$40:$C$58,0))</f>
        <v>11325641.025641022</v>
      </c>
      <c r="E224" s="211"/>
      <c r="F224" s="287">
        <f>IF(C224="","",('Precio Mayorista'!$D$100*INDEX('Informacion del AEP'!$D$54:$N$72,MATCH(C224,'Informacion del AEP'!$C$54:$C$72,0),MATCH($C$218,'Informacion del AEP'!$D$53:$N$53,0))*INDEX('Informacion del AEP'!$F$133:$F$151,MATCH(C224,'Informacion del AEP'!$C$133:$C$151,0))))</f>
        <v>0</v>
      </c>
      <c r="G224" s="211"/>
      <c r="H224" s="211"/>
      <c r="I224" s="211"/>
      <c r="N224" s="246">
        <f>INDEX('Precio Mayorista'!$D$76:$D$94,MATCH('Pagos Mayoristas'!C224,'Precio Mayorista'!$G$76:$G$94,0))*INDEX('Informacion del AEP'!$F$54:$N$72,MATCH('Pagos Mayoristas'!C224,'Informacion del AEP'!$C$54:$C$72,0),MATCH('Pagos Mayoristas'!$C$218,'Informacion del AEP'!$F$53:$N$53,0))</f>
        <v>23927049.999999993</v>
      </c>
    </row>
    <row r="225" spans="3:14" x14ac:dyDescent="0.2">
      <c r="C225" s="211" t="str">
        <f>IF(Supuestos!B54="","",Supuestos!B54)</f>
        <v>Originación voz off-net fijo LDN</v>
      </c>
      <c r="D225" s="94">
        <f>INDEX('Informacion del AEP'!$F$54:$N$72,MATCH('Pagos Mayoristas'!$C225,'Informacion del AEP'!$C$54:$C$72,0),MATCH('Pagos Mayoristas'!C$218,'Informacion del AEP'!$F$53:$N$53,0))*INDEX('Hoja Auxiliar'!$D$40:$D$58,MATCH('Pagos Mayoristas'!$C225,'Hoja Auxiliar'!$C$40:$C$58,0))</f>
        <v>3775213.675213675</v>
      </c>
      <c r="E225" s="211"/>
      <c r="F225" s="287">
        <f>IF(C225="","",('Precio Mayorista'!$D$100*INDEX('Informacion del AEP'!$D$54:$N$72,MATCH(C225,'Informacion del AEP'!$C$54:$C$72,0),MATCH($C$218,'Informacion del AEP'!$D$53:$N$53,0))*INDEX('Informacion del AEP'!$F$133:$F$151,MATCH(C225,'Informacion del AEP'!$C$133:$C$151,0))))</f>
        <v>0</v>
      </c>
      <c r="G225" s="211"/>
      <c r="H225" s="211"/>
      <c r="I225" s="211"/>
      <c r="N225" s="246">
        <f>INDEX('Precio Mayorista'!$D$76:$D$94,MATCH('Pagos Mayoristas'!C225,'Precio Mayorista'!$G$76:$G$94,0))*INDEX('Informacion del AEP'!$F$54:$N$72,MATCH('Pagos Mayoristas'!C225,'Informacion del AEP'!$C$54:$C$72,0),MATCH('Pagos Mayoristas'!$C$218,'Informacion del AEP'!$F$53:$N$53,0))</f>
        <v>410666.66666666669</v>
      </c>
    </row>
    <row r="226" spans="3:14" x14ac:dyDescent="0.2">
      <c r="C226" s="211" t="str">
        <f>IF(Supuestos!B55="","",Supuestos!B55)</f>
        <v>Originación voz internacional USA-Canadá</v>
      </c>
      <c r="D226" s="94">
        <f>INDEX('Informacion del AEP'!$F$54:$N$72,MATCH('Pagos Mayoristas'!$C226,'Informacion del AEP'!$C$54:$C$72,0),MATCH('Pagos Mayoristas'!C$218,'Informacion del AEP'!$F$53:$N$53,0))*INDEX('Hoja Auxiliar'!$D$40:$D$58,MATCH('Pagos Mayoristas'!$C226,'Hoja Auxiliar'!$C$40:$C$58,0))</f>
        <v>9815555.5555555541</v>
      </c>
      <c r="E226" s="211"/>
      <c r="F226" s="287">
        <f>IF(C226="","",('Precio Mayorista'!$D$100*INDEX('Informacion del AEP'!$D$54:$N$72,MATCH(C226,'Informacion del AEP'!$C$54:$C$72,0),MATCH($C$218,'Informacion del AEP'!$D$53:$N$53,0))*INDEX('Informacion del AEP'!$F$133:$F$151,MATCH(C226,'Informacion del AEP'!$C$133:$C$151,0))))</f>
        <v>0</v>
      </c>
      <c r="G226" s="211"/>
      <c r="H226" s="211"/>
      <c r="I226" s="211"/>
      <c r="N226" s="246">
        <f>INDEX('Precio Mayorista'!$D$76:$D$94,MATCH('Pagos Mayoristas'!C226,'Precio Mayorista'!$G$76:$G$94,0))*INDEX('Informacion del AEP'!$F$54:$N$72,MATCH('Pagos Mayoristas'!C226,'Informacion del AEP'!$C$54:$C$72,0),MATCH('Pagos Mayoristas'!$C$218,'Informacion del AEP'!$F$53:$N$53,0))</f>
        <v>27299999.999999996</v>
      </c>
    </row>
    <row r="227" spans="3:14" x14ac:dyDescent="0.2">
      <c r="C227" s="211" t="str">
        <f>IF(Supuestos!B56="","",Supuestos!B56)</f>
        <v>Originación voz internacional Mundial Centroamérica</v>
      </c>
      <c r="D227" s="94">
        <f>INDEX('Informacion del AEP'!$F$54:$N$72,MATCH('Pagos Mayoristas'!$C227,'Informacion del AEP'!$C$54:$C$72,0),MATCH('Pagos Mayoristas'!C$218,'Informacion del AEP'!$F$53:$N$53,0))*INDEX('Hoja Auxiliar'!$D$40:$D$58,MATCH('Pagos Mayoristas'!$C227,'Hoja Auxiliar'!$C$40:$C$58,0))</f>
        <v>22651.282051282051</v>
      </c>
      <c r="E227" s="211"/>
      <c r="F227" s="287">
        <f>IF(C227="","",('Precio Mayorista'!$D$100*INDEX('Informacion del AEP'!$D$54:$N$72,MATCH(C227,'Informacion del AEP'!$C$54:$C$72,0),MATCH($C$218,'Informacion del AEP'!$D$53:$N$53,0))*INDEX('Informacion del AEP'!$F$133:$F$151,MATCH(C227,'Informacion del AEP'!$C$133:$C$151,0))))</f>
        <v>0</v>
      </c>
      <c r="G227" s="211"/>
      <c r="H227" s="211"/>
      <c r="I227" s="211"/>
      <c r="N227" s="246">
        <f>INDEX('Precio Mayorista'!$D$76:$D$94,MATCH('Pagos Mayoristas'!C227,'Precio Mayorista'!$G$76:$G$94,0))*INDEX('Informacion del AEP'!$F$54:$N$72,MATCH('Pagos Mayoristas'!C227,'Informacion del AEP'!$C$54:$C$72,0),MATCH('Pagos Mayoristas'!$C$218,'Informacion del AEP'!$F$53:$N$53,0))</f>
        <v>1750000</v>
      </c>
    </row>
    <row r="228" spans="3:14" x14ac:dyDescent="0.2">
      <c r="C228" s="211" t="str">
        <f>IF(Supuestos!B57="","",Supuestos!B57)</f>
        <v>Originación voz internacional Mundial LATAM y Caribe</v>
      </c>
      <c r="D228" s="94">
        <f>INDEX('Informacion del AEP'!$F$54:$N$72,MATCH('Pagos Mayoristas'!$C228,'Informacion del AEP'!$C$54:$C$72,0),MATCH('Pagos Mayoristas'!C$218,'Informacion del AEP'!$F$53:$N$53,0))*INDEX('Hoja Auxiliar'!$D$40:$D$58,MATCH('Pagos Mayoristas'!$C228,'Hoja Auxiliar'!$C$40:$C$58,0))</f>
        <v>1510.0854700854698</v>
      </c>
      <c r="E228" s="211"/>
      <c r="F228" s="287">
        <f>IF(C228="","",('Precio Mayorista'!$D$100*INDEX('Informacion del AEP'!$D$54:$N$72,MATCH(C228,'Informacion del AEP'!$C$54:$C$72,0),MATCH($C$218,'Informacion del AEP'!$D$53:$N$53,0))*INDEX('Informacion del AEP'!$F$133:$F$151,MATCH(C228,'Informacion del AEP'!$C$133:$C$151,0))))</f>
        <v>0</v>
      </c>
      <c r="G228" s="211"/>
      <c r="H228" s="211"/>
      <c r="I228" s="211"/>
      <c r="N228" s="246">
        <f>INDEX('Precio Mayorista'!$D$76:$D$94,MATCH('Pagos Mayoristas'!C228,'Precio Mayorista'!$G$76:$G$94,0))*INDEX('Informacion del AEP'!$F$54:$N$72,MATCH('Pagos Mayoristas'!C228,'Informacion del AEP'!$C$54:$C$72,0),MATCH('Pagos Mayoristas'!$C$218,'Informacion del AEP'!$F$53:$N$53,0))</f>
        <v>233333.33333333331</v>
      </c>
    </row>
    <row r="229" spans="3:14" x14ac:dyDescent="0.2">
      <c r="C229" s="211" t="str">
        <f>IF(Supuestos!B58="","",Supuestos!B58)</f>
        <v>Originación voz internacional Europa</v>
      </c>
      <c r="D229" s="94">
        <f>INDEX('Informacion del AEP'!$F$54:$N$72,MATCH('Pagos Mayoristas'!$C229,'Informacion del AEP'!$C$54:$C$72,0),MATCH('Pagos Mayoristas'!C$218,'Informacion del AEP'!$F$53:$N$53,0))*INDEX('Hoja Auxiliar'!$D$40:$D$58,MATCH('Pagos Mayoristas'!$C229,'Hoja Auxiliar'!$C$40:$C$58,0))</f>
        <v>0</v>
      </c>
      <c r="E229" s="211"/>
      <c r="F229" s="287">
        <f>IF(C229="","",('Precio Mayorista'!$D$100*INDEX('Informacion del AEP'!$D$54:$N$72,MATCH(C229,'Informacion del AEP'!$C$54:$C$72,0),MATCH($C$218,'Informacion del AEP'!$D$53:$N$53,0))*INDEX('Informacion del AEP'!$F$133:$F$151,MATCH(C229,'Informacion del AEP'!$C$133:$C$151,0))))</f>
        <v>0</v>
      </c>
      <c r="G229" s="211"/>
      <c r="H229" s="211"/>
      <c r="I229" s="211"/>
      <c r="N229" s="246">
        <f>INDEX('Precio Mayorista'!$D$76:$D$94,MATCH('Pagos Mayoristas'!C229,'Precio Mayorista'!$G$76:$G$94,0))*INDEX('Informacion del AEP'!$F$54:$N$72,MATCH('Pagos Mayoristas'!C229,'Informacion del AEP'!$C$54:$C$72,0),MATCH('Pagos Mayoristas'!$C$218,'Informacion del AEP'!$F$53:$N$53,0))</f>
        <v>0</v>
      </c>
    </row>
    <row r="230" spans="3:14" x14ac:dyDescent="0.2">
      <c r="C230" s="211" t="str">
        <f>IF(Supuestos!B59="","",Supuestos!B59)</f>
        <v>Originación voz internacional Mundial Otros geográficos</v>
      </c>
      <c r="D230" s="94">
        <f>INDEX('Informacion del AEP'!$F$54:$N$72,MATCH('Pagos Mayoristas'!$C230,'Informacion del AEP'!$C$54:$C$72,0),MATCH('Pagos Mayoristas'!C$218,'Informacion del AEP'!$F$53:$N$53,0))*INDEX('Hoja Auxiliar'!$D$40:$D$58,MATCH('Pagos Mayoristas'!$C230,'Hoja Auxiliar'!$C$40:$C$58,0))</f>
        <v>75504.2735042735</v>
      </c>
      <c r="E230" s="211"/>
      <c r="F230" s="287">
        <f>IF(C230="","",('Precio Mayorista'!$D$100*INDEX('Informacion del AEP'!$D$54:$N$72,MATCH(C230,'Informacion del AEP'!$C$54:$C$72,0),MATCH($C$218,'Informacion del AEP'!$D$53:$N$53,0))*INDEX('Informacion del AEP'!$F$133:$F$151,MATCH(C230,'Informacion del AEP'!$C$133:$C$151,0))))</f>
        <v>0</v>
      </c>
      <c r="G230" s="211"/>
      <c r="H230" s="211"/>
      <c r="I230" s="211"/>
      <c r="N230" s="246">
        <f>INDEX('Precio Mayorista'!$D$76:$D$94,MATCH('Pagos Mayoristas'!C230,'Precio Mayorista'!$G$76:$G$94,0))*INDEX('Informacion del AEP'!$F$54:$N$72,MATCH('Pagos Mayoristas'!C230,'Informacion del AEP'!$C$54:$C$72,0),MATCH('Pagos Mayoristas'!$C$218,'Informacion del AEP'!$F$53:$N$53,0))</f>
        <v>11666666.666666668</v>
      </c>
    </row>
    <row r="231" spans="3:14" x14ac:dyDescent="0.2">
      <c r="C231" s="211" t="str">
        <f>IF(Supuestos!B60="","",Supuestos!B60)</f>
        <v>Originación voz internacional Cuba</v>
      </c>
      <c r="D231" s="94">
        <f>INDEX('Informacion del AEP'!$F$54:$N$72,MATCH('Pagos Mayoristas'!$C231,'Informacion del AEP'!$C$54:$C$72,0),MATCH('Pagos Mayoristas'!C$218,'Informacion del AEP'!$F$53:$N$53,0))*INDEX('Hoja Auxiliar'!$D$40:$D$58,MATCH('Pagos Mayoristas'!$C231,'Hoja Auxiliar'!$C$40:$C$58,0))</f>
        <v>3775.2136752136748</v>
      </c>
      <c r="E231" s="211"/>
      <c r="F231" s="287">
        <f>IF(C231="","",('Precio Mayorista'!$D$100*INDEX('Informacion del AEP'!$D$54:$N$72,MATCH(C231,'Informacion del AEP'!$C$54:$C$72,0),MATCH($C$218,'Informacion del AEP'!$D$53:$N$53,0))*INDEX('Informacion del AEP'!$F$133:$F$151,MATCH(C231,'Informacion del AEP'!$C$133:$C$151,0))))</f>
        <v>0</v>
      </c>
      <c r="G231" s="211"/>
      <c r="H231" s="211"/>
      <c r="I231" s="211"/>
      <c r="N231" s="246">
        <f>INDEX('Precio Mayorista'!$D$76:$D$94,MATCH('Pagos Mayoristas'!C231,'Precio Mayorista'!$G$76:$G$94,0))*INDEX('Informacion del AEP'!$F$54:$N$72,MATCH('Pagos Mayoristas'!C231,'Informacion del AEP'!$C$54:$C$72,0),MATCH('Pagos Mayoristas'!$C$218,'Informacion del AEP'!$F$53:$N$53,0))</f>
        <v>1750000</v>
      </c>
    </row>
    <row r="232" spans="3:14" x14ac:dyDescent="0.2">
      <c r="C232" s="211" t="str">
        <f>IF(Supuestos!B61="","",Supuestos!B61)</f>
        <v>Originación voz Mundial destinos no geográficos</v>
      </c>
      <c r="D232" s="94">
        <f>INDEX('Informacion del AEP'!$F$54:$N$72,MATCH('Pagos Mayoristas'!$C232,'Informacion del AEP'!$C$54:$C$72,0),MATCH('Pagos Mayoristas'!C$218,'Informacion del AEP'!$F$53:$N$53,0))*INDEX('Hoja Auxiliar'!$D$40:$D$58,MATCH('Pagos Mayoristas'!$C232,'Hoja Auxiliar'!$C$40:$C$58,0))</f>
        <v>0</v>
      </c>
      <c r="E232" s="211"/>
      <c r="F232" s="287">
        <f>IF(C232="","",('Precio Mayorista'!$D$100*INDEX('Informacion del AEP'!$D$54:$N$72,MATCH(C232,'Informacion del AEP'!$C$54:$C$72,0),MATCH($C$218,'Informacion del AEP'!$D$53:$N$53,0))*INDEX('Informacion del AEP'!$F$133:$F$151,MATCH(C232,'Informacion del AEP'!$C$133:$C$151,0))))</f>
        <v>0</v>
      </c>
      <c r="G232" s="211"/>
      <c r="H232" s="211"/>
      <c r="I232" s="211"/>
      <c r="N232" s="246">
        <f>INDEX('Precio Mayorista'!$D$76:$D$94,MATCH('Pagos Mayoristas'!C232,'Precio Mayorista'!$G$76:$G$94,0))*INDEX('Informacion del AEP'!$F$54:$N$72,MATCH('Pagos Mayoristas'!C232,'Informacion del AEP'!$C$54:$C$72,0),MATCH('Pagos Mayoristas'!$C$218,'Informacion del AEP'!$F$53:$N$53,0))</f>
        <v>0</v>
      </c>
    </row>
    <row r="233" spans="3:14" x14ac:dyDescent="0.2">
      <c r="C233" s="211" t="str">
        <f>IF(Supuestos!B62="","",Supuestos!B62)</f>
        <v>Originación SMS on-net</v>
      </c>
      <c r="D233" s="94">
        <f>INDEX('Informacion del AEP'!$F$54:$N$72,MATCH('Pagos Mayoristas'!$C233,'Informacion del AEP'!$C$54:$C$72,0),MATCH('Pagos Mayoristas'!C$218,'Informacion del AEP'!$F$53:$N$53,0))*INDEX('Hoja Auxiliar'!$D$40:$D$58,MATCH('Pagos Mayoristas'!$C233,'Hoja Auxiliar'!$C$40:$C$58,0))</f>
        <v>7570370.3703703703</v>
      </c>
      <c r="E233" s="211"/>
      <c r="F233" s="287">
        <f>IF(C233="","",('Precio Mayorista'!$D$100*INDEX('Informacion del AEP'!$D$54:$N$72,MATCH(C233,'Informacion del AEP'!$C$54:$C$72,0),MATCH($C$218,'Informacion del AEP'!$D$53:$N$53,0))*INDEX('Informacion del AEP'!$F$133:$F$151,MATCH(C233,'Informacion del AEP'!$C$133:$C$151,0))))</f>
        <v>0</v>
      </c>
      <c r="G233" s="211"/>
      <c r="H233" s="211"/>
      <c r="I233" s="211"/>
      <c r="N233" s="246">
        <f>INDEX('Precio Mayorista'!$D$76:$D$94,MATCH('Pagos Mayoristas'!C233,'Precio Mayorista'!$G$76:$G$94,0))*INDEX('Informacion del AEP'!$F$54:$N$72,MATCH('Pagos Mayoristas'!C233,'Informacion del AEP'!$C$54:$C$72,0),MATCH('Pagos Mayoristas'!$C$218,'Informacion del AEP'!$F$53:$N$53,0))</f>
        <v>0</v>
      </c>
    </row>
    <row r="234" spans="3:14" x14ac:dyDescent="0.2">
      <c r="C234" s="211" t="str">
        <f>IF(Supuestos!B63="","",Supuestos!B63)</f>
        <v>Originación SMS - off-net nacional</v>
      </c>
      <c r="D234" s="94">
        <f>INDEX('Informacion del AEP'!$F$54:$N$72,MATCH('Pagos Mayoristas'!$C234,'Informacion del AEP'!$C$54:$C$72,0),MATCH('Pagos Mayoristas'!C$218,'Informacion del AEP'!$F$53:$N$53,0))*INDEX('Hoja Auxiliar'!$D$40:$D$58,MATCH('Pagos Mayoristas'!$C234,'Hoja Auxiliar'!$C$40:$C$58,0))</f>
        <v>1892592.5925925926</v>
      </c>
      <c r="E234" s="211"/>
      <c r="F234" s="287">
        <f>IF(C234="","",('Precio Mayorista'!$D$100*INDEX('Informacion del AEP'!$D$54:$N$72,MATCH(C234,'Informacion del AEP'!$C$54:$C$72,0),MATCH($C$218,'Informacion del AEP'!$D$53:$N$53,0))*INDEX('Informacion del AEP'!$F$133:$F$151,MATCH(C234,'Informacion del AEP'!$C$133:$C$151,0))))</f>
        <v>0</v>
      </c>
      <c r="G234" s="211"/>
      <c r="H234" s="211"/>
      <c r="I234" s="211"/>
      <c r="N234" s="246">
        <f>INDEX('Precio Mayorista'!$D$76:$D$94,MATCH('Pagos Mayoristas'!C234,'Precio Mayorista'!$G$76:$G$94,0))*INDEX('Informacion del AEP'!$F$54:$N$72,MATCH('Pagos Mayoristas'!C234,'Informacion del AEP'!$C$54:$C$72,0),MATCH('Pagos Mayoristas'!$C$218,'Informacion del AEP'!$F$53:$N$53,0))</f>
        <v>1896533.3333333333</v>
      </c>
    </row>
    <row r="235" spans="3:14" x14ac:dyDescent="0.2">
      <c r="C235" s="211" t="str">
        <f>IF(Supuestos!B64="","",Supuestos!B64)</f>
        <v>Originación SMS internacional (USA-Canadá)</v>
      </c>
      <c r="D235" s="94">
        <f>INDEX('Informacion del AEP'!$F$54:$N$72,MATCH('Pagos Mayoristas'!$C235,'Informacion del AEP'!$C$54:$C$72,0),MATCH('Pagos Mayoristas'!C$218,'Informacion del AEP'!$F$53:$N$53,0))*INDEX('Hoja Auxiliar'!$D$40:$D$58,MATCH('Pagos Mayoristas'!$C235,'Hoja Auxiliar'!$C$40:$C$58,0))</f>
        <v>378518.51851851848</v>
      </c>
      <c r="E235" s="211"/>
      <c r="F235" s="287">
        <f>IF(C235="","",('Precio Mayorista'!$D$100*INDEX('Informacion del AEP'!$D$54:$N$72,MATCH(C235,'Informacion del AEP'!$C$54:$C$72,0),MATCH($C$218,'Informacion del AEP'!$D$53:$N$53,0))*INDEX('Informacion del AEP'!$F$133:$F$151,MATCH(C235,'Informacion del AEP'!$C$133:$C$151,0))))</f>
        <v>0</v>
      </c>
      <c r="G235" s="211"/>
      <c r="H235" s="211"/>
      <c r="I235" s="211"/>
      <c r="N235" s="246">
        <f>INDEX('Precio Mayorista'!$D$76:$D$94,MATCH('Pagos Mayoristas'!C235,'Precio Mayorista'!$G$76:$G$94,0))*INDEX('Informacion del AEP'!$F$54:$N$72,MATCH('Pagos Mayoristas'!C235,'Informacion del AEP'!$C$54:$C$72,0),MATCH('Pagos Mayoristas'!$C$218,'Informacion del AEP'!$F$53:$N$53,0))</f>
        <v>11666666.666666666</v>
      </c>
    </row>
    <row r="236" spans="3:14" x14ac:dyDescent="0.2">
      <c r="C236" s="211" t="str">
        <f>IF(Supuestos!B65="","",Supuestos!B65)</f>
        <v>Originación SMS internacional (Resto del Mundo)</v>
      </c>
      <c r="D236" s="94">
        <f>INDEX('Informacion del AEP'!$F$54:$N$72,MATCH('Pagos Mayoristas'!$C236,'Informacion del AEP'!$C$54:$C$72,0),MATCH('Pagos Mayoristas'!C$218,'Informacion del AEP'!$F$53:$N$53,0))*INDEX('Hoja Auxiliar'!$D$40:$D$58,MATCH('Pagos Mayoristas'!$C236,'Hoja Auxiliar'!$C$40:$C$58,0))</f>
        <v>37851.851851851854</v>
      </c>
      <c r="E236" s="211"/>
      <c r="F236" s="287">
        <f>IF(C236="","",('Precio Mayorista'!$D$100*INDEX('Informacion del AEP'!$D$54:$N$72,MATCH(C236,'Informacion del AEP'!$C$54:$C$72,0),MATCH($C$218,'Informacion del AEP'!$D$53:$N$53,0))*INDEX('Informacion del AEP'!$F$133:$F$151,MATCH(C236,'Informacion del AEP'!$C$133:$C$151,0))))</f>
        <v>0</v>
      </c>
      <c r="G236" s="211"/>
      <c r="H236" s="211"/>
      <c r="I236" s="211"/>
      <c r="N236" s="246">
        <f>INDEX('Precio Mayorista'!$D$76:$D$94,MATCH('Pagos Mayoristas'!C236,'Precio Mayorista'!$G$76:$G$94,0))*INDEX('Informacion del AEP'!$F$54:$N$72,MATCH('Pagos Mayoristas'!C236,'Informacion del AEP'!$C$54:$C$72,0),MATCH('Pagos Mayoristas'!$C$218,'Informacion del AEP'!$F$53:$N$53,0))</f>
        <v>1750000</v>
      </c>
    </row>
    <row r="237" spans="3:14" x14ac:dyDescent="0.2">
      <c r="C237" s="211" t="str">
        <f>IF(Supuestos!B66="","",Supuestos!B66)</f>
        <v>Otros servicios (incluyendo marcaciones especiales)</v>
      </c>
      <c r="D237" s="94">
        <f>INDEX('Informacion del AEP'!$F$54:$N$72,MATCH('Pagos Mayoristas'!$C237,'Informacion del AEP'!$C$54:$C$72,0),MATCH('Pagos Mayoristas'!C$218,'Informacion del AEP'!$F$53:$N$53,0))*INDEX('Hoja Auxiliar'!$D$40:$D$58,MATCH('Pagos Mayoristas'!$C237,'Hoja Auxiliar'!$C$40:$C$58,0))</f>
        <v>37752136.752136752</v>
      </c>
      <c r="F237" s="287">
        <f>IF(C237="","",('Precio Mayorista'!$D$100*INDEX('Informacion del AEP'!$D$54:$N$72,MATCH(C237,'Informacion del AEP'!$C$54:$C$72,0),MATCH($C$218,'Informacion del AEP'!$D$53:$N$53,0))*INDEX('Informacion del AEP'!$F$133:$F$151,MATCH(C237,'Informacion del AEP'!$C$133:$C$151,0))))</f>
        <v>0</v>
      </c>
      <c r="N237" s="246">
        <f>INDEX('Precio Mayorista'!$D$76:$D$94,MATCH('Pagos Mayoristas'!C237,'Precio Mayorista'!$G$76:$G$94,0))*INDEX('Informacion del AEP'!$F$54:$N$72,MATCH('Pagos Mayoristas'!C237,'Informacion del AEP'!$C$54:$C$72,0),MATCH('Pagos Mayoristas'!$C$218,'Informacion del AEP'!$F$53:$N$53,0))</f>
        <v>1143333333.3333335</v>
      </c>
    </row>
    <row r="238" spans="3:14" x14ac:dyDescent="0.2">
      <c r="C238" s="211" t="str">
        <f>IF(Supuestos!B67="","",Supuestos!B67)</f>
        <v/>
      </c>
      <c r="N238" s="246"/>
    </row>
    <row r="239" spans="3:14" x14ac:dyDescent="0.2">
      <c r="C239" s="76"/>
    </row>
  </sheetData>
  <mergeCells count="1">
    <mergeCell ref="C8:O8"/>
  </mergeCells>
  <conditionalFormatting sqref="S10:W10">
    <cfRule type="containsText" dxfId="53" priority="49" operator="containsText" text="Error">
      <formula>NOT(ISERROR(SEARCH("Error",S10)))</formula>
    </cfRule>
    <cfRule type="containsText" dxfId="52" priority="50" operator="containsText" text="Ok">
      <formula>NOT(ISERROR(SEARCH("Ok",S10)))</formula>
    </cfRule>
    <cfRule type="expression" dxfId="51" priority="51">
      <formula>"Ok"</formula>
    </cfRule>
  </conditionalFormatting>
  <conditionalFormatting sqref="R36:S36">
    <cfRule type="containsText" dxfId="50" priority="43" operator="containsText" text="Error">
      <formula>NOT(ISERROR(SEARCH("Error",R36)))</formula>
    </cfRule>
    <cfRule type="containsText" dxfId="49" priority="44" operator="containsText" text="Ok">
      <formula>NOT(ISERROR(SEARCH("Ok",R36)))</formula>
    </cfRule>
    <cfRule type="expression" dxfId="48" priority="45">
      <formula>"Ok"</formula>
    </cfRule>
  </conditionalFormatting>
  <conditionalFormatting sqref="V10">
    <cfRule type="containsText" dxfId="47" priority="4" operator="containsText" text="Error">
      <formula>NOT(ISERROR(SEARCH("Error",V10)))</formula>
    </cfRule>
    <cfRule type="containsText" dxfId="46" priority="5" operator="containsText" text="Ok">
      <formula>NOT(ISERROR(SEARCH("Ok",V10)))</formula>
    </cfRule>
    <cfRule type="expression" dxfId="45" priority="6">
      <formula>"Ok"</formula>
    </cfRule>
  </conditionalFormatting>
  <conditionalFormatting sqref="W10">
    <cfRule type="containsText" dxfId="44" priority="1" operator="containsText" text="Error">
      <formula>NOT(ISERROR(SEARCH("Error",W10)))</formula>
    </cfRule>
    <cfRule type="containsText" dxfId="43" priority="2" operator="containsText" text="Ok">
      <formula>NOT(ISERROR(SEARCH("Ok",W10)))</formula>
    </cfRule>
    <cfRule type="expression" dxfId="42" priority="3">
      <formula>"Ok"</formula>
    </cfRule>
  </conditionalFormatting>
  <hyperlinks>
    <hyperlink ref="C3" location="'Resultados &gt;&gt;'!A1" display="Ir a Resultados &gt;&gt;" xr:uid="{81C3F9B1-2B14-476D-A723-6E17FEDAF570}"/>
  </hyperlink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3CD5121B912868449A3C5ACBE470BFC5" ma:contentTypeVersion="2" ma:contentTypeDescription="Crear nuevo documento." ma:contentTypeScope="" ma:versionID="2592c275756a7e9db8147c1ad6a05c37">
  <xsd:schema xmlns:xsd="http://www.w3.org/2001/XMLSchema" xmlns:xs="http://www.w3.org/2001/XMLSchema" xmlns:p="http://schemas.microsoft.com/office/2006/metadata/properties" xmlns:ns2="6495ad76-b129-4426-9f15-29f13e1ad190" targetNamespace="http://schemas.microsoft.com/office/2006/metadata/properties" ma:root="true" ma:fieldsID="3ab55f5ffa007d74f190251a470e73a8" ns2:_="">
    <xsd:import namespace="6495ad76-b129-4426-9f15-29f13e1ad190"/>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495ad76-b129-4426-9f15-29f13e1ad190"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Asunto_"/>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557DC42-C7DD-490A-946A-76E68FBAC211}">
  <ds:schemaRefs>
    <ds:schemaRef ds:uri="http://schemas.microsoft.com/office/2006/documentManagement/types"/>
    <ds:schemaRef ds:uri="http://purl.org/dc/terms/"/>
    <ds:schemaRef ds:uri="http://purl.org/dc/elements/1.1/"/>
    <ds:schemaRef ds:uri="http://www.w3.org/XML/1998/namespace"/>
    <ds:schemaRef ds:uri="http://schemas.microsoft.com/office/2006/metadata/properties"/>
    <ds:schemaRef ds:uri="http://purl.org/dc/dcmitype/"/>
    <ds:schemaRef ds:uri="http://schemas.microsoft.com/office/infopath/2007/PartnerControls"/>
    <ds:schemaRef ds:uri="http://schemas.openxmlformats.org/package/2006/metadata/core-properties"/>
    <ds:schemaRef ds:uri="6495ad76-b129-4426-9f15-29f13e1ad190"/>
  </ds:schemaRefs>
</ds:datastoreItem>
</file>

<file path=customXml/itemProps2.xml><?xml version="1.0" encoding="utf-8"?>
<ds:datastoreItem xmlns:ds="http://schemas.openxmlformats.org/officeDocument/2006/customXml" ds:itemID="{9FB622DC-3A47-4289-B47B-EC0853C84843}">
  <ds:schemaRefs>
    <ds:schemaRef ds:uri="http://schemas.microsoft.com/sharepoint/v3/contenttype/forms"/>
  </ds:schemaRefs>
</ds:datastoreItem>
</file>

<file path=customXml/itemProps3.xml><?xml version="1.0" encoding="utf-8"?>
<ds:datastoreItem xmlns:ds="http://schemas.openxmlformats.org/officeDocument/2006/customXml" ds:itemID="{D71A6AB7-65A7-4530-8959-E8BFD17465A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495ad76-b129-4426-9f15-29f13e1ad19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Descripción</vt:lpstr>
      <vt:lpstr>Resultados &gt;&gt;</vt:lpstr>
      <vt:lpstr>Prueba Servicios Moviles</vt:lpstr>
      <vt:lpstr>Resultados intermedios &gt;&gt;</vt:lpstr>
      <vt:lpstr>Ingresos minoristas</vt:lpstr>
      <vt:lpstr>Costos</vt:lpstr>
      <vt:lpstr>Cálculos intermedios &gt;&gt;</vt:lpstr>
      <vt:lpstr>Costos aguas abajo</vt:lpstr>
      <vt:lpstr>Pagos Mayoristas</vt:lpstr>
      <vt:lpstr>Requerimiento de información &gt;&gt;</vt:lpstr>
      <vt:lpstr>Ofertas insignia</vt:lpstr>
      <vt:lpstr>Informacion del AEP</vt:lpstr>
      <vt:lpstr>Precio Mayorista</vt:lpstr>
      <vt:lpstr>Precios mayoristas efectivos</vt:lpstr>
      <vt:lpstr>Oferta de Referencia &gt;&gt;</vt:lpstr>
      <vt:lpstr>Hoja Auxiliar</vt:lpstr>
      <vt:lpstr>Supuestos</vt:lpstr>
      <vt:lpstr>Hoja auxiliar gráficos</vt:lpstr>
    </vt:vector>
  </TitlesOfParts>
  <Company>Frontier Economics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DCDO-UPR</dc:creator>
  <cp:lastModifiedBy>Danyel Bengerar Munoz Hernandez</cp:lastModifiedBy>
  <cp:lastPrinted>2021-06-22T13:08:27Z</cp:lastPrinted>
  <dcterms:created xsi:type="dcterms:W3CDTF">2003-10-24T13:18:20Z</dcterms:created>
  <dcterms:modified xsi:type="dcterms:W3CDTF">2022-10-11T01:23:13Z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0x0101003CD5121B912868449A3C5ACBE470BFC5</vt:lpwstr>
  </property>
</Properties>
</file>